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harts/chart12.xml" ContentType="application/vnd.openxmlformats-officedocument.drawingml.char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worksheets/sheet10.xml" ContentType="application/vnd.openxmlformats-officedocument.spreadsheetml.worksheet+xml"/>
  <Override PartName="/xl/charts/chart11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 Production" sheetId="1" state="visible" r:id="rId3"/>
    <sheet name="IGCE" sheetId="2" state="visible" r:id="rId4"/>
    <sheet name="Diffus" sheetId="3" state="visible" r:id="rId5"/>
    <sheet name="VA historique" sheetId="4" state="visible" r:id="rId6"/>
    <sheet name="Mix éner %" sheetId="5" state="visible" r:id="rId7"/>
    <sheet name="Mix éner % (2)" sheetId="6" state="visible" r:id="rId8"/>
    <sheet name="3. Efficacité" sheetId="7" state="visible" r:id="rId9"/>
    <sheet name="4. Recyclage" sheetId="8" state="visible" r:id="rId10"/>
    <sheet name="5. Non-énergétique" sheetId="9" state="visible" r:id="rId11"/>
    <sheet name="6. CCUS" sheetId="10" state="visible" r:id="rId12"/>
    <sheet name="Pepit0 AME" sheetId="11" state="visible" r:id="rId13"/>
  </sheets>
  <externalReferences>
    <externalReference r:id="rId1"/>
    <externalReference r:id="rId2"/>
  </externalReferences>
  <definedNames>
    <definedName name="anneeAffiche" localSheetId="1">#REF!</definedName>
    <definedName name="anneeAffiche" localSheetId="5">#REF!</definedName>
    <definedName name="année">#NAME?</definedName>
    <definedName name="anneeAffiche">#REF!</definedName>
    <definedName name="Résultats_annuels">#NAME?</definedName>
    <definedName name="Résultats_annuels_années">#NAME?</definedName>
    <definedName name="Résultats_annuels_choix">#NAME?</definedName>
  </definedNames>
  <calcPr/>
</workbook>
</file>

<file path=xl/sharedStrings.xml><?xml version="1.0" encoding="utf-8"?>
<sst xmlns="http://schemas.openxmlformats.org/spreadsheetml/2006/main" count="761" uniqueCount="761">
  <si>
    <t xml:space="preserve">Voir le détail des calculs dans les onglets IGCE et Diffus</t>
  </si>
  <si>
    <t xml:space="preserve">Production IGCE en Mt</t>
  </si>
  <si>
    <t>Historique</t>
  </si>
  <si>
    <t>AME</t>
  </si>
  <si>
    <t xml:space="preserve">Production (Mt)</t>
  </si>
  <si>
    <t>Acier</t>
  </si>
  <si>
    <t xml:space="preserve">dont haut fourneaux </t>
  </si>
  <si>
    <t xml:space="preserve">dont procédé électrique</t>
  </si>
  <si>
    <t xml:space="preserve">dont réduction directe</t>
  </si>
  <si>
    <t>Aluminium</t>
  </si>
  <si>
    <t xml:space="preserve">Aluminium recyclé</t>
  </si>
  <si>
    <t>Ethylène</t>
  </si>
  <si>
    <t>Chlore</t>
  </si>
  <si>
    <t>Ammoniac</t>
  </si>
  <si>
    <t>Clinker</t>
  </si>
  <si>
    <t>Verre</t>
  </si>
  <si>
    <t>Papier</t>
  </si>
  <si>
    <t>Sucre</t>
  </si>
  <si>
    <t xml:space="preserve">Valeurs ajoutées industrie diffuse (Md€2014)</t>
  </si>
  <si>
    <t xml:space="preserve">Données INSEE – Voir onglet VA historique</t>
  </si>
  <si>
    <t xml:space="preserve">AME 2023</t>
  </si>
  <si>
    <t>Md€2014</t>
  </si>
  <si>
    <t xml:space="preserve">Métaux primaires</t>
  </si>
  <si>
    <t>Chimie</t>
  </si>
  <si>
    <t xml:space="preserve">Minéraux non-métalliques</t>
  </si>
  <si>
    <t xml:space="preserve">IAA </t>
  </si>
  <si>
    <t xml:space="preserve">Equipements </t>
  </si>
  <si>
    <t xml:space="preserve">Autres (textile, etc.)</t>
  </si>
  <si>
    <t xml:space="preserve">Total diffus</t>
  </si>
  <si>
    <t>Construction</t>
  </si>
  <si>
    <t xml:space="preserve">Production physique, index 2015</t>
  </si>
  <si>
    <t xml:space="preserve">Total diffus (cadrage)</t>
  </si>
  <si>
    <t>IGCE</t>
  </si>
  <si>
    <t xml:space="preserve">1. Historique</t>
  </si>
  <si>
    <t>source</t>
  </si>
  <si>
    <t>CITEPA</t>
  </si>
  <si>
    <t xml:space="preserve">dont DRI</t>
  </si>
  <si>
    <t xml:space="preserve">BNR 2019, donnée 2020 calculée avec le taux de variation 2019/2020 du CITEPA</t>
  </si>
  <si>
    <t xml:space="preserve">dont aluminium recyclé</t>
  </si>
  <si>
    <t xml:space="preserve">dont 2e fusion</t>
  </si>
  <si>
    <t xml:space="preserve">CITEPA (pâte à papier) - pas cohérent avec BNR car CITEPA ne prend en compte que la pâte à papier (kraft ou bisulfite)</t>
  </si>
  <si>
    <t xml:space="preserve">2. Consommation intérieure - Sorties Pepit0</t>
  </si>
  <si>
    <t xml:space="preserve">Sorties brutes</t>
  </si>
  <si>
    <t xml:space="preserve">variation / 2015</t>
  </si>
  <si>
    <t>Consommation</t>
  </si>
  <si>
    <t>Alu</t>
  </si>
  <si>
    <t>NH3</t>
  </si>
  <si>
    <t>Cl2</t>
  </si>
  <si>
    <t xml:space="preserve">Papiers cartons</t>
  </si>
  <si>
    <t>Total</t>
  </si>
  <si>
    <t xml:space="preserve">taux de clinker dans le ciment constant à 0,78</t>
  </si>
  <si>
    <t xml:space="preserve">3. Balance commerciale</t>
  </si>
  <si>
    <t xml:space="preserve">Comparaison avec les données BNR</t>
  </si>
  <si>
    <t>Observé</t>
  </si>
  <si>
    <t>Pepit0</t>
  </si>
  <si>
    <t xml:space="preserve">Calculé (rapporté aux productions CITEPA)</t>
  </si>
  <si>
    <t xml:space="preserve">Rapport Production / Consommation</t>
  </si>
  <si>
    <t>BNR</t>
  </si>
  <si>
    <t xml:space="preserve">production (kt)</t>
  </si>
  <si>
    <t xml:space="preserve">import (kt)</t>
  </si>
  <si>
    <t>aluminium</t>
  </si>
  <si>
    <t xml:space="preserve">export (kt)</t>
  </si>
  <si>
    <t>clinker</t>
  </si>
  <si>
    <t xml:space="preserve">solde commercial apparent (kt)</t>
  </si>
  <si>
    <t>verre</t>
  </si>
  <si>
    <t xml:space="preserve">Solde / prod</t>
  </si>
  <si>
    <t>ammoniac</t>
  </si>
  <si>
    <t xml:space="preserve">solde Pepit0 (prod - conso) Mt</t>
  </si>
  <si>
    <t>Surce</t>
  </si>
  <si>
    <t>papier</t>
  </si>
  <si>
    <t xml:space="preserve">Repris de l'observé</t>
  </si>
  <si>
    <t>Projeté</t>
  </si>
  <si>
    <t xml:space="preserve">AME : ratios gardés constants par rapport à 2019</t>
  </si>
  <si>
    <t xml:space="preserve">4. Niveau de production</t>
  </si>
  <si>
    <t xml:space="preserve">AME run1</t>
  </si>
  <si>
    <t xml:space="preserve">HF = acier primaire + ferraille traitée en HF (16% de la production des HF, constant dans le temps). Calcul : EAF+HF = Acier ; EAF = Acier - HF = MPR - 0,16HF (feraille HF) soit HF = (Acier - MPR) / (1-0,16)</t>
  </si>
  <si>
    <t xml:space="preserve">dont hauts-fourneaux</t>
  </si>
  <si>
    <t xml:space="preserve">EAF = MPR - ferraille traitée en HF - DRI</t>
  </si>
  <si>
    <t xml:space="preserve">Paramétré (pas de DRI en AMS - projet AM pas pris en compte car pas encore accord de la Commission Européenne)</t>
  </si>
  <si>
    <t xml:space="preserve">Cf hyp recyclage</t>
  </si>
  <si>
    <t xml:space="preserve">dont aluminium primaire</t>
  </si>
  <si>
    <t>TOTAL</t>
  </si>
  <si>
    <t xml:space="preserve">Total index 2019</t>
  </si>
  <si>
    <t xml:space="preserve">IGCE AME</t>
  </si>
  <si>
    <t xml:space="preserve">IGCE AMS</t>
  </si>
  <si>
    <t xml:space="preserve">Diffus AME</t>
  </si>
  <si>
    <t xml:space="preserve">Diffus AMS</t>
  </si>
  <si>
    <t>Diffus</t>
  </si>
  <si>
    <t xml:space="preserve">cf onglet VA historique</t>
  </si>
  <si>
    <t xml:space="preserve">2. VA en AME</t>
  </si>
  <si>
    <t xml:space="preserve">Valeur ajoutée brute (Md€) - cf Cadrage</t>
  </si>
  <si>
    <t xml:space="preserve">Evolution / 2020 brute</t>
  </si>
  <si>
    <t xml:space="preserve">Evolution / 2020 corrigée</t>
  </si>
  <si>
    <t>Md€2015</t>
  </si>
  <si>
    <t xml:space="preserve">Autres  </t>
  </si>
  <si>
    <t xml:space="preserve">Total industrie</t>
  </si>
  <si>
    <t xml:space="preserve">3. Facteur de décorrélation VA / production physique </t>
  </si>
  <si>
    <t xml:space="preserve">Poursuite de la tendance historique 2000-2019 </t>
  </si>
  <si>
    <t xml:space="preserve">Indice 2000</t>
  </si>
  <si>
    <t>commentaires</t>
  </si>
  <si>
    <t xml:space="preserve">Indice 2019</t>
  </si>
  <si>
    <t xml:space="preserve">Comportement anormal entre 2000 et 2005 : pour cette branche spécifiquement, on prend la tendance 2005-2019</t>
  </si>
  <si>
    <t xml:space="preserve">Moyenne entre équipement de transport et machinery</t>
  </si>
  <si>
    <t xml:space="preserve">Bois 0,12 en 2050, autres autres 0,92, textiles 0,16 =&gt; on prend la moyenne du diffus 0,51</t>
  </si>
  <si>
    <t xml:space="preserve">Moyenne pondérée</t>
  </si>
  <si>
    <t xml:space="preserve">4. Niveau de production (indice 2019)</t>
  </si>
  <si>
    <t xml:space="preserve">total diffus avec construction</t>
  </si>
  <si>
    <t xml:space="preserve">total index 2019</t>
  </si>
  <si>
    <t xml:space="preserve">1. Valeur ajoutée historique par secteur pour l’industrie diffuse </t>
  </si>
  <si>
    <t>G€2014</t>
  </si>
  <si>
    <t>IAA</t>
  </si>
  <si>
    <t>Equipements</t>
  </si>
  <si>
    <t xml:space="preserve">6.202 Valeur ajoutée brute par branche en volume aux prix de l'année précédente chaînés</t>
  </si>
  <si>
    <t>A5.AZ</t>
  </si>
  <si>
    <t xml:space="preserve">Agriculture, sylviculture et pêche</t>
  </si>
  <si>
    <t>A5.BE</t>
  </si>
  <si>
    <t xml:space="preserve">Industrie manufacturière, industries extractives et autres</t>
  </si>
  <si>
    <t>A17.DE</t>
  </si>
  <si>
    <t xml:space="preserve">    Industries extractives, énergie, eau, gestion des déchets et dépollution</t>
  </si>
  <si>
    <t>A38.BZ</t>
  </si>
  <si>
    <t xml:space="preserve">      Industries extractives</t>
  </si>
  <si>
    <t>A38.DZ</t>
  </si>
  <si>
    <t xml:space="preserve">      Production et distribution d'électricité, de gaz, de vapeur et d'air conditionné</t>
  </si>
  <si>
    <t>A38.EZ</t>
  </si>
  <si>
    <t xml:space="preserve">      Production et distribution d'eau ; assainissement, gestion des déchets et dépollution</t>
  </si>
  <si>
    <t>A17.C1</t>
  </si>
  <si>
    <t xml:space="preserve">    Fabrication de denrées alimentaires, de boissons et de produits à base de tabac</t>
  </si>
  <si>
    <t>A17.C2</t>
  </si>
  <si>
    <t xml:space="preserve">    Cokéfaction et raffinage</t>
  </si>
  <si>
    <t>A17.C3</t>
  </si>
  <si>
    <t xml:space="preserve">    Fabrication d'équipements électriques, électroniques, informatiques ; fabrication de machines</t>
  </si>
  <si>
    <t>A38.CI</t>
  </si>
  <si>
    <t xml:space="preserve">      Fabrication de produits informatiques, électroniques et optiques</t>
  </si>
  <si>
    <t>A38.CJ</t>
  </si>
  <si>
    <t xml:space="preserve">      Fabrication d équipements électriques</t>
  </si>
  <si>
    <t>A38.CK</t>
  </si>
  <si>
    <t xml:space="preserve">      Fabrication de machines et équipements n.c.a.</t>
  </si>
  <si>
    <t>A17.C4</t>
  </si>
  <si>
    <t xml:space="preserve">    Fabrication de matériels de transport</t>
  </si>
  <si>
    <t>A17.C5</t>
  </si>
  <si>
    <t xml:space="preserve">    Fabrication d'autres produits industriels</t>
  </si>
  <si>
    <t>A38.CB</t>
  </si>
  <si>
    <t xml:space="preserve">      Fabrication de textiles, industries de l'habillement, industrie du cuir et de la chaussure</t>
  </si>
  <si>
    <t>A38.CC</t>
  </si>
  <si>
    <t xml:space="preserve">      Travail du bois, industries du papier et imprimerie</t>
  </si>
  <si>
    <t>A38.CE</t>
  </si>
  <si>
    <t xml:space="preserve">      Industrie chimique</t>
  </si>
  <si>
    <t>A38.CF</t>
  </si>
  <si>
    <t xml:space="preserve">      Industrie pharmaceutique</t>
  </si>
  <si>
    <t>A38.CG</t>
  </si>
  <si>
    <t xml:space="preserve">      Fabrication de produits en caoutchouc, en plastique et d'autres produits minéraux non métalliques</t>
  </si>
  <si>
    <t>A38.CH</t>
  </si>
  <si>
    <t xml:space="preserve">      Métallurgie et fabrication de produits métalliques, hors machines et équipements</t>
  </si>
  <si>
    <t>A38.CM</t>
  </si>
  <si>
    <t xml:space="preserve">      Autres industries manufacturières ; réparation et installation de machines et d'équipements</t>
  </si>
  <si>
    <t>A5.FZ</t>
  </si>
  <si>
    <t>A5.GU</t>
  </si>
  <si>
    <t xml:space="preserve">Services principalement marchands</t>
  </si>
  <si>
    <t>A10.GI</t>
  </si>
  <si>
    <t xml:space="preserve">  Commerce de gros et de détail, transports, hébergement et restauration</t>
  </si>
  <si>
    <t>A17.GZ</t>
  </si>
  <si>
    <t xml:space="preserve">    Commerce ; réparation d'automobiles et de motocycles</t>
  </si>
  <si>
    <t>A17.HZ</t>
  </si>
  <si>
    <t xml:space="preserve">    Transports et entreposage</t>
  </si>
  <si>
    <t>A17.IZ</t>
  </si>
  <si>
    <t xml:space="preserve">    Hébergement et restauration</t>
  </si>
  <si>
    <t>A10.JZ</t>
  </si>
  <si>
    <t xml:space="preserve">  Information et communication</t>
  </si>
  <si>
    <t>A38.JA</t>
  </si>
  <si>
    <t xml:space="preserve">      Édition, audiovisuel et diffusion</t>
  </si>
  <si>
    <t>A38.JB</t>
  </si>
  <si>
    <t xml:space="preserve">      Télécommunications</t>
  </si>
  <si>
    <t>A38.JC</t>
  </si>
  <si>
    <t xml:space="preserve">      Activités informatiques et services d'information</t>
  </si>
  <si>
    <t>A10.KZ</t>
  </si>
  <si>
    <t xml:space="preserve">  Activités financières et d'assurance</t>
  </si>
  <si>
    <t>A10.LZ</t>
  </si>
  <si>
    <t xml:space="preserve">  Activités immobilières</t>
  </si>
  <si>
    <t>A10.MN</t>
  </si>
  <si>
    <t xml:space="preserve">  Activités scientifiques et techniques ; services administratifs et de soutien</t>
  </si>
  <si>
    <t>A38.MA</t>
  </si>
  <si>
    <t xml:space="preserve">      Activités juridiques, comptables, de gestion, d'architecture, d'ingénierie, de contrôle et d'analyses techniques</t>
  </si>
  <si>
    <t>A38.MB</t>
  </si>
  <si>
    <t xml:space="preserve">      Recherche-développement scientifique</t>
  </si>
  <si>
    <t>A38.MC</t>
  </si>
  <si>
    <t xml:space="preserve">      Autres activités spécialisées, scientifiques et techniques</t>
  </si>
  <si>
    <t>A38.NZ</t>
  </si>
  <si>
    <t xml:space="preserve">      Activités de services administratifs et de soutien</t>
  </si>
  <si>
    <t>A10.RU</t>
  </si>
  <si>
    <t xml:space="preserve">  Autres services</t>
  </si>
  <si>
    <t>A38.RZ</t>
  </si>
  <si>
    <t xml:space="preserve">      Arts, spectacles et activités récréatives</t>
  </si>
  <si>
    <t>A38.SZ</t>
  </si>
  <si>
    <t xml:space="preserve">      Autres activités de services</t>
  </si>
  <si>
    <t>A38.TZ</t>
  </si>
  <si>
    <t xml:space="preserve">      Activités des ménages en tant qu'employeurs</t>
  </si>
  <si>
    <t>A5.OQ</t>
  </si>
  <si>
    <t xml:space="preserve">Services principalement non marchands (*)</t>
  </si>
  <si>
    <t>A38.OZ</t>
  </si>
  <si>
    <t xml:space="preserve">      Administration publique et défense - sécurité sociale obligatoire</t>
  </si>
  <si>
    <t>A38.PZ</t>
  </si>
  <si>
    <t xml:space="preserve">      Enseignement</t>
  </si>
  <si>
    <t>A38.QA</t>
  </si>
  <si>
    <t xml:space="preserve">      Activités pour la santé humaine</t>
  </si>
  <si>
    <t>A38.QB</t>
  </si>
  <si>
    <t xml:space="preserve">      Hébergement médico-social et social et action sociale sans hébergement</t>
  </si>
  <si>
    <t xml:space="preserve">Total des branches</t>
  </si>
  <si>
    <t xml:space="preserve">Milliares d'euros 2014</t>
  </si>
  <si>
    <t xml:space="preserve">Source : Comptes nationaux - Base 2014, Insee</t>
  </si>
  <si>
    <t xml:space="preserve">6.202D Valeur ajoutée brute par branche en volume aux prix de l'année précédente chaînés</t>
  </si>
  <si>
    <t>A38.AZ</t>
  </si>
  <si>
    <t>A88.01</t>
  </si>
  <si>
    <t xml:space="preserve">  Culture et production animale, chasse et services annexes</t>
  </si>
  <si>
    <t>A88.02</t>
  </si>
  <si>
    <t xml:space="preserve">  Sylviculture et exploitation forestière</t>
  </si>
  <si>
    <t>A88.03</t>
  </si>
  <si>
    <t xml:space="preserve">  Pêche et aquaculture</t>
  </si>
  <si>
    <t xml:space="preserve">Industries extractives</t>
  </si>
  <si>
    <t>A88.05</t>
  </si>
  <si>
    <t xml:space="preserve">  Extraction de houille et de lignite</t>
  </si>
  <si>
    <t>A88.06</t>
  </si>
  <si>
    <t xml:space="preserve">  Extraction d'hydrocarbures</t>
  </si>
  <si>
    <t>A88.07</t>
  </si>
  <si>
    <t xml:space="preserve">  Extraction de minerais métalliques</t>
  </si>
  <si>
    <t>A88.08</t>
  </si>
  <si>
    <t xml:space="preserve">  Autres industries extractives</t>
  </si>
  <si>
    <t>A88.09</t>
  </si>
  <si>
    <t xml:space="preserve">  Services de soutien aux industries extractives</t>
  </si>
  <si>
    <t>A38.CA</t>
  </si>
  <si>
    <t xml:space="preserve">Fabrication de denrées alimentaires, de boissons et de produits à base de tabac</t>
  </si>
  <si>
    <t>A88.10</t>
  </si>
  <si>
    <t xml:space="preserve">  Industries alimentaires</t>
  </si>
  <si>
    <t>A88.11</t>
  </si>
  <si>
    <t xml:space="preserve">  Fabrication de boissons</t>
  </si>
  <si>
    <t>A88.12</t>
  </si>
  <si>
    <t xml:space="preserve">  Fabrication de produits à base de tabac</t>
  </si>
  <si>
    <t xml:space="preserve">Fabrication de textiles, industries de l'habillement, industrie du cuir et de la chaussure</t>
  </si>
  <si>
    <t>A88.13</t>
  </si>
  <si>
    <t xml:space="preserve">  Fabrication de textiles</t>
  </si>
  <si>
    <t>A88.14</t>
  </si>
  <si>
    <t xml:space="preserve">  Industrie de l'habillement</t>
  </si>
  <si>
    <t>A88.15</t>
  </si>
  <si>
    <t xml:space="preserve">  Industrie du cuir et de la chaussure</t>
  </si>
  <si>
    <t xml:space="preserve">Travail du bois, industries du papier et imprimerie</t>
  </si>
  <si>
    <t>A88.16</t>
  </si>
  <si>
    <t xml:space="preserve">  Travail du bois et fabrication d'articles en bois et en liège, hors meubles ; fabrication d'articles en vannerie et sparterie</t>
  </si>
  <si>
    <t>A88.17</t>
  </si>
  <si>
    <t xml:space="preserve">  Industrie du papier et du carton</t>
  </si>
  <si>
    <t>A88.18</t>
  </si>
  <si>
    <t xml:space="preserve">  Imprimerie et reproduction d'enregistrements</t>
  </si>
  <si>
    <t>A38.CD</t>
  </si>
  <si>
    <t xml:space="preserve">Cokéfaction et raffinage</t>
  </si>
  <si>
    <t xml:space="preserve">Industrie chimique</t>
  </si>
  <si>
    <t xml:space="preserve">Industrie pharmaceutique</t>
  </si>
  <si>
    <t xml:space="preserve">Fabrication de produits en caoutchouc, en plastique et d'autres produits minéraux non métalliques</t>
  </si>
  <si>
    <t>A88.22</t>
  </si>
  <si>
    <t xml:space="preserve">  Fabrication de produits en caoutchouc et en plastique</t>
  </si>
  <si>
    <t>A88.23</t>
  </si>
  <si>
    <t xml:space="preserve">  Fabrication d'autres produits minéraux non métalliques</t>
  </si>
  <si>
    <t xml:space="preserve">Métallurgie et fabrication de produits métalliques, hors machines et équipements</t>
  </si>
  <si>
    <t>A88.24</t>
  </si>
  <si>
    <t xml:space="preserve">  Métallurgie</t>
  </si>
  <si>
    <t>A88.25</t>
  </si>
  <si>
    <t xml:space="preserve">  Fabrication de produits métalliques, hors machines et équipements</t>
  </si>
  <si>
    <t xml:space="preserve">Fabrication de produits informatiques, électroniques et optiques</t>
  </si>
  <si>
    <t xml:space="preserve">Fabrication d'équipements électriques</t>
  </si>
  <si>
    <t xml:space="preserve">Fabrication de machines et équipements n.c.a.</t>
  </si>
  <si>
    <t>A38.CL</t>
  </si>
  <si>
    <t xml:space="preserve">Fabrication de matériels de transport</t>
  </si>
  <si>
    <t>A88.29</t>
  </si>
  <si>
    <t xml:space="preserve">  Industrie automobile</t>
  </si>
  <si>
    <t>A88.30</t>
  </si>
  <si>
    <t xml:space="preserve">  Fabrication d'autres matériels de transport</t>
  </si>
  <si>
    <t xml:space="preserve">Autres industries manufacturières ; réparation et installation de machines et d'équipements</t>
  </si>
  <si>
    <t>A88.31</t>
  </si>
  <si>
    <t xml:space="preserve">  Fabrication de meubles</t>
  </si>
  <si>
    <t>A88.32</t>
  </si>
  <si>
    <t xml:space="preserve">  Autres industries manufacturières</t>
  </si>
  <si>
    <t>A88.33</t>
  </si>
  <si>
    <t xml:space="preserve">  Réparation et installation de machines et d'équipements</t>
  </si>
  <si>
    <t xml:space="preserve">Production et distribution d'électricité, de gaz, de vapeur et d'air conditionné</t>
  </si>
  <si>
    <t xml:space="preserve">Production et distribution d'eau ; assainissement, gestion des déchets et dépollution</t>
  </si>
  <si>
    <t>A88.36</t>
  </si>
  <si>
    <t xml:space="preserve">  Captage, traitement et distribution d'eau</t>
  </si>
  <si>
    <t>A88.37</t>
  </si>
  <si>
    <t xml:space="preserve">  Collecte et traitement des eaux usées</t>
  </si>
  <si>
    <t>A88.38</t>
  </si>
  <si>
    <t xml:space="preserve">  Collecte, traitement et élimination des déchets ; récupération</t>
  </si>
  <si>
    <t>A88.39</t>
  </si>
  <si>
    <t xml:space="preserve">  Dépollution et autres services de gestion des déchets</t>
  </si>
  <si>
    <t>A38.FZ</t>
  </si>
  <si>
    <t>A88.41</t>
  </si>
  <si>
    <t xml:space="preserve">  Construction de bâtiments</t>
  </si>
  <si>
    <t>A88.42</t>
  </si>
  <si>
    <t xml:space="preserve">  Génie civil</t>
  </si>
  <si>
    <t>A88.43</t>
  </si>
  <si>
    <t xml:space="preserve">  Travaux de construction spécialisés</t>
  </si>
  <si>
    <t>A38.GZ</t>
  </si>
  <si>
    <t xml:space="preserve">Commerce ; réparation d'automobiles et de motocycles</t>
  </si>
  <si>
    <t>A88.45</t>
  </si>
  <si>
    <t xml:space="preserve">  Commerce et réparation d'automobiles et de motocycles</t>
  </si>
  <si>
    <t>A88.46</t>
  </si>
  <si>
    <t xml:space="preserve">  Commerce de gros, hors automobiles et motocycles</t>
  </si>
  <si>
    <t>A88.47</t>
  </si>
  <si>
    <t xml:space="preserve">  Commerce de détail, hors automobiles et motocycles</t>
  </si>
  <si>
    <t>A38.HZ</t>
  </si>
  <si>
    <t xml:space="preserve">Transports et entreposage</t>
  </si>
  <si>
    <t>A88.49</t>
  </si>
  <si>
    <t xml:space="preserve">  Transports terrestres et transport par conduites</t>
  </si>
  <si>
    <t>A88.50</t>
  </si>
  <si>
    <t xml:space="preserve">  Transports par eau</t>
  </si>
  <si>
    <t>A88.51</t>
  </si>
  <si>
    <t xml:space="preserve">  Transports aériens</t>
  </si>
  <si>
    <t>A88.52</t>
  </si>
  <si>
    <t xml:space="preserve">  Entreposage et services auxiliaires des transports</t>
  </si>
  <si>
    <t>A88.53</t>
  </si>
  <si>
    <t xml:space="preserve">  Activités de poste et de courrier</t>
  </si>
  <si>
    <t>A38.IZ</t>
  </si>
  <si>
    <t xml:space="preserve">Hébergement et restauration</t>
  </si>
  <si>
    <t>A88.55</t>
  </si>
  <si>
    <t xml:space="preserve">  Hébergement</t>
  </si>
  <si>
    <t>A88.56</t>
  </si>
  <si>
    <t xml:space="preserve">  Restauration</t>
  </si>
  <si>
    <t xml:space="preserve">Édition, audiovisuel et diffusion</t>
  </si>
  <si>
    <t>A88.58</t>
  </si>
  <si>
    <t xml:space="preserve">  Édition</t>
  </si>
  <si>
    <t>A88.59</t>
  </si>
  <si>
    <t xml:space="preserve">  Production de films cinématographiques, de vidéo et de programmes de télévision ; enregistrement sonore et édition musicale</t>
  </si>
  <si>
    <t>A88.60</t>
  </si>
  <si>
    <t xml:space="preserve">  Programmation et diffusion</t>
  </si>
  <si>
    <t>Télécommunications</t>
  </si>
  <si>
    <t xml:space="preserve">Activités informatiques et services d'information</t>
  </si>
  <si>
    <t>A88.62</t>
  </si>
  <si>
    <t xml:space="preserve">  Programmation, conseil et autres activités informatiques</t>
  </si>
  <si>
    <t>A88.63</t>
  </si>
  <si>
    <t xml:space="preserve">  Services d'information</t>
  </si>
  <si>
    <t>A38.KZ</t>
  </si>
  <si>
    <t xml:space="preserve">Activités financières et d'assurance</t>
  </si>
  <si>
    <t>A88.64</t>
  </si>
  <si>
    <t xml:space="preserve">  Activités des services financiers, hors assurance et caisses de retraite</t>
  </si>
  <si>
    <t>A88.65</t>
  </si>
  <si>
    <t xml:space="preserve">  Assurance</t>
  </si>
  <si>
    <t>A88.66</t>
  </si>
  <si>
    <t xml:space="preserve">  Activités auxiliaires de services financiers et d'assurance</t>
  </si>
  <si>
    <t>A38.LZ</t>
  </si>
  <si>
    <t xml:space="preserve">Activités immobilières</t>
  </si>
  <si>
    <t xml:space="preserve">Activités juridiques, comptables, de gestion, d'architecture, d'ingénierie, de contrôle et d'analyses techniques</t>
  </si>
  <si>
    <t>A88.69</t>
  </si>
  <si>
    <t xml:space="preserve">  Activités juridiques et comptables</t>
  </si>
  <si>
    <t>A88.70</t>
  </si>
  <si>
    <t xml:space="preserve">  Activités des sièges sociaux ; conseil de gestion</t>
  </si>
  <si>
    <t>A88.71</t>
  </si>
  <si>
    <t xml:space="preserve">  Activités d'architecture et d'ingénierie ; activités de contrôle et analyses techniques</t>
  </si>
  <si>
    <t xml:space="preserve">Recherche-développement scientifique</t>
  </si>
  <si>
    <t xml:space="preserve">Autres activités spécialisées, scientifiques et techniques</t>
  </si>
  <si>
    <t>A88.73</t>
  </si>
  <si>
    <t xml:space="preserve">  Publicité et études de marché</t>
  </si>
  <si>
    <t>A88.74</t>
  </si>
  <si>
    <t xml:space="preserve">  Autres activités spécialisées, scientifiques et techniques</t>
  </si>
  <si>
    <t>A88.75</t>
  </si>
  <si>
    <t xml:space="preserve">  Activités vétérinaires</t>
  </si>
  <si>
    <t xml:space="preserve">Activités de services administratifs et de soutien</t>
  </si>
  <si>
    <t>A88.77</t>
  </si>
  <si>
    <t xml:space="preserve">  Activités de location et location-bail</t>
  </si>
  <si>
    <t>A88.78</t>
  </si>
  <si>
    <t xml:space="preserve">  Activités liées à l'emploi</t>
  </si>
  <si>
    <t>A88.79</t>
  </si>
  <si>
    <t xml:space="preserve">  Activités des agences de voyage, voyagistes, services de réservation et activités connexes</t>
  </si>
  <si>
    <t>A88.80</t>
  </si>
  <si>
    <t xml:space="preserve">  Enquêtes et sécurité</t>
  </si>
  <si>
    <t>A88.81</t>
  </si>
  <si>
    <t xml:space="preserve">  Services relatifs aux bâtiments et aménagement paysager</t>
  </si>
  <si>
    <t>A88.82</t>
  </si>
  <si>
    <t xml:space="preserve">  Activités administratives et autres activités de soutien aux entreprises</t>
  </si>
  <si>
    <t xml:space="preserve">Administration publique et défense - sécurité sociale obligatoire</t>
  </si>
  <si>
    <t>Enseignement</t>
  </si>
  <si>
    <t xml:space="preserve">Activités pour la santé humaine</t>
  </si>
  <si>
    <t xml:space="preserve">Hébergement médico-social et social et action sociale sans hébergement</t>
  </si>
  <si>
    <t>A88.87</t>
  </si>
  <si>
    <t xml:space="preserve">  Hébergement médico-social et social</t>
  </si>
  <si>
    <t>A88.88</t>
  </si>
  <si>
    <t xml:space="preserve">  Action sociale sans hébergement</t>
  </si>
  <si>
    <t xml:space="preserve">Arts, spectacles et activités récréatives</t>
  </si>
  <si>
    <t>A88.90</t>
  </si>
  <si>
    <t xml:space="preserve">  Activités créatives, artistiques et de spectacle</t>
  </si>
  <si>
    <t>A88.91</t>
  </si>
  <si>
    <t xml:space="preserve">  Bibliothèques, archives, musées et autres activités culturelles</t>
  </si>
  <si>
    <t>A88.92</t>
  </si>
  <si>
    <t xml:space="preserve">  Organisation de jeux de hasard et d'argent</t>
  </si>
  <si>
    <t>A88.93</t>
  </si>
  <si>
    <t xml:space="preserve">  Activités sportives, récréatives et de loisirs</t>
  </si>
  <si>
    <t xml:space="preserve">Autres activités de services</t>
  </si>
  <si>
    <t>A88.94</t>
  </si>
  <si>
    <t xml:space="preserve">  Activités des organisations associatives</t>
  </si>
  <si>
    <t>A88.95</t>
  </si>
  <si>
    <t xml:space="preserve">  Réparation d'ordinateurs et de biens personnels et domestiques</t>
  </si>
  <si>
    <t>A88.96</t>
  </si>
  <si>
    <t xml:space="preserve">  Autres services personnels</t>
  </si>
  <si>
    <t xml:space="preserve">Activités des ménages en tant qu'employeurs</t>
  </si>
  <si>
    <t>A88.97</t>
  </si>
  <si>
    <t xml:space="preserve">  Activités des ménages en tant qu'employeurs de personnel domestique</t>
  </si>
  <si>
    <t xml:space="preserve">2. Evolution de la VA de l’industrie diffuse</t>
  </si>
  <si>
    <t xml:space="preserve">2020 : pour les secteurs non renseignés, hypothèse d’une baisse de 9,5 % (baisse de la VA de l’industrie selon l’INSEE)</t>
  </si>
  <si>
    <t xml:space="preserve">Md€ 2015</t>
  </si>
  <si>
    <t xml:space="preserve">TOTAL DIFFUS hors construction</t>
  </si>
  <si>
    <t xml:space="preserve">TOTAL DIFFUS y.c construction</t>
  </si>
  <si>
    <t xml:space="preserve">INSEE (G€ prix courants)</t>
  </si>
  <si>
    <t xml:space="preserve">INSEE (G€ 2014)</t>
  </si>
  <si>
    <t xml:space="preserve">EC Ref (G€ 2015)</t>
  </si>
  <si>
    <t xml:space="preserve">Total « industrie et énergie »</t>
  </si>
  <si>
    <t xml:space="preserve">dont total industrie</t>
  </si>
  <si>
    <t xml:space="preserve">Total construction</t>
  </si>
  <si>
    <t xml:space="preserve">inflation cumulée par rapport à 2014</t>
  </si>
  <si>
    <t xml:space="preserve">Ratio VA diffus / VA industrie hors construction</t>
  </si>
  <si>
    <t xml:space="preserve">VA construction on garde tel quel</t>
  </si>
  <si>
    <t xml:space="preserve">AMS 2023</t>
  </si>
  <si>
    <t xml:space="preserve">VA industrie </t>
  </si>
  <si>
    <t>cadrage</t>
  </si>
  <si>
    <t xml:space="preserve">VA industrie diffuse</t>
  </si>
  <si>
    <t xml:space="preserve">VA construction</t>
  </si>
  <si>
    <t xml:space="preserve">Année de référence 2019</t>
  </si>
  <si>
    <t xml:space="preserve">Données Run 1</t>
  </si>
  <si>
    <t xml:space="preserve">Proposition Run 2</t>
  </si>
  <si>
    <t xml:space="preserve">Consommation d'énergie 2019</t>
  </si>
  <si>
    <t>Charbon</t>
  </si>
  <si>
    <t xml:space="preserve">Pétrole brut</t>
  </si>
  <si>
    <t xml:space="preserve">Produits pétroliers raffinés</t>
  </si>
  <si>
    <t xml:space="preserve">Gaz naturel</t>
  </si>
  <si>
    <t xml:space="preserve">EnR thermiques et déchets</t>
  </si>
  <si>
    <t xml:space="preserve">Chaleur de l'environnement</t>
  </si>
  <si>
    <t xml:space="preserve">Solaire thermique et géothermie</t>
  </si>
  <si>
    <t>Électricité</t>
  </si>
  <si>
    <t xml:space="preserve">Chaleur vendue</t>
  </si>
  <si>
    <t>Hydrogène</t>
  </si>
  <si>
    <t xml:space="preserve">Gains AAP FR Relance - run1</t>
  </si>
  <si>
    <t xml:space="preserve">Gains AAP FR Relance - run2</t>
  </si>
  <si>
    <t xml:space="preserve">Biomasse solide</t>
  </si>
  <si>
    <t>Déchets</t>
  </si>
  <si>
    <t>Biocarburants</t>
  </si>
  <si>
    <t xml:space="preserve">Gaz renouvelable</t>
  </si>
  <si>
    <t>Coke</t>
  </si>
  <si>
    <t xml:space="preserve">Electricité PAC</t>
  </si>
  <si>
    <t>GWh</t>
  </si>
  <si>
    <t>%/2019</t>
  </si>
  <si>
    <t>Source</t>
  </si>
  <si>
    <t xml:space="preserve">Commentaire changement entre run1 &amp; run2</t>
  </si>
  <si>
    <t xml:space="preserve">     Dont sidérurgie (hauts fourneaux)</t>
  </si>
  <si>
    <t xml:space="preserve">Eurostat (Energie dans la ligne transformation des hauts fourneaux)</t>
  </si>
  <si>
    <t xml:space="preserve">Distinction entre la consommation des hauts fourneaux  et de la siderurgie après fabrication de l'acier liquide</t>
  </si>
  <si>
    <t xml:space="preserve">     Dont sidérurgie (arc électrique)</t>
  </si>
  <si>
    <t>https://www.mdpi.com/1996-1073/14/16/5152</t>
  </si>
  <si>
    <t xml:space="preserve">     Dont sidérurgie (réduction directe)</t>
  </si>
  <si>
    <t xml:space="preserve">  Dont sidérurgie (mise en forme de l'acier)</t>
  </si>
  <si>
    <t xml:space="preserve">Par différence -Odyssée</t>
  </si>
  <si>
    <t xml:space="preserve">     Dont aluminium (primaire)</t>
  </si>
  <si>
    <t>DGEC</t>
  </si>
  <si>
    <t xml:space="preserve">     Dont aluminium (recyclé)</t>
  </si>
  <si>
    <t xml:space="preserve">European aluminium - Enviromental report</t>
  </si>
  <si>
    <t xml:space="preserve">     Dont autres métaux primaires</t>
  </si>
  <si>
    <t>Odyssée</t>
  </si>
  <si>
    <t xml:space="preserve">     Dont Ammoniac</t>
  </si>
  <si>
    <t xml:space="preserve">     Dont pétrochimie de base</t>
  </si>
  <si>
    <t xml:space="preserve">Extrapolé à partir de données Secten de 2014 </t>
  </si>
  <si>
    <t xml:space="preserve">     Dont autres chimies</t>
  </si>
  <si>
    <t>Non-métalliques</t>
  </si>
  <si>
    <t xml:space="preserve">     Dont ciment</t>
  </si>
  <si>
    <t xml:space="preserve">     Dont verre</t>
  </si>
  <si>
    <t xml:space="preserve">     Dont autres non-métalliques</t>
  </si>
  <si>
    <t xml:space="preserve">Industries agroalimentaires</t>
  </si>
  <si>
    <t xml:space="preserve">Dont Sucre</t>
  </si>
  <si>
    <t xml:space="preserve">Dont autres IAA</t>
  </si>
  <si>
    <t>Equipement</t>
  </si>
  <si>
    <t>Autres</t>
  </si>
  <si>
    <t xml:space="preserve">     Dont papier-pâtes</t>
  </si>
  <si>
    <t xml:space="preserve">     Dont autres</t>
  </si>
  <si>
    <t xml:space="preserve">Total </t>
  </si>
  <si>
    <t xml:space="preserve">Total (sans HF)</t>
  </si>
  <si>
    <t xml:space="preserve">Charbon + Coke </t>
  </si>
  <si>
    <t xml:space="preserve">Chaleur achetée </t>
  </si>
  <si>
    <t xml:space="preserve">Mix énergétique</t>
  </si>
  <si>
    <t xml:space="preserve">Électricité </t>
  </si>
  <si>
    <t xml:space="preserve">Gaz de réseau</t>
  </si>
  <si>
    <t>%</t>
  </si>
  <si>
    <t>Constant</t>
  </si>
  <si>
    <t xml:space="preserve">Disparition du charbon, et augmentation de la part de biomasse</t>
  </si>
  <si>
    <t xml:space="preserve"> Siderurgie autres (casting rolling)</t>
  </si>
  <si>
    <t xml:space="preserve">Pas de changement</t>
  </si>
  <si>
    <t xml:space="preserve">Reste constant</t>
  </si>
  <si>
    <t xml:space="preserve">Evolution simialire à AME run 1 mais avec des données historiques différentes</t>
  </si>
  <si>
    <t xml:space="preserve">Constant car pas de production d'hydrogène avec l'électrolyse</t>
  </si>
  <si>
    <t xml:space="preserve">Ajustement du point 2030 avec données Fr Relance</t>
  </si>
  <si>
    <t xml:space="preserve">Baisse de la part de charbon et augmentation de la biomasse et de l'électricité</t>
  </si>
  <si>
    <t xml:space="preserve">Augmentation de la part de biomasse </t>
  </si>
  <si>
    <t xml:space="preserve">Baisse du charbon et augmentation de l'électricité</t>
  </si>
  <si>
    <t xml:space="preserve">Augmentation de la biomasse et constant</t>
  </si>
  <si>
    <t xml:space="preserve">Mêmes données que dans l'onglet précédent, seule la présentation des chiffres (un tableau par année) change</t>
  </si>
  <si>
    <t xml:space="preserve">Consommation de pétrole réatribuée à du gaz, je pense qu'il y a un souci de scope entre Eurostat/SDES et les données du Secten sur la consommation de gaz/pétrole</t>
  </si>
  <si>
    <t xml:space="preserve">chaleur achetée </t>
  </si>
  <si>
    <t xml:space="preserve">2025 AME 2023</t>
  </si>
  <si>
    <t>Nucléaire</t>
  </si>
  <si>
    <t xml:space="preserve">EnR électriques</t>
  </si>
  <si>
    <t xml:space="preserve">Consommation d'énergie (% total)</t>
  </si>
  <si>
    <t xml:space="preserve">2050 AME 2023</t>
  </si>
  <si>
    <t xml:space="preserve">Rappel hypothèses run1</t>
  </si>
  <si>
    <t xml:space="preserve">     Dont aluminium primaire</t>
  </si>
  <si>
    <t xml:space="preserve">     Dont aluminium recyclé</t>
  </si>
  <si>
    <t xml:space="preserve">     Dont clinker</t>
  </si>
  <si>
    <t xml:space="preserve">Industrie agroalimentaire</t>
  </si>
  <si>
    <t xml:space="preserve">     Dont sucre</t>
  </si>
  <si>
    <t xml:space="preserve">     Dont autres Industries alimentaires et agricoles</t>
  </si>
  <si>
    <t xml:space="preserve">Rappel hypothèses scénarios précédents</t>
  </si>
  <si>
    <t xml:space="preserve">AME 2021</t>
  </si>
  <si>
    <t xml:space="preserve">Gains EE</t>
  </si>
  <si>
    <t xml:space="preserve">AMS 2018</t>
  </si>
  <si>
    <t xml:space="preserve">NW TEND</t>
  </si>
  <si>
    <t>NW</t>
  </si>
  <si>
    <t xml:space="preserve">Valeurs RTE pour le scénario de référence</t>
  </si>
  <si>
    <t xml:space="preserve">Entre 2030 et 2015</t>
  </si>
  <si>
    <t xml:space="preserve">Entre 2050 et 2015</t>
  </si>
  <si>
    <t xml:space="preserve">(gains par rapport à 2015)</t>
  </si>
  <si>
    <t xml:space="preserve">GES procédés</t>
  </si>
  <si>
    <t>Energie</t>
  </si>
  <si>
    <t>électricité</t>
  </si>
  <si>
    <t>combustibles</t>
  </si>
  <si>
    <t>Electricité</t>
  </si>
  <si>
    <t>Combustibles</t>
  </si>
  <si>
    <t xml:space="preserve">     Dont sidérurgie</t>
  </si>
  <si>
    <t xml:space="preserve">     Dont aluminium</t>
  </si>
  <si>
    <t xml:space="preserve">métaux non ferreux</t>
  </si>
  <si>
    <t xml:space="preserve">E12 - Industrie laitière </t>
  </si>
  <si>
    <t xml:space="preserve">E13 - Sucreries </t>
  </si>
  <si>
    <t xml:space="preserve">E14 - Industries agricoles et alimentaires (solde) </t>
  </si>
  <si>
    <t xml:space="preserve">E16 - Sidérurgie </t>
  </si>
  <si>
    <t xml:space="preserve">Ethylène </t>
  </si>
  <si>
    <t xml:space="preserve">E18 - Métallurgie de 1ère transf. des métaux non ferreux </t>
  </si>
  <si>
    <t xml:space="preserve">     Dont chlore</t>
  </si>
  <si>
    <t xml:space="preserve">E19 - Production de minéraux divers </t>
  </si>
  <si>
    <t xml:space="preserve">E20 - Fabr. de plâtres, produits en plâtre, chaux et ciments </t>
  </si>
  <si>
    <t xml:space="preserve">E21 - Prod. d'autres matériaux de construction et de céramique </t>
  </si>
  <si>
    <t xml:space="preserve">E22 - Industrie du verre </t>
  </si>
  <si>
    <t xml:space="preserve">E23 - Fabrication d'engrais </t>
  </si>
  <si>
    <t xml:space="preserve">E24 - Autres industries de la chimie minérale </t>
  </si>
  <si>
    <t xml:space="preserve">E25 - Mat. plastiques, caoutchouc synth. et autres élastomères </t>
  </si>
  <si>
    <t xml:space="preserve">E26 - Autres industries de la chimie organique de base </t>
  </si>
  <si>
    <t xml:space="preserve">E28 - Parachimie et industrie pharmaceutique </t>
  </si>
  <si>
    <t xml:space="preserve">E29 - Fonderie et travail des métaux </t>
  </si>
  <si>
    <t xml:space="preserve">E30 - Construction mécanique </t>
  </si>
  <si>
    <t xml:space="preserve">E31 - Construction électrique et électronique </t>
  </si>
  <si>
    <t xml:space="preserve">E32 - Véh. automobiles et autres matériels de transp. terrestre </t>
  </si>
  <si>
    <t xml:space="preserve">E33 - Constr. navale et aéronautique, armement </t>
  </si>
  <si>
    <t xml:space="preserve">E34 - Industrie textile, du cuir et de l'habillement </t>
  </si>
  <si>
    <t xml:space="preserve">E35 - Industrie du papier et du carton </t>
  </si>
  <si>
    <t xml:space="preserve">E36 - Industrie du caoutchouc </t>
  </si>
  <si>
    <t xml:space="preserve">E37 - Transformation des matières plastiques </t>
  </si>
  <si>
    <t xml:space="preserve">E38 - Industries diverses </t>
  </si>
  <si>
    <t xml:space="preserve">TOTAL INDUSTRIE</t>
  </si>
  <si>
    <t xml:space="preserve">Proposition AME run 2</t>
  </si>
  <si>
    <t xml:space="preserve">On prend le plus ambitieux de FR Relance ou du TEND ADME</t>
  </si>
  <si>
    <t xml:space="preserve">input AAP FR Relance puis baisse lente</t>
  </si>
  <si>
    <t xml:space="preserve">Rapprochment avec  ADEME TEND</t>
  </si>
  <si>
    <t xml:space="preserve">Ajustement du point 2050</t>
  </si>
  <si>
    <t xml:space="preserve">Autres sidérurgie</t>
  </si>
  <si>
    <t xml:space="preserve">repris du run 1</t>
  </si>
  <si>
    <t xml:space="preserve">repris du run1 - cohérent avec AAP FR Relance</t>
  </si>
  <si>
    <t xml:space="preserve">On prend 5% en 2050 pour prendre en compte la trajectoire de la metalurgie (6% en 2030)</t>
  </si>
  <si>
    <t xml:space="preserve">repris du run1 - cohérent avec input AAP FR Relance </t>
  </si>
  <si>
    <t xml:space="preserve">repris du run 1 (la consommation d'énergie va aussi évoluer en fonction de la part de l'hydrogène produite par électrolyse pas compté dans l'industrie)</t>
  </si>
  <si>
    <t xml:space="preserve">repris du run1 - Ca prend en compte les gain du recyclage - cohérent avec input AAP FR Relance </t>
  </si>
  <si>
    <t xml:space="preserve">Rapprochement Ademe (input AAP FR Relance pour 2025/2030)</t>
  </si>
  <si>
    <t xml:space="preserve">Rapprochement Ademe- cohérent avec input AAP FR Relance </t>
  </si>
  <si>
    <t xml:space="preserve">Rapprochement Ademe - cohérent avec input AAP FR Relance </t>
  </si>
  <si>
    <t xml:space="preserve">Repris du run1</t>
  </si>
  <si>
    <t xml:space="preserve">input AAP FR Relance puis baisse lente (+ relèvement pour rapprochement ADEME) - inclut le recyclage</t>
  </si>
  <si>
    <t xml:space="preserve">Rapprochement moyenne ADEME - cohérent avec input AAP FR Relance </t>
  </si>
  <si>
    <t xml:space="preserve">Calcul à partir du ratio énergie/production</t>
  </si>
  <si>
    <t xml:space="preserve">S2 Ademe</t>
  </si>
  <si>
    <t xml:space="preserve">S3 Ademe</t>
  </si>
  <si>
    <t xml:space="preserve">Secteur ADEME</t>
  </si>
  <si>
    <t xml:space="preserve">dont hauts fourneaux *</t>
  </si>
  <si>
    <t>/</t>
  </si>
  <si>
    <t xml:space="preserve">dont aciérie électrique (EAF) *</t>
  </si>
  <si>
    <t xml:space="preserve">dont DRI-EAF *</t>
  </si>
  <si>
    <t xml:space="preserve">dont aluminium *</t>
  </si>
  <si>
    <t xml:space="preserve">Prend en compte les gains dus au recyclage</t>
  </si>
  <si>
    <t xml:space="preserve">Métaux non ferreux</t>
  </si>
  <si>
    <t xml:space="preserve">dont ammoniac *</t>
  </si>
  <si>
    <t xml:space="preserve">Chimie organique</t>
  </si>
  <si>
    <t xml:space="preserve">Chimie minérale</t>
  </si>
  <si>
    <t xml:space="preserve">Ciment, chaux *</t>
  </si>
  <si>
    <t xml:space="preserve">Verre *</t>
  </si>
  <si>
    <t xml:space="preserve">Matériaux de construction</t>
  </si>
  <si>
    <t xml:space="preserve">Sucre *</t>
  </si>
  <si>
    <t xml:space="preserve">Autres agro alimentaire</t>
  </si>
  <si>
    <t xml:space="preserve">Transports terrestres</t>
  </si>
  <si>
    <t xml:space="preserve">Papiers-cartons (blanchiment) *</t>
  </si>
  <si>
    <t xml:space="preserve">Taux d'incorporation matières premières recyclées</t>
  </si>
  <si>
    <t xml:space="preserve">Taux d'incorporation</t>
  </si>
  <si>
    <t xml:space="preserve">Historique (BNR ADEME 2019)</t>
  </si>
  <si>
    <t>ADEME</t>
  </si>
  <si>
    <t>RTE</t>
  </si>
  <si>
    <t xml:space="preserve">commentaire historique</t>
  </si>
  <si>
    <t xml:space="preserve">commentaire AME</t>
  </si>
  <si>
    <t>TEND</t>
  </si>
  <si>
    <t>S1</t>
  </si>
  <si>
    <t>S2</t>
  </si>
  <si>
    <t>S3</t>
  </si>
  <si>
    <t>S4</t>
  </si>
  <si>
    <t>REF</t>
  </si>
  <si>
    <t xml:space="preserve">Impact prix du C : +0,5pt tous les 5 ans</t>
  </si>
  <si>
    <t xml:space="preserve">Repris du CITEPA</t>
  </si>
  <si>
    <t xml:space="preserve">hausse à 2030 puis constant</t>
  </si>
  <si>
    <t xml:space="preserve">taux de l’aluminium issu de l’affinage et du recyclage direct</t>
  </si>
  <si>
    <t>stable</t>
  </si>
  <si>
    <t>Plastiques</t>
  </si>
  <si>
    <t>N.R</t>
  </si>
  <si>
    <t xml:space="preserve">emballages uniquement – volume incorporé 2018 / volume de résines consommées 2019 – attention donnée peu fiable</t>
  </si>
  <si>
    <t xml:space="preserve">Effet plan de relance : +700kt de plastique recyclé incorporé dont 45 % sont des emballages</t>
  </si>
  <si>
    <t xml:space="preserve">TAUX MPR BAU AME</t>
  </si>
  <si>
    <t xml:space="preserve">Acier (%EAF/(EAF+BOF)</t>
  </si>
  <si>
    <t xml:space="preserve">taux d’incorporation de calcin par les verriers</t>
  </si>
  <si>
    <t xml:space="preserve">     Dont autres Industries agro-alimentaires</t>
  </si>
  <si>
    <t xml:space="preserve">TAUX MPR nW AMS</t>
  </si>
  <si>
    <t xml:space="preserve">taux d’incorporation de PCR</t>
  </si>
  <si>
    <t xml:space="preserve">poursuite de la hausse à 2030 puis constant</t>
  </si>
  <si>
    <t xml:space="preserve">Papier - pâtes</t>
  </si>
  <si>
    <t xml:space="preserve">On simplifie en faisant l’hypothèse que l’ensemble des consommations non-énergétiques sont liées à l’industrie (~98 % selon le SDES). Comme le SDES ne désagrège pas finement par sous-secteur, on reprend la répartition 2014 des scénarios ADEME, que l’on considère constante dans le temps. On fait évoluer les consommations par [vecteur]x[secteur] en fonction de l’évolution du niveau de production, et d’hypothèses sur l’efficacité des procédés ainsi que la substitution biomasse et H2.</t>
  </si>
  <si>
    <t xml:space="preserve">Bilan de l’énergie (SDES) Mtep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</si>
  <si>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</si>
  <si>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</si>
  <si>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</si>
  <si>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</si>
  <si>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</si>
  <si>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</si>
  <si>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</si>
  <si>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</si>
  <si>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</si>
  <si>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charbon</t>
  </si>
  <si>
    <t xml:space="preserve">Principalement acier (ADEME)</t>
  </si>
  <si>
    <t xml:space="preserve">Hypothèses sur le non-énergétiques pour l’AMS 2018 :</t>
  </si>
  <si>
    <t xml:space="preserve">gaz naturel</t>
  </si>
  <si>
    <t xml:space="preserve">41 % ammoniac, 50 % autres chimies, 9 % pétrochimie (25 % chimie minérale, 34 % chimie organique (dont 25 % pétrochimie)) – ADEME. Contient le gaz utilisé pour H2 (pas isolé)</t>
  </si>
  <si>
    <t xml:space="preserve">Consommation de pétrole pour la chimie réduite de 80 % (effet du recyclage du plastique)</t>
  </si>
  <si>
    <t>PPR</t>
  </si>
  <si>
    <t xml:space="preserve">3 % aluminium, 67 % pétrochimie, 29 % autres chimies (95 % chimie organique dont 70 % pétrochimie), 2 % autres (ADEME)</t>
  </si>
  <si>
    <t xml:space="preserve">Consommation de gaz pour la chimie réduite de 50 % (procédé à hydrogène et réduction des intrants en agriculture)</t>
  </si>
  <si>
    <t xml:space="preserve">dont industrie</t>
  </si>
  <si>
    <t xml:space="preserve">Consommation de pétrole pour la construction réduite de 50 % (effet biosourcé)</t>
  </si>
  <si>
    <t xml:space="preserve">dont pétrochimie</t>
  </si>
  <si>
    <t xml:space="preserve">Introduction d’hydrogène (Remplacement de 50 % du gaz par de l’hydrogène, 6 TWh de conso de combustible liquide remplacé par de l’hydrogène)</t>
  </si>
  <si>
    <t xml:space="preserve">dont construction</t>
  </si>
  <si>
    <t xml:space="preserve">dont autres industries</t>
  </si>
  <si>
    <t xml:space="preserve">conso finale à usage non énergétique</t>
  </si>
  <si>
    <t xml:space="preserve">Consommation finale à usage non énergétique de produits raffinés (yc soutes aériennes)</t>
  </si>
  <si>
    <t>Mtep</t>
  </si>
  <si>
    <t>gaz</t>
  </si>
  <si>
    <t>biomasse</t>
  </si>
  <si>
    <t>H2</t>
  </si>
  <si>
    <t>Sidérurgie</t>
  </si>
  <si>
    <t>Pétrochimie</t>
  </si>
  <si>
    <t xml:space="preserve">Autres chimies</t>
  </si>
  <si>
    <t xml:space="preserve">Construction (bitume…)</t>
  </si>
  <si>
    <t xml:space="preserve">Autres (électronique charbon/fuel, pharmacie gaz nat)</t>
  </si>
  <si>
    <t xml:space="preserve">Nouvelle proposition run2</t>
  </si>
  <si>
    <t xml:space="preserve">2. AME</t>
  </si>
  <si>
    <t xml:space="preserve">Substitution des non énergétiques </t>
  </si>
  <si>
    <t xml:space="preserve">La consommation de non énergétique est incluse dans la consommation d'énergie des Hauts fourneaux</t>
  </si>
  <si>
    <t xml:space="preserve">Coke de pétrole</t>
  </si>
  <si>
    <t>Biocoke</t>
  </si>
  <si>
    <t xml:space="preserve">Anode inerte</t>
  </si>
  <si>
    <t xml:space="preserve">Gaz (vaporeformage)</t>
  </si>
  <si>
    <t xml:space="preserve">Hydrogène directe (par électrolyne non considéré dans le scope industrie)</t>
  </si>
  <si>
    <t>Naphta</t>
  </si>
  <si>
    <t>Bionaohta</t>
  </si>
  <si>
    <t xml:space="preserve">Méthanol to oléphine</t>
  </si>
  <si>
    <t>Biofuel</t>
  </si>
  <si>
    <t>Biogaz</t>
  </si>
  <si>
    <t>Pétrole</t>
  </si>
  <si>
    <t>Biopétrole</t>
  </si>
  <si>
    <t xml:space="preserve">Synthétique fuel</t>
  </si>
  <si>
    <t xml:space="preserve">Pétrole </t>
  </si>
  <si>
    <t xml:space="preserve">Biofuel </t>
  </si>
  <si>
    <t xml:space="preserve">Pertes transport - stockage</t>
  </si>
  <si>
    <t xml:space="preserve">BRGM 2009 SOCECO2 </t>
  </si>
  <si>
    <t xml:space="preserve">On considère 1/2 du projet 3D</t>
  </si>
  <si>
    <t xml:space="preserve">part de CO2 biogénique</t>
  </si>
  <si>
    <t xml:space="preserve">part stockée</t>
  </si>
  <si>
    <t xml:space="preserve">part utilisée</t>
  </si>
  <si>
    <t xml:space="preserve">On considère 1/2 du projet Val de Seine</t>
  </si>
  <si>
    <t xml:space="preserve">données run1</t>
  </si>
  <si>
    <t xml:space="preserve">0,7Mt CCU en 2040 dans le projet Seine</t>
  </si>
  <si>
    <t xml:space="preserve">On considère 1/2 du projet K6</t>
  </si>
  <si>
    <t xml:space="preserve">TOTAL industrie</t>
  </si>
  <si>
    <t xml:space="preserve">Production d’énergie</t>
  </si>
  <si>
    <t xml:space="preserve">production d'électricité</t>
  </si>
  <si>
    <t xml:space="preserve">production de chaleur</t>
  </si>
  <si>
    <t>raffinage</t>
  </si>
  <si>
    <t xml:space="preserve">Le projet Seine inclut une partie de raffinage</t>
  </si>
  <si>
    <t xml:space="preserve">TOTAL énergie</t>
  </si>
  <si>
    <t xml:space="preserve">Total CCUS</t>
  </si>
  <si>
    <t>DAC</t>
  </si>
  <si>
    <t xml:space="preserve">Total CCS fossile</t>
  </si>
  <si>
    <t xml:space="preserve">Total CCU fossile</t>
  </si>
  <si>
    <t xml:space="preserve">Total BECCS</t>
  </si>
  <si>
    <t xml:space="preserve">Total BECCU</t>
  </si>
  <si>
    <t xml:space="preserve">Total DACCS</t>
  </si>
  <si>
    <t xml:space="preserve">Total DACCU</t>
  </si>
  <si>
    <t xml:space="preserve">Total carbonatation du béton</t>
  </si>
  <si>
    <t xml:space="preserve">Total puits techno</t>
  </si>
  <si>
    <t xml:space="preserve">Carbone utilisé</t>
  </si>
  <si>
    <t xml:space="preserve">Carbone fossile stocké</t>
  </si>
  <si>
    <t xml:space="preserve">émissions négatives</t>
  </si>
  <si>
    <t xml:space="preserve">Projets AME : </t>
  </si>
  <si>
    <t xml:space="preserve">Dunkerque projet 3D (Total, ArcelorMittal, IFPEN, Axens) : 1Mt 2025 (mais pas de stockage!), 10Mt 2035 (sidérurgie)</t>
  </si>
  <si>
    <t xml:space="preserve">Normandie (Air Liquide, Borealis, Esso, Total, Yara) : 3Mt en 2030 (ammoniac, pétrochimie)</t>
  </si>
  <si>
    <t xml:space="preserve">Zone portuaire Val de eine (FdR Chimie) 0,2-0,6kt/an dès 2030, étude de pré-fiasabilité dit 5,4Mt en 2032 puis 7,7 en 2040</t>
  </si>
  <si>
    <t xml:space="preserve">Projet K6 - Cimenterie Eqilum - Lumbres Nord par de Calais. 5Mt en 2050 ciment. Mise en service 2026.  https://www.usinenouvelle.com/article/le-projet-de-captage-et-stockage-de-co2-d-eqiom-finance-par-le-fonds-innovation-europeen.N1162387 et https://www.legifrance.gouv.fr/jorf/id/JORFTEXT000044319595</t>
  </si>
  <si>
    <t xml:space="preserve">Production et consommation des principaux biens de consommation et d'équipement</t>
  </si>
  <si>
    <t xml:space="preserve">Consommation 2014</t>
  </si>
  <si>
    <t xml:space="preserve">Consommation 2019 consolidé AME/AMS</t>
  </si>
  <si>
    <t xml:space="preserve">Consommation 2030</t>
  </si>
  <si>
    <t xml:space="preserve">Consommation 2050 </t>
  </si>
  <si>
    <t>Dichlore</t>
  </si>
  <si>
    <t xml:space="preserve">MECA ELEC TEXTILE DIVERS</t>
  </si>
  <si>
    <t>Mt</t>
  </si>
  <si>
    <t>Mécanique</t>
  </si>
  <si>
    <t>Electronique</t>
  </si>
  <si>
    <t>Textile</t>
  </si>
  <si>
    <t xml:space="preserve">Divers autres</t>
  </si>
  <si>
    <t>EMBALLAGES</t>
  </si>
  <si>
    <t>Emballages</t>
  </si>
  <si>
    <t>TRANSPORTS</t>
  </si>
  <si>
    <t xml:space="preserve">Transports terre</t>
  </si>
  <si>
    <t xml:space="preserve">Transports (NAA)</t>
  </si>
  <si>
    <t>BTP</t>
  </si>
  <si>
    <t>Bâtiment</t>
  </si>
  <si>
    <t xml:space="preserve">Ouvrages d'art</t>
  </si>
  <si>
    <t xml:space="preserve">Réseau ferré</t>
  </si>
  <si>
    <t>Voirie</t>
  </si>
  <si>
    <t>ENERGIE</t>
  </si>
  <si>
    <t>Eolien</t>
  </si>
  <si>
    <t>Photovoltaique</t>
  </si>
  <si>
    <t>Méthanisation</t>
  </si>
  <si>
    <t>CHIMIE</t>
  </si>
  <si>
    <t xml:space="preserve">Engrais azotés</t>
  </si>
  <si>
    <t xml:space="preserve">Engrais autres</t>
  </si>
  <si>
    <t>Phytosanitaires</t>
  </si>
  <si>
    <t xml:space="preserve">Entretien toilette</t>
  </si>
  <si>
    <t>Peintures,vernis,colles</t>
  </si>
  <si>
    <t>Pharmacie</t>
  </si>
  <si>
    <t>PAPIER</t>
  </si>
  <si>
    <t xml:space="preserve">Papier sanitaire</t>
  </si>
  <si>
    <t xml:space="preserve">Papier graphique</t>
  </si>
  <si>
    <t xml:space="preserve">Papiers spéciaux</t>
  </si>
  <si>
    <t xml:space="preserve">AGRO ALIMENTAIRE</t>
  </si>
  <si>
    <t xml:space="preserve">Agro alimentaire</t>
  </si>
  <si>
    <t>REACTIFS</t>
  </si>
  <si>
    <t>Metallurgie</t>
  </si>
  <si>
    <t>Engrais</t>
  </si>
  <si>
    <t>Recuperation</t>
  </si>
  <si>
    <t>Divers</t>
  </si>
  <si>
    <t>Pertes,ajustements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</si>
</sst>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0" formatCode="\ * #,##0.00\ ;\-* #,##0.00\ ;\ * \-#\ ;\ @\ "/>
    <numFmt numFmtId="161" formatCode="\ * #,##0.00&quot;    &quot;;\-* #,##0.00&quot;    &quot;;\ * \-#&quot;    &quot;;\ @\ "/>
    <numFmt numFmtId="162" formatCode="0\ %"/>
    <numFmt numFmtId="163" formatCode="0.0"/>
    <numFmt numFmtId="164" formatCode="0.000"/>
    <numFmt numFmtId="165" formatCode="0.00\ %"/>
    <numFmt numFmtId="166" formatCode="0.0%"/>
    <numFmt numFmtId="167" formatCode="#,##0.0"/>
    <numFmt numFmtId="168" formatCode="0.0\ %"/>
    <numFmt numFmtId="169" formatCode="0.0000"/>
  </numFmts>
  <fonts count="89">
    <font>
      <name val="Calibri"/>
      <color indexed="64"/>
      <sz val="11.000000"/>
    </font>
    <font>
      <name val="Times New Roman"/>
      <color indexed="4"/>
      <sz val="10.000000"/>
      <u/>
    </font>
    <font>
      <name val="Times New Roman"/>
      <sz val="10.000000"/>
      <u/>
    </font>
    <font>
      <name val="Times New Roman"/>
      <sz val="9.000000"/>
    </font>
    <font>
      <name val="Calibri"/>
      <sz val="11.000000"/>
    </font>
    <font>
      <name val="Calibri"/>
      <color indexed="65"/>
      <sz val="11.000000"/>
    </font>
    <font>
      <name val="Calibri"/>
      <color indexed="65"/>
      <sz val="10.000000"/>
    </font>
    <font>
      <name val="Calibri"/>
      <sz val="10.000000"/>
    </font>
    <font>
      <name val="Calibri"/>
      <b/>
      <color indexed="64"/>
      <sz val="10.000000"/>
    </font>
    <font>
      <name val="Calibri"/>
      <b/>
      <sz val="10.000000"/>
    </font>
    <font>
      <name val="Times New Roman"/>
      <b/>
      <sz val="9.000000"/>
    </font>
    <font>
      <name val="Times New Roman"/>
      <color indexed="64"/>
      <sz val="9.000000"/>
    </font>
    <font>
      <name val="Times New Roman"/>
      <color indexed="64"/>
      <sz val="12.000000"/>
    </font>
    <font>
      <name val="Times New Roman"/>
      <sz val="12.000000"/>
    </font>
    <font>
      <name val="Calibri"/>
      <b/>
      <color indexed="63"/>
      <sz val="11.000000"/>
    </font>
    <font>
      <name val="Calibri"/>
      <color rgb="FFCA0200"/>
      <sz val="10.000000"/>
    </font>
    <font>
      <name val="Calibri"/>
      <color indexed="20"/>
      <sz val="11.000000"/>
    </font>
    <font>
      <name val="Calibri"/>
      <color rgb="FFCC0000"/>
      <sz val="10.000000"/>
    </font>
    <font>
      <name val="Calibri"/>
      <b/>
      <color indexed="52"/>
      <sz val="11.000000"/>
    </font>
    <font>
      <name val="Calibri"/>
      <b/>
      <sz val="11.000000"/>
    </font>
    <font>
      <name val="Calibri"/>
      <b/>
      <color indexed="65"/>
      <sz val="11.000000"/>
    </font>
    <font>
      <name val="Arial"/>
      <b/>
      <color indexed="4"/>
      <sz val="11.000000"/>
    </font>
    <font>
      <name val="Arial"/>
      <b/>
      <sz val="11.000000"/>
    </font>
    <font>
      <name val="Calibri"/>
      <color indexed="62"/>
      <sz val="11.000000"/>
    </font>
    <font>
      <name val="Arial"/>
      <sz val="10.000000"/>
    </font>
    <font>
      <name val="Calibri"/>
      <b/>
      <color indexed="64"/>
      <sz val="11.000000"/>
    </font>
    <font>
      <name val="Calibri"/>
      <i/>
      <color indexed="23"/>
      <sz val="11.000000"/>
    </font>
    <font>
      <name val="Calibri"/>
      <i/>
      <sz val="11.000000"/>
    </font>
    <font>
      <name val="Calibri"/>
      <b/>
      <color indexed="65"/>
      <sz val="10.000000"/>
    </font>
    <font>
      <name val="Calibri"/>
      <i/>
      <color indexed="23"/>
      <sz val="10.000000"/>
    </font>
    <font>
      <name val="Calibri"/>
      <i/>
      <sz val="10.000000"/>
    </font>
    <font>
      <name val="Calibri"/>
      <color rgb="FF007926"/>
      <sz val="10.000000"/>
    </font>
    <font>
      <name val="Calibri"/>
      <color rgb="FF006600"/>
      <sz val="10.000000"/>
    </font>
    <font>
      <name val="Calibri"/>
      <color rgb="FF007926"/>
      <sz val="11.000000"/>
    </font>
    <font>
      <name val="Calibri"/>
      <color indexed="64"/>
      <sz val="18.000000"/>
    </font>
    <font>
      <name val="Calibri"/>
      <sz val="18.000000"/>
    </font>
    <font>
      <name val="Calibri"/>
      <b/>
      <color indexed="56"/>
      <sz val="15.000000"/>
    </font>
    <font>
      <name val="Calibri"/>
      <color indexed="64"/>
      <sz val="12.000000"/>
    </font>
    <font>
      <name val="Calibri"/>
      <sz val="12.000000"/>
    </font>
    <font>
      <name val="Calibri"/>
      <b/>
      <color indexed="56"/>
      <sz val="13.000000"/>
    </font>
    <font>
      <name val="Calibri"/>
      <b/>
      <color indexed="64"/>
      <sz val="24.000000"/>
    </font>
    <font>
      <name val="Calibri"/>
      <b/>
      <color indexed="56"/>
      <sz val="11.000000"/>
    </font>
    <font>
      <name val="Calibri"/>
      <b/>
      <sz val="24.000000"/>
    </font>
    <font>
      <name val="Times New Roman"/>
      <b/>
      <sz val="12.000000"/>
    </font>
    <font>
      <name val="Calibri"/>
      <color indexed="4"/>
      <sz val="10.000000"/>
      <u/>
    </font>
    <font>
      <name val="Calibri"/>
      <sz val="10.000000"/>
      <u/>
    </font>
    <font>
      <name val="Calibri"/>
      <color rgb="FF0000EE"/>
      <sz val="10.000000"/>
      <u/>
    </font>
    <font>
      <name val="Times New Roman"/>
      <b/>
      <color indexed="64"/>
      <sz val="12.000000"/>
    </font>
    <font>
      <name val="Calibri"/>
      <color rgb="FF0563C1"/>
      <sz val="11.000000"/>
      <u/>
    </font>
    <font>
      <name val="Calibri"/>
      <color indexed="52"/>
      <sz val="11.000000"/>
    </font>
    <font>
      <name val="Calibri"/>
      <color rgb="FFED661E"/>
      <sz val="10.000000"/>
    </font>
    <font>
      <name val="Calibri"/>
      <color indexed="60"/>
      <sz val="10.000000"/>
    </font>
    <font>
      <name val="Calibri"/>
      <color rgb="FF996600"/>
      <sz val="10.000000"/>
    </font>
    <font>
      <name val="Calibri"/>
      <color rgb="FFCA0200"/>
      <sz val="11.000000"/>
    </font>
    <font>
      <name val="Calibri"/>
      <color indexed="63"/>
      <sz val="11.000000"/>
    </font>
    <font>
      <name val="Arial"/>
      <sz val="8.000000"/>
    </font>
    <font>
      <name val="Calibri"/>
      <color indexed="63"/>
      <sz val="10.000000"/>
    </font>
    <font>
      <name val="Arial"/>
      <color indexed="64"/>
      <sz val="10.000000"/>
    </font>
    <font>
      <name val="Calibri"/>
      <color indexed="64"/>
      <sz val="8.000000"/>
    </font>
    <font>
      <name val="Calibri"/>
      <b/>
      <color indexed="64"/>
      <sz val="18.000000"/>
    </font>
    <font>
      <name val="Arial"/>
      <i/>
      <color rgb="FFAFABAB"/>
      <sz val="10.000000"/>
    </font>
    <font>
      <name val="Calibri"/>
      <i/>
      <color rgb="FFAFABAB"/>
      <sz val="11.000000"/>
    </font>
    <font>
      <name val="Calibri"/>
      <color rgb="FFAFABAB"/>
      <sz val="11.000000"/>
    </font>
    <font>
      <name val="Calibri"/>
      <color indexed="2"/>
      <sz val="11.000000"/>
    </font>
    <font>
      <name val="Calibri"/>
      <color indexed="64"/>
      <sz val="9.000000"/>
    </font>
    <font>
      <name val="Arial"/>
      <b/>
      <color indexed="64"/>
      <sz val="8.000000"/>
    </font>
    <font>
      <name val="Verdana"/>
      <color rgb="FF00758F"/>
      <sz val="18.000000"/>
    </font>
    <font>
      <name val="Verdana"/>
      <color rgb="FF00758F"/>
      <sz val="11.000000"/>
    </font>
    <font>
      <name val="Arial"/>
      <b/>
      <color indexed="64"/>
      <sz val="10.000000"/>
    </font>
    <font>
      <name val="Calibri"/>
      <color rgb="FFFF5900"/>
      <sz val="11.000000"/>
    </font>
    <font>
      <name val="Arial"/>
      <b/>
      <color indexed="64"/>
      <sz val="9.000000"/>
    </font>
    <font>
      <name val="Calibri"/>
      <color rgb="FFC00000"/>
      <sz val="11.000000"/>
    </font>
    <font>
      <name val="Calibri"/>
      <color rgb="FF7030A0"/>
      <sz val="11.000000"/>
    </font>
    <font>
      <name val="Arial"/>
      <b/>
      <color indexed="64"/>
      <sz val="11.000000"/>
    </font>
    <font>
      <name val="Arial"/>
      <i/>
      <color indexed="64"/>
      <sz val="11.000000"/>
    </font>
    <font>
      <name val="Calibri"/>
      <color indexed="64"/>
      <sz val="10.000000"/>
    </font>
    <font>
      <name val="Calibri"/>
      <b/>
      <color indexed="2"/>
      <sz val="11.000000"/>
    </font>
    <font>
      <name val="Arial"/>
      <i/>
      <color indexed="63"/>
      <sz val="11.000000"/>
    </font>
    <font>
      <name val="Arial"/>
      <i/>
      <color indexed="65"/>
      <sz val="11.000000"/>
    </font>
    <font>
      <name val="Calibri"/>
      <i/>
      <color indexed="30"/>
      <sz val="9.000000"/>
    </font>
    <font>
      <name val="Calibri"/>
      <b/>
      <sz val="9.000000"/>
    </font>
    <font>
      <name val="Calibri"/>
      <sz val="9.000000"/>
    </font>
    <font>
      <name val="Arial"/>
      <i/>
      <sz val="11.000000"/>
    </font>
    <font>
      <name val="Arial"/>
      <i/>
      <color indexed="2"/>
      <sz val="11.000000"/>
    </font>
    <font>
      <name val="Calibri"/>
      <color rgb="FF548235"/>
      <sz val="11.000000"/>
    </font>
    <font>
      <name val="Calibri"/>
      <i/>
      <color rgb="FFC00000"/>
      <sz val="11.000000"/>
    </font>
    <font>
      <name val="Calibri"/>
      <color indexed="23"/>
      <sz val="10.000000"/>
    </font>
    <font>
      <name val="Calibri"/>
      <color rgb="FF595959"/>
      <sz val="9.000000"/>
    </font>
    <font>
      <name val="Arial"/>
      <b/>
      <i/>
      <color indexed="65"/>
      <sz val="11.000000"/>
    </font>
  </fonts>
  <fills count="76">
    <fill>
      <patternFill patternType="none"/>
    </fill>
    <fill>
      <patternFill patternType="gray125"/>
    </fill>
    <fill>
      <patternFill patternType="solid">
        <fgColor rgb="FFCAD0FE"/>
        <bgColor rgb="FFBDD7EE"/>
      </patternFill>
    </fill>
    <fill>
      <patternFill patternType="solid">
        <fgColor indexed="65"/>
        <bgColor rgb="FFF2F2F2"/>
      </patternFill>
    </fill>
    <fill>
      <patternFill patternType="solid">
        <fgColor indexed="45"/>
        <bgColor rgb="FFFF8584"/>
      </patternFill>
    </fill>
    <fill>
      <patternFill patternType="solid">
        <fgColor indexed="45"/>
        <bgColor rgb="FFFF8482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rgb="FFFFCC9B"/>
        <bgColor rgb="FFD8D8D8"/>
      </patternFill>
    </fill>
    <fill>
      <patternFill patternType="solid">
        <fgColor rgb="FF9ACBFD"/>
        <bgColor rgb="FF9DC3E6"/>
      </patternFill>
    </fill>
    <fill>
      <patternFill patternType="solid">
        <fgColor rgb="FF9ACBFD"/>
        <bgColor rgb="FFB4C7E5"/>
      </patternFill>
    </fill>
    <fill>
      <patternFill patternType="solid">
        <fgColor rgb="FFFF8584"/>
        <bgColor rgb="FFED7D31"/>
      </patternFill>
    </fill>
    <fill>
      <patternFill patternType="solid">
        <fgColor rgb="FFFF8482"/>
        <bgColor rgb="FFED7D31"/>
      </patternFill>
    </fill>
    <fill>
      <patternFill patternType="solid">
        <fgColor indexed="3"/>
        <bgColor indexed="49"/>
      </patternFill>
    </fill>
    <fill>
      <patternFill patternType="solid">
        <fgColor indexed="51"/>
        <bgColor rgb="FFFFC000"/>
      </patternFill>
    </fill>
    <fill>
      <patternFill patternType="solid">
        <fgColor rgb="FF006DB3"/>
        <bgColor rgb="FF2A6099"/>
      </patternFill>
    </fill>
    <fill>
      <patternFill patternType="solid">
        <fgColor rgb="FF006DB1"/>
        <bgColor rgb="FF2E66A0"/>
      </patternFill>
    </fill>
    <fill>
      <patternFill patternType="solid">
        <fgColor indexed="20"/>
        <bgColor rgb="FF832D94"/>
      </patternFill>
    </fill>
    <fill>
      <patternFill patternType="solid">
        <fgColor indexed="20"/>
        <bgColor rgb="FF862D92"/>
      </patternFill>
    </fill>
    <fill>
      <patternFill patternType="solid">
        <fgColor indexed="49"/>
        <bgColor rgb="FF9ACBFD"/>
      </patternFill>
    </fill>
    <fill>
      <patternFill patternType="solid">
        <fgColor indexed="49"/>
        <bgColor rgb="FF5B9BD5"/>
      </patternFill>
    </fill>
    <fill>
      <patternFill patternType="solid">
        <fgColor indexed="52"/>
        <bgColor rgb="FFFF9109"/>
      </patternFill>
    </fill>
    <fill>
      <patternFill patternType="solid">
        <fgColor indexed="64"/>
        <bgColor rgb="FF03333D"/>
      </patternFill>
    </fill>
    <fill>
      <patternFill patternType="solid">
        <fgColor indexed="64"/>
        <bgColor rgb="FF04333B"/>
      </patternFill>
    </fill>
    <fill>
      <patternFill patternType="solid">
        <fgColor indexed="23"/>
        <bgColor rgb="FF959698"/>
      </patternFill>
    </fill>
    <fill>
      <patternFill patternType="solid">
        <fgColor rgb="FFE0E3F2"/>
        <bgColor rgb="FFEBE4F1"/>
      </patternFill>
    </fill>
    <fill>
      <patternFill patternType="solid">
        <fgColor rgb="FF303434"/>
        <bgColor rgb="FF03333D"/>
      </patternFill>
    </fill>
    <fill>
      <patternFill patternType="solid">
        <fgColor rgb="FF303434"/>
        <bgColor rgb="FF04333B"/>
      </patternFill>
    </fill>
    <fill>
      <patternFill patternType="solid">
        <fgColor rgb="FFE0E3F2"/>
        <bgColor rgb="FFDEEBF7"/>
      </patternFill>
    </fill>
    <fill>
      <patternFill patternType="solid">
        <fgColor indexed="62"/>
        <bgColor rgb="FF2F5597"/>
      </patternFill>
    </fill>
    <fill>
      <patternFill patternType="solid">
        <fgColor indexed="62"/>
        <bgColor rgb="FF285C96"/>
      </patternFill>
    </fill>
    <fill>
      <patternFill patternType="solid">
        <fgColor indexed="2"/>
        <bgColor rgb="FFCC0000"/>
      </patternFill>
    </fill>
    <fill>
      <patternFill patternType="solid">
        <fgColor indexed="2"/>
        <bgColor rgb="FFCB0100"/>
      </patternFill>
    </fill>
    <fill>
      <patternFill patternType="solid">
        <fgColor rgb="FF489A37"/>
        <bgColor rgb="FF76AF45"/>
      </patternFill>
    </fill>
    <fill>
      <patternFill patternType="mediumGray">
        <fgColor rgb="FF489A37"/>
        <bgColor rgb="FF118C18"/>
      </patternFill>
    </fill>
    <fill>
      <patternFill patternType="mediumGray">
        <fgColor rgb="FF469D38"/>
        <bgColor rgb="FF119019"/>
      </patternFill>
    </fill>
    <fill>
      <patternFill patternType="solid">
        <fgColor rgb="FF469D38"/>
        <bgColor rgb="FF70AC47"/>
      </patternFill>
    </fill>
    <fill>
      <patternFill patternType="solid">
        <fgColor rgb="FFFF5900"/>
        <bgColor rgb="FFED661E"/>
      </patternFill>
    </fill>
    <fill>
      <patternFill patternType="solid">
        <fgColor indexed="22"/>
        <bgColor rgb="FFBFBFBF"/>
      </patternFill>
    </fill>
    <fill>
      <patternFill patternType="darkGray">
        <fgColor rgb="FFFFCC9B"/>
        <bgColor rgb="FFD8D8D8"/>
      </patternFill>
    </fill>
    <fill>
      <patternFill patternType="solid">
        <fgColor rgb="FF959698"/>
        <bgColor rgb="FFABA8A8"/>
      </patternFill>
    </fill>
    <fill>
      <patternFill patternType="solid">
        <fgColor rgb="FF959698"/>
        <bgColor rgb="FFA5A5A5"/>
      </patternFill>
    </fill>
    <fill>
      <patternFill patternType="darkGray">
        <fgColor rgb="FFC20000"/>
        <bgColor rgb="FFCC0000"/>
      </patternFill>
    </fill>
    <fill>
      <patternFill patternType="mediumGray">
        <fgColor rgb="FFCB0100"/>
        <bgColor rgb="FFC00000"/>
      </patternFill>
    </fill>
    <fill>
      <patternFill patternType="solid">
        <fgColor rgb="FFCC0000"/>
        <bgColor rgb="FFC20000"/>
      </patternFill>
    </fill>
    <fill>
      <patternFill patternType="solid">
        <fgColor rgb="FFCB0100"/>
        <bgColor rgb="FFC00000"/>
      </patternFill>
    </fill>
    <fill>
      <patternFill patternType="solid">
        <fgColor rgb="FFFFFFC8"/>
        <bgColor indexed="65"/>
      </patternFill>
    </fill>
    <fill>
      <patternFill patternType="solid">
        <fgColor rgb="FFFFFFC8"/>
        <bgColor rgb="FFE2F0D9"/>
      </patternFill>
    </fill>
    <fill>
      <patternFill patternType="solid">
        <fgColor indexed="5"/>
        <bgColor indexed="51"/>
      </patternFill>
    </fill>
    <fill>
      <patternFill patternType="solid">
        <fgColor rgb="FFDEEBF7"/>
        <bgColor rgb="FFE0E3F2"/>
      </patternFill>
    </fill>
    <fill>
      <patternFill patternType="darkGray">
        <fgColor rgb="FFEBE4F1"/>
        <bgColor rgb="FFE0E3F2"/>
      </patternFill>
    </fill>
    <fill>
      <patternFill patternType="solid">
        <fgColor rgb="FFABA8A8"/>
        <bgColor rgb="FF959698"/>
      </patternFill>
    </fill>
    <fill>
      <patternFill patternType="solid">
        <fgColor rgb="FFFFC000"/>
        <bgColor indexed="51"/>
      </patternFill>
    </fill>
    <fill>
      <patternFill patternType="solid">
        <fgColor rgb="FFED7D31"/>
        <bgColor rgb="FFED661E"/>
      </patternFill>
    </fill>
    <fill>
      <patternFill patternType="solid">
        <fgColor rgb="FF4B7AC1"/>
        <bgColor rgb="FF2E66A0"/>
      </patternFill>
    </fill>
    <fill>
      <patternFill patternType="solid">
        <fgColor rgb="FFFA5D38"/>
        <bgColor rgb="FFED661E"/>
      </patternFill>
    </fill>
    <fill>
      <patternFill patternType="solid">
        <fgColor rgb="FFB7C5DB"/>
        <bgColor rgb="FFB4C7E5"/>
      </patternFill>
    </fill>
    <fill>
      <patternFill patternType="solid">
        <fgColor rgb="FF76AF45"/>
        <bgColor rgb="FF489A37"/>
      </patternFill>
    </fill>
    <fill>
      <patternFill patternType="solid">
        <fgColor rgb="FFFF9109"/>
        <bgColor indexed="52"/>
      </patternFill>
    </fill>
    <fill>
      <patternFill patternType="solid">
        <fgColor rgb="FFC20000"/>
        <bgColor rgb="FFCC0000"/>
      </patternFill>
    </fill>
    <fill>
      <patternFill patternType="solid">
        <fgColor rgb="FFBFBFBF"/>
        <bgColor indexed="22"/>
      </patternFill>
    </fill>
    <fill>
      <patternFill patternType="darkGray">
        <fgColor rgb="FFFF8584"/>
        <bgColor indexed="45"/>
      </patternFill>
    </fill>
    <fill>
      <patternFill patternType="darkGray">
        <fgColor rgb="FFFA5D38"/>
        <bgColor rgb="FFED661E"/>
      </patternFill>
    </fill>
    <fill>
      <patternFill patternType="solid">
        <fgColor rgb="FFCCCCCC"/>
        <bgColor indexed="22"/>
      </patternFill>
    </fill>
    <fill>
      <patternFill patternType="solid">
        <fgColor rgb="FFF2F2F2"/>
        <bgColor rgb="FFEBE4F1"/>
      </patternFill>
    </fill>
    <fill>
      <patternFill patternType="solid">
        <fgColor rgb="FF832D94"/>
        <bgColor indexed="20"/>
      </patternFill>
    </fill>
    <fill>
      <patternFill patternType="solid">
        <fgColor rgb="FFED661E"/>
        <bgColor rgb="FFFA5D38"/>
      </patternFill>
    </fill>
    <fill>
      <patternFill patternType="darkGray">
        <fgColor indexed="5"/>
        <bgColor indexed="51"/>
      </patternFill>
    </fill>
    <fill>
      <patternFill patternType="solid">
        <fgColor rgb="FF2E66A0"/>
        <bgColor rgb="FF2A6099"/>
      </patternFill>
    </fill>
    <fill>
      <patternFill patternType="solid">
        <fgColor rgb="FFBDD7EE"/>
        <bgColor rgb="FFCAD0FE"/>
      </patternFill>
    </fill>
    <fill>
      <patternFill patternType="solid">
        <fgColor rgb="FFB4C7E5"/>
        <bgColor rgb="FFB7C5DB"/>
      </patternFill>
    </fill>
    <fill>
      <patternFill patternType="solid">
        <fgColor rgb="FFD8D8D8"/>
        <bgColor rgb="FFCCCCCC"/>
      </patternFill>
    </fill>
    <fill>
      <patternFill patternType="solid">
        <fgColor rgb="FFE2F0D9"/>
        <bgColor rgb="FFDEEBF7"/>
      </patternFill>
    </fill>
    <fill>
      <patternFill patternType="darkGray">
        <fgColor rgb="FFE0E3F2"/>
        <bgColor rgb="FFDEEBF7"/>
      </patternFill>
    </fill>
    <fill>
      <patternFill patternType="solid">
        <fgColor rgb="FFEBE4F1"/>
        <bgColor rgb="FFE0E3F2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3333D"/>
      </left>
      <right style="thin">
        <color rgb="FF03333D"/>
      </right>
      <top style="thin">
        <color rgb="FF03333D"/>
      </top>
      <bottom style="thin">
        <color rgb="FF03333D"/>
      </bottom>
      <diagonal/>
    </border>
    <border>
      <left style="thin">
        <color rgb="FF04333B"/>
      </left>
      <right style="thin">
        <color rgb="FF04333B"/>
      </right>
      <top style="thin">
        <color rgb="FF04333B"/>
      </top>
      <bottom style="thin">
        <color rgb="FF04333B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03333D"/>
      </left>
      <right style="double">
        <color rgb="FF03333D"/>
      </right>
      <top style="double">
        <color rgb="FF03333D"/>
      </top>
      <bottom style="double">
        <color rgb="FF03333D"/>
      </bottom>
      <diagonal/>
    </border>
    <border>
      <left style="double">
        <color rgb="FF04333B"/>
      </left>
      <right style="double">
        <color rgb="FF04333B"/>
      </right>
      <top style="double">
        <color rgb="FF04333B"/>
      </top>
      <bottom style="double">
        <color rgb="FF04333B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rgb="FF006DB3"/>
      </bottom>
      <diagonal/>
    </border>
    <border>
      <left/>
      <right/>
      <top/>
      <bottom style="medium">
        <color rgb="FF006DB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914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0" fillId="2" borderId="0" numFmtId="0" applyNumberFormat="1" applyFont="1" applyFill="1" applyBorder="1"/>
    <xf fontId="4" fillId="3" borderId="0" numFmtId="0" applyNumberFormat="1" applyFont="1" applyFill="1" applyBorder="1"/>
    <xf fontId="0" fillId="2" borderId="0" numFmtId="0" applyNumberFormat="1" applyFont="1" applyFill="1" applyBorder="1"/>
    <xf fontId="4" fillId="3" borderId="0" numFmtId="0" applyNumberFormat="1" applyFont="1" applyFill="1" applyBorder="1"/>
    <xf fontId="0" fillId="4" borderId="0" numFmtId="0" applyNumberFormat="1" applyFont="1" applyFill="1" applyBorder="1"/>
    <xf fontId="4" fillId="3" borderId="0" numFmtId="0" applyNumberFormat="1" applyFont="1" applyFill="1" applyBorder="1"/>
    <xf fontId="0" fillId="5" borderId="0" numFmtId="0" applyNumberFormat="1" applyFont="1" applyFill="1" applyBorder="1"/>
    <xf fontId="0" fillId="4" borderId="0" numFmtId="0" applyNumberFormat="1" applyFont="1" applyFill="1" applyBorder="1"/>
    <xf fontId="4" fillId="3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4" fillId="3" borderId="0" numFmtId="0" applyNumberFormat="1" applyFont="1" applyFill="1" applyBorder="1"/>
    <xf fontId="0" fillId="6" borderId="0" numFmtId="0" applyNumberFormat="1" applyFont="1" applyFill="1" applyBorder="1"/>
    <xf fontId="4" fillId="3" borderId="0" numFmtId="0" applyNumberFormat="1" applyFont="1" applyFill="1" applyBorder="1"/>
    <xf fontId="0" fillId="7" borderId="0" numFmtId="0" applyNumberFormat="1" applyFont="1" applyFill="1" applyBorder="1"/>
    <xf fontId="4" fillId="3" borderId="0" numFmtId="0" applyNumberFormat="1" applyFont="1" applyFill="1" applyBorder="1"/>
    <xf fontId="0" fillId="7" borderId="0" numFmtId="0" applyNumberFormat="1" applyFont="1" applyFill="1" applyBorder="1"/>
    <xf fontId="4" fillId="3" borderId="0" numFmtId="0" applyNumberFormat="1" applyFont="1" applyFill="1" applyBorder="1"/>
    <xf fontId="0" fillId="8" borderId="0" numFmtId="0" applyNumberFormat="1" applyFont="1" applyFill="1" applyBorder="1"/>
    <xf fontId="4" fillId="3" borderId="0" numFmtId="0" applyNumberFormat="1" applyFont="1" applyFill="1" applyBorder="1"/>
    <xf fontId="0" fillId="8" borderId="0" numFmtId="0" applyNumberFormat="1" applyFont="1" applyFill="1" applyBorder="1"/>
    <xf fontId="4" fillId="3" borderId="0" numFmtId="0" applyNumberFormat="1" applyFont="1" applyFill="1" applyBorder="1"/>
    <xf fontId="0" fillId="9" borderId="0" numFmtId="0" applyNumberFormat="1" applyFont="1" applyFill="1" applyBorder="1"/>
    <xf fontId="4" fillId="3" borderId="0" numFmtId="0" applyNumberFormat="1" applyFont="1" applyFill="1" applyBorder="1"/>
    <xf fontId="0" fillId="9" borderId="0" numFmtId="0" applyNumberFormat="1" applyFont="1" applyFill="1" applyBorder="1"/>
    <xf fontId="4" fillId="3" borderId="0" numFmtId="0" applyNumberFormat="1" applyFont="1" applyFill="1" applyBorder="1"/>
    <xf fontId="0" fillId="2" borderId="0" numFmtId="0" applyNumberFormat="1" applyFont="1" applyFill="1" applyBorder="1"/>
    <xf fontId="4" fillId="3" borderId="0" numFmtId="0" applyNumberFormat="1" applyFont="1" applyFill="1" applyBorder="1"/>
    <xf fontId="0" fillId="2" borderId="0" numFmtId="0" applyNumberFormat="1" applyFont="1" applyFill="1" applyBorder="1"/>
    <xf fontId="4" fillId="3" borderId="0" numFmtId="0" applyNumberFormat="1" applyFont="1" applyFill="1" applyBorder="1"/>
    <xf fontId="0" fillId="4" borderId="0" numFmtId="0" applyNumberFormat="1" applyFont="1" applyFill="1" applyBorder="1"/>
    <xf fontId="4" fillId="3" borderId="0" numFmtId="0" applyNumberFormat="1" applyFont="1" applyFill="1" applyBorder="1"/>
    <xf fontId="0" fillId="5" borderId="0" numFmtId="0" applyNumberFormat="1" applyFont="1" applyFill="1" applyBorder="1"/>
    <xf fontId="0" fillId="4" borderId="0" numFmtId="0" applyNumberFormat="1" applyFont="1" applyFill="1" applyBorder="1"/>
    <xf fontId="4" fillId="3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4" fillId="3" borderId="0" numFmtId="0" applyNumberFormat="1" applyFont="1" applyFill="1" applyBorder="1"/>
    <xf fontId="0" fillId="6" borderId="0" numFmtId="0" applyNumberFormat="1" applyFont="1" applyFill="1" applyBorder="1"/>
    <xf fontId="4" fillId="3" borderId="0" numFmtId="0" applyNumberFormat="1" applyFont="1" applyFill="1" applyBorder="1"/>
    <xf fontId="0" fillId="7" borderId="0" numFmtId="0" applyNumberFormat="1" applyFont="1" applyFill="1" applyBorder="1"/>
    <xf fontId="4" fillId="3" borderId="0" numFmtId="0" applyNumberFormat="1" applyFont="1" applyFill="1" applyBorder="1"/>
    <xf fontId="0" fillId="7" borderId="0" numFmtId="0" applyNumberFormat="1" applyFont="1" applyFill="1" applyBorder="1"/>
    <xf fontId="4" fillId="3" borderId="0" numFmtId="0" applyNumberFormat="1" applyFont="1" applyFill="1" applyBorder="1"/>
    <xf fontId="0" fillId="8" borderId="0" numFmtId="0" applyNumberFormat="1" applyFont="1" applyFill="1" applyBorder="1"/>
    <xf fontId="4" fillId="3" borderId="0" numFmtId="0" applyNumberFormat="1" applyFont="1" applyFill="1" applyBorder="1"/>
    <xf fontId="0" fillId="8" borderId="0" numFmtId="0" applyNumberFormat="1" applyFont="1" applyFill="1" applyBorder="1"/>
    <xf fontId="4" fillId="3" borderId="0" numFmtId="0" applyNumberFormat="1" applyFont="1" applyFill="1" applyBorder="1"/>
    <xf fontId="0" fillId="9" borderId="0" numFmtId="0" applyNumberFormat="1" applyFont="1" applyFill="1" applyBorder="1"/>
    <xf fontId="4" fillId="3" borderId="0" numFmtId="0" applyNumberFormat="1" applyFont="1" applyFill="1" applyBorder="1"/>
    <xf fontId="0" fillId="9" borderId="0" numFmtId="0" applyNumberFormat="1" applyFont="1" applyFill="1" applyBorder="1"/>
    <xf fontId="4" fillId="3" borderId="0" numFmtId="0" applyNumberFormat="1" applyFont="1" applyFill="1" applyBorder="1"/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10" borderId="0" numFmtId="0" applyNumberFormat="1" applyFont="1" applyFill="1" applyBorder="1"/>
    <xf fontId="4" fillId="3" borderId="0" numFmtId="0" applyNumberFormat="1" applyFont="1" applyFill="1" applyBorder="1"/>
    <xf fontId="0" fillId="11" borderId="0" numFmtId="0" applyNumberFormat="1" applyFont="1" applyFill="1" applyBorder="1"/>
    <xf fontId="0" fillId="10" borderId="0" numFmtId="0" applyNumberFormat="1" applyFont="1" applyFill="1" applyBorder="1"/>
    <xf fontId="4" fillId="3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4" fillId="3" borderId="0" numFmtId="0" applyNumberFormat="1" applyFont="1" applyFill="1" applyBorder="1"/>
    <xf fontId="0" fillId="13" borderId="0" numFmtId="0" applyNumberFormat="1" applyFont="1" applyFill="1" applyBorder="1"/>
    <xf fontId="0" fillId="12" borderId="0" numFmtId="0" applyNumberFormat="1" applyFont="1" applyFill="1" applyBorder="1"/>
    <xf fontId="4" fillId="3" borderId="0" numFmtId="0" applyNumberFormat="1" applyFont="1" applyFill="1" applyBorder="1"/>
    <xf fontId="0" fillId="13" borderId="0" numFmtId="0" applyNumberFormat="1" applyFont="1" applyFill="1" applyBorder="1"/>
    <xf fontId="0" fillId="14" borderId="0" numFmtId="0" applyNumberFormat="1" applyFont="1" applyFill="1" applyBorder="1"/>
    <xf fontId="4" fillId="3" borderId="0" numFmtId="0" applyNumberFormat="1" applyFont="1" applyFill="1" applyBorder="1"/>
    <xf fontId="0" fillId="14" borderId="0" numFmtId="0" applyNumberFormat="1" applyFont="1" applyFill="1" applyBorder="1"/>
    <xf fontId="4" fillId="3" borderId="0" numFmtId="0" applyNumberFormat="1" applyFont="1" applyFill="1" applyBorder="1"/>
    <xf fontId="0" fillId="7" borderId="0" numFmtId="0" applyNumberFormat="1" applyFont="1" applyFill="1" applyBorder="1"/>
    <xf fontId="4" fillId="3" borderId="0" numFmtId="0" applyNumberFormat="1" applyFont="1" applyFill="1" applyBorder="1"/>
    <xf fontId="0" fillId="7" borderId="0" numFmtId="0" applyNumberFormat="1" applyFont="1" applyFill="1" applyBorder="1"/>
    <xf fontId="4" fillId="3" borderId="0" numFmtId="0" applyNumberFormat="1" applyFont="1" applyFill="1" applyBorder="1"/>
    <xf fontId="0" fillId="10" borderId="0" numFmtId="0" applyNumberFormat="1" applyFont="1" applyFill="1" applyBorder="1"/>
    <xf fontId="4" fillId="3" borderId="0" numFmtId="0" applyNumberFormat="1" applyFont="1" applyFill="1" applyBorder="1"/>
    <xf fontId="0" fillId="11" borderId="0" numFmtId="0" applyNumberFormat="1" applyFont="1" applyFill="1" applyBorder="1"/>
    <xf fontId="0" fillId="10" borderId="0" numFmtId="0" applyNumberFormat="1" applyFont="1" applyFill="1" applyBorder="1"/>
    <xf fontId="4" fillId="3" borderId="0" numFmtId="0" applyNumberFormat="1" applyFont="1" applyFill="1" applyBorder="1"/>
    <xf fontId="0" fillId="11" borderId="0" numFmtId="0" applyNumberFormat="1" applyFont="1" applyFill="1" applyBorder="1"/>
    <xf fontId="0" fillId="15" borderId="0" numFmtId="0" applyNumberFormat="1" applyFont="1" applyFill="1" applyBorder="1"/>
    <xf fontId="4" fillId="3" borderId="0" numFmtId="0" applyNumberFormat="1" applyFont="1" applyFill="1" applyBorder="1"/>
    <xf fontId="0" fillId="15" borderId="0" numFmtId="0" applyNumberFormat="1" applyFont="1" applyFill="1" applyBorder="1"/>
    <xf fontId="4" fillId="3" borderId="0" numFmtId="0" applyNumberFormat="1" applyFont="1" applyFill="1" applyBorder="1"/>
    <xf fontId="0" fillId="10" borderId="0" numFmtId="0" applyNumberFormat="1" applyFont="1" applyFill="1" applyBorder="1"/>
    <xf fontId="4" fillId="3" borderId="0" numFmtId="0" applyNumberFormat="1" applyFont="1" applyFill="1" applyBorder="1"/>
    <xf fontId="0" fillId="11" borderId="0" numFmtId="0" applyNumberFormat="1" applyFont="1" applyFill="1" applyBorder="1"/>
    <xf fontId="0" fillId="10" borderId="0" numFmtId="0" applyNumberFormat="1" applyFont="1" applyFill="1" applyBorder="1"/>
    <xf fontId="4" fillId="3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4" fillId="3" borderId="0" numFmtId="0" applyNumberFormat="1" applyFont="1" applyFill="1" applyBorder="1"/>
    <xf fontId="0" fillId="13" borderId="0" numFmtId="0" applyNumberFormat="1" applyFont="1" applyFill="1" applyBorder="1"/>
    <xf fontId="0" fillId="12" borderId="0" numFmtId="0" applyNumberFormat="1" applyFont="1" applyFill="1" applyBorder="1"/>
    <xf fontId="4" fillId="3" borderId="0" numFmtId="0" applyNumberFormat="1" applyFont="1" applyFill="1" applyBorder="1"/>
    <xf fontId="0" fillId="13" borderId="0" numFmtId="0" applyNumberFormat="1" applyFont="1" applyFill="1" applyBorder="1"/>
    <xf fontId="0" fillId="14" borderId="0" numFmtId="0" applyNumberFormat="1" applyFont="1" applyFill="1" applyBorder="1"/>
    <xf fontId="4" fillId="3" borderId="0" numFmtId="0" applyNumberFormat="1" applyFont="1" applyFill="1" applyBorder="1"/>
    <xf fontId="0" fillId="14" borderId="0" numFmtId="0" applyNumberFormat="1" applyFont="1" applyFill="1" applyBorder="1"/>
    <xf fontId="4" fillId="3" borderId="0" numFmtId="0" applyNumberFormat="1" applyFont="1" applyFill="1" applyBorder="1"/>
    <xf fontId="0" fillId="7" borderId="0" numFmtId="0" applyNumberFormat="1" applyFont="1" applyFill="1" applyBorder="1"/>
    <xf fontId="4" fillId="3" borderId="0" numFmtId="0" applyNumberFormat="1" applyFont="1" applyFill="1" applyBorder="1"/>
    <xf fontId="0" fillId="7" borderId="0" numFmtId="0" applyNumberFormat="1" applyFont="1" applyFill="1" applyBorder="1"/>
    <xf fontId="4" fillId="3" borderId="0" numFmtId="0" applyNumberFormat="1" applyFont="1" applyFill="1" applyBorder="1"/>
    <xf fontId="0" fillId="10" borderId="0" numFmtId="0" applyNumberFormat="1" applyFont="1" applyFill="1" applyBorder="1"/>
    <xf fontId="4" fillId="3" borderId="0" numFmtId="0" applyNumberFormat="1" applyFont="1" applyFill="1" applyBorder="1"/>
    <xf fontId="0" fillId="11" borderId="0" numFmtId="0" applyNumberFormat="1" applyFont="1" applyFill="1" applyBorder="1"/>
    <xf fontId="0" fillId="10" borderId="0" numFmtId="0" applyNumberFormat="1" applyFont="1" applyFill="1" applyBorder="1"/>
    <xf fontId="4" fillId="3" borderId="0" numFmtId="0" applyNumberFormat="1" applyFont="1" applyFill="1" applyBorder="1"/>
    <xf fontId="0" fillId="11" borderId="0" numFmtId="0" applyNumberFormat="1" applyFont="1" applyFill="1" applyBorder="1"/>
    <xf fontId="0" fillId="15" borderId="0" numFmtId="0" applyNumberFormat="1" applyFont="1" applyFill="1" applyBorder="1"/>
    <xf fontId="4" fillId="3" borderId="0" numFmtId="0" applyNumberFormat="1" applyFont="1" applyFill="1" applyBorder="1"/>
    <xf fontId="0" fillId="15" borderId="0" numFmtId="0" applyNumberFormat="1" applyFont="1" applyFill="1" applyBorder="1"/>
    <xf fontId="4" fillId="3" borderId="0" numFmtId="0" applyNumberFormat="1" applyFont="1" applyFill="1" applyBorder="1"/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4" fillId="0" borderId="0" numFmtId="0" applyNumberFormat="1" applyFont="1" applyFill="1" applyBorder="1">
      <alignment horizontal="left" indent="15" vertical="center"/>
    </xf>
    <xf fontId="0" fillId="0" borderId="0" numFmtId="0" applyNumberFormat="1" applyFont="1" applyFill="1" applyBorder="1">
      <alignment horizontal="left" vertical="center"/>
    </xf>
    <xf fontId="5" fillId="16" borderId="0" numFmtId="0" applyNumberFormat="1" applyFont="1" applyFill="1" applyBorder="1"/>
    <xf fontId="4" fillId="3" borderId="0" numFmtId="0" applyNumberFormat="1" applyFont="1" applyFill="1" applyBorder="1"/>
    <xf fontId="5" fillId="17" borderId="0" numFmtId="0" applyNumberFormat="1" applyFont="1" applyFill="1" applyBorder="1"/>
    <xf fontId="5" fillId="16" borderId="0" numFmtId="0" applyNumberFormat="1" applyFont="1" applyFill="1" applyBorder="1"/>
    <xf fontId="4" fillId="3" borderId="0" numFmtId="0" applyNumberFormat="1" applyFont="1" applyFill="1" applyBorder="1"/>
    <xf fontId="5" fillId="17" borderId="0" numFmtId="0" applyNumberFormat="1" applyFont="1" applyFill="1" applyBorder="1"/>
    <xf fontId="5" fillId="12" borderId="0" numFmtId="0" applyNumberFormat="1" applyFont="1" applyFill="1" applyBorder="1"/>
    <xf fontId="4" fillId="3" borderId="0" numFmtId="0" applyNumberFormat="1" applyFont="1" applyFill="1" applyBorder="1"/>
    <xf fontId="5" fillId="13" borderId="0" numFmtId="0" applyNumberFormat="1" applyFont="1" applyFill="1" applyBorder="1"/>
    <xf fontId="5" fillId="12" borderId="0" numFmtId="0" applyNumberFormat="1" applyFont="1" applyFill="1" applyBorder="1"/>
    <xf fontId="4" fillId="3" borderId="0" numFmtId="0" applyNumberFormat="1" applyFont="1" applyFill="1" applyBorder="1"/>
    <xf fontId="5" fillId="13" borderId="0" numFmtId="0" applyNumberFormat="1" applyFont="1" applyFill="1" applyBorder="1"/>
    <xf fontId="5" fillId="14" borderId="0" numFmtId="0" applyNumberFormat="1" applyFont="1" applyFill="1" applyBorder="1"/>
    <xf fontId="4" fillId="3" borderId="0" numFmtId="0" applyNumberFormat="1" applyFont="1" applyFill="1" applyBorder="1"/>
    <xf fontId="5" fillId="14" borderId="0" numFmtId="0" applyNumberFormat="1" applyFont="1" applyFill="1" applyBorder="1"/>
    <xf fontId="4" fillId="3" borderId="0" numFmtId="0" applyNumberFormat="1" applyFont="1" applyFill="1" applyBorder="1"/>
    <xf fontId="5" fillId="18" borderId="0" numFmtId="0" applyNumberFormat="1" applyFont="1" applyFill="1" applyBorder="1"/>
    <xf fontId="4" fillId="3" borderId="0" numFmtId="0" applyNumberFormat="1" applyFont="1" applyFill="1" applyBorder="1"/>
    <xf fontId="5" fillId="19" borderId="0" numFmtId="0" applyNumberFormat="1" applyFont="1" applyFill="1" applyBorder="1"/>
    <xf fontId="5" fillId="18" borderId="0" numFmtId="0" applyNumberFormat="1" applyFont="1" applyFill="1" applyBorder="1"/>
    <xf fontId="4" fillId="3" borderId="0" numFmtId="0" applyNumberFormat="1" applyFont="1" applyFill="1" applyBorder="1"/>
    <xf fontId="5" fillId="19" borderId="0" numFmtId="0" applyNumberFormat="1" applyFont="1" applyFill="1" applyBorder="1"/>
    <xf fontId="5" fillId="20" borderId="0" numFmtId="0" applyNumberFormat="1" applyFont="1" applyFill="1" applyBorder="1"/>
    <xf fontId="4" fillId="3" borderId="0" numFmtId="0" applyNumberFormat="1" applyFont="1" applyFill="1" applyBorder="1"/>
    <xf fontId="5" fillId="21" borderId="0" numFmtId="0" applyNumberFormat="1" applyFont="1" applyFill="1" applyBorder="1"/>
    <xf fontId="5" fillId="20" borderId="0" numFmtId="0" applyNumberFormat="1" applyFont="1" applyFill="1" applyBorder="1"/>
    <xf fontId="4" fillId="3" borderId="0" numFmtId="0" applyNumberFormat="1" applyFont="1" applyFill="1" applyBorder="1"/>
    <xf fontId="5" fillId="21" borderId="0" numFmtId="0" applyNumberFormat="1" applyFont="1" applyFill="1" applyBorder="1"/>
    <xf fontId="5" fillId="22" borderId="0" numFmtId="0" applyNumberFormat="1" applyFont="1" applyFill="1" applyBorder="1"/>
    <xf fontId="4" fillId="3" borderId="0" numFmtId="0" applyNumberFormat="1" applyFont="1" applyFill="1" applyBorder="1"/>
    <xf fontId="5" fillId="22" borderId="0" numFmtId="0" applyNumberFormat="1" applyFont="1" applyFill="1" applyBorder="1"/>
    <xf fontId="4" fillId="3" borderId="0" numFmtId="0" applyNumberFormat="1" applyFont="1" applyFill="1" applyBorder="1"/>
    <xf fontId="5" fillId="16" borderId="0" numFmtId="0" applyNumberFormat="1" applyFont="1" applyFill="1" applyBorder="1"/>
    <xf fontId="4" fillId="3" borderId="0" numFmtId="0" applyNumberFormat="1" applyFont="1" applyFill="1" applyBorder="1"/>
    <xf fontId="5" fillId="17" borderId="0" numFmtId="0" applyNumberFormat="1" applyFont="1" applyFill="1" applyBorder="1"/>
    <xf fontId="5" fillId="16" borderId="0" numFmtId="0" applyNumberFormat="1" applyFont="1" applyFill="1" applyBorder="1"/>
    <xf fontId="4" fillId="3" borderId="0" numFmtId="0" applyNumberFormat="1" applyFont="1" applyFill="1" applyBorder="1"/>
    <xf fontId="5" fillId="17" borderId="0" numFmtId="0" applyNumberFormat="1" applyFont="1" applyFill="1" applyBorder="1"/>
    <xf fontId="5" fillId="12" borderId="0" numFmtId="0" applyNumberFormat="1" applyFont="1" applyFill="1" applyBorder="1"/>
    <xf fontId="4" fillId="3" borderId="0" numFmtId="0" applyNumberFormat="1" applyFont="1" applyFill="1" applyBorder="1"/>
    <xf fontId="5" fillId="13" borderId="0" numFmtId="0" applyNumberFormat="1" applyFont="1" applyFill="1" applyBorder="1"/>
    <xf fontId="5" fillId="12" borderId="0" numFmtId="0" applyNumberFormat="1" applyFont="1" applyFill="1" applyBorder="1"/>
    <xf fontId="4" fillId="3" borderId="0" numFmtId="0" applyNumberFormat="1" applyFont="1" applyFill="1" applyBorder="1"/>
    <xf fontId="5" fillId="13" borderId="0" numFmtId="0" applyNumberFormat="1" applyFont="1" applyFill="1" applyBorder="1"/>
    <xf fontId="5" fillId="14" borderId="0" numFmtId="0" applyNumberFormat="1" applyFont="1" applyFill="1" applyBorder="1"/>
    <xf fontId="4" fillId="3" borderId="0" numFmtId="0" applyNumberFormat="1" applyFont="1" applyFill="1" applyBorder="1"/>
    <xf fontId="5" fillId="14" borderId="0" numFmtId="0" applyNumberFormat="1" applyFont="1" applyFill="1" applyBorder="1"/>
    <xf fontId="4" fillId="3" borderId="0" numFmtId="0" applyNumberFormat="1" applyFont="1" applyFill="1" applyBorder="1"/>
    <xf fontId="5" fillId="18" borderId="0" numFmtId="0" applyNumberFormat="1" applyFont="1" applyFill="1" applyBorder="1"/>
    <xf fontId="4" fillId="3" borderId="0" numFmtId="0" applyNumberFormat="1" applyFont="1" applyFill="1" applyBorder="1"/>
    <xf fontId="5" fillId="19" borderId="0" numFmtId="0" applyNumberFormat="1" applyFont="1" applyFill="1" applyBorder="1"/>
    <xf fontId="5" fillId="18" borderId="0" numFmtId="0" applyNumberFormat="1" applyFont="1" applyFill="1" applyBorder="1"/>
    <xf fontId="4" fillId="3" borderId="0" numFmtId="0" applyNumberFormat="1" applyFont="1" applyFill="1" applyBorder="1"/>
    <xf fontId="5" fillId="19" borderId="0" numFmtId="0" applyNumberFormat="1" applyFont="1" applyFill="1" applyBorder="1"/>
    <xf fontId="5" fillId="20" borderId="0" numFmtId="0" applyNumberFormat="1" applyFont="1" applyFill="1" applyBorder="1"/>
    <xf fontId="4" fillId="3" borderId="0" numFmtId="0" applyNumberFormat="1" applyFont="1" applyFill="1" applyBorder="1"/>
    <xf fontId="5" fillId="21" borderId="0" numFmtId="0" applyNumberFormat="1" applyFont="1" applyFill="1" applyBorder="1"/>
    <xf fontId="5" fillId="20" borderId="0" numFmtId="0" applyNumberFormat="1" applyFont="1" applyFill="1" applyBorder="1"/>
    <xf fontId="4" fillId="3" borderId="0" numFmtId="0" applyNumberFormat="1" applyFont="1" applyFill="1" applyBorder="1"/>
    <xf fontId="5" fillId="21" borderId="0" numFmtId="0" applyNumberFormat="1" applyFont="1" applyFill="1" applyBorder="1"/>
    <xf fontId="5" fillId="22" borderId="0" numFmtId="0" applyNumberFormat="1" applyFont="1" applyFill="1" applyBorder="1"/>
    <xf fontId="4" fillId="3" borderId="0" numFmtId="0" applyNumberFormat="1" applyFont="1" applyFill="1" applyBorder="1"/>
    <xf fontId="5" fillId="22" borderId="0" numFmtId="0" applyNumberFormat="1" applyFont="1" applyFill="1" applyBorder="1"/>
    <xf fontId="4" fillId="3" borderId="0" numFmtId="0" applyNumberFormat="1" applyFont="1" applyFill="1" applyBorder="1"/>
    <xf fontId="6" fillId="23" borderId="0" numFmtId="0" applyNumberFormat="1" applyFont="1" applyFill="1" applyBorder="1"/>
    <xf fontId="7" fillId="3" borderId="0" numFmtId="0" applyNumberFormat="1" applyFont="1" applyFill="1" applyBorder="1"/>
    <xf fontId="6" fillId="24" borderId="0" numFmtId="0" applyNumberFormat="1" applyFont="1" applyFill="1" applyBorder="1"/>
    <xf fontId="6" fillId="23" borderId="0" numFmtId="0" applyNumberFormat="1" applyFont="1" applyFill="1" applyBorder="0" applyProtection="0"/>
    <xf fontId="6" fillId="24" borderId="0" numFmtId="0" applyNumberFormat="1" applyFont="1" applyFill="1" applyBorder="0" applyProtection="0"/>
    <xf fontId="6" fillId="25" borderId="0" numFmtId="0" applyNumberFormat="1" applyFont="1" applyFill="1" applyBorder="1"/>
    <xf fontId="7" fillId="3" borderId="0" numFmtId="0" applyNumberFormat="1" applyFont="1" applyFill="1" applyBorder="1"/>
    <xf fontId="6" fillId="25" borderId="0" numFmtId="0" applyNumberFormat="1" applyFont="1" applyFill="1" applyBorder="0" applyProtection="0"/>
    <xf fontId="8" fillId="26" borderId="0" numFmtId="0" applyNumberFormat="1" applyFont="1" applyFill="1" applyBorder="1"/>
    <xf fontId="9" fillId="27" borderId="0" numFmtId="0" applyNumberFormat="1" applyFont="1" applyFill="1" applyBorder="1"/>
    <xf fontId="9" fillId="28" borderId="0" numFmtId="0" applyNumberFormat="1" applyFont="1" applyFill="1" applyBorder="1"/>
    <xf fontId="8" fillId="29" borderId="0" numFmtId="0" applyNumberFormat="1" applyFont="1" applyFill="1" applyBorder="1"/>
    <xf fontId="8" fillId="26" borderId="0" numFmtId="0" applyNumberFormat="1" applyFont="1" applyFill="1" applyBorder="0" applyProtection="0"/>
    <xf fontId="8" fillId="29" borderId="0" numFmtId="0" applyNumberFormat="1" applyFont="1" applyFill="1" applyBorder="0" applyProtection="0"/>
    <xf fontId="8" fillId="0" borderId="0" numFmtId="0" applyNumberFormat="1" applyFont="1" applyFill="1" applyBorder="1"/>
    <xf fontId="9" fillId="0" borderId="0" numFmtId="0" applyNumberFormat="1" applyFont="1" applyFill="1" applyBorder="1"/>
    <xf fontId="8" fillId="0" borderId="0" numFmtId="0" applyNumberFormat="1" applyFont="1" applyFill="1" applyBorder="0" applyProtection="0"/>
    <xf fontId="5" fillId="30" borderId="0" numFmtId="0" applyNumberFormat="1" applyFont="1" applyFill="1" applyBorder="1"/>
    <xf fontId="4" fillId="30" borderId="0" numFmtId="0" applyNumberFormat="1" applyFont="1" applyFill="1" applyBorder="1"/>
    <xf fontId="4" fillId="31" borderId="0" numFmtId="0" applyNumberFormat="1" applyFont="1" applyFill="1" applyBorder="1"/>
    <xf fontId="5" fillId="31" borderId="0" numFmtId="0" applyNumberFormat="1" applyFont="1" applyFill="1" applyBorder="1"/>
    <xf fontId="5" fillId="30" borderId="0" numFmtId="0" applyNumberFormat="1" applyFont="1" applyFill="1" applyBorder="1"/>
    <xf fontId="4" fillId="30" borderId="0" numFmtId="0" applyNumberFormat="1" applyFont="1" applyFill="1" applyBorder="1"/>
    <xf fontId="4" fillId="31" borderId="0" numFmtId="0" applyNumberFormat="1" applyFont="1" applyFill="1" applyBorder="1"/>
    <xf fontId="5" fillId="31" borderId="0" numFmtId="0" applyNumberFormat="1" applyFont="1" applyFill="1" applyBorder="1"/>
    <xf fontId="5" fillId="30" borderId="0" numFmtId="0" applyNumberFormat="1" applyFont="1" applyFill="1" applyBorder="1"/>
    <xf fontId="4" fillId="30" borderId="0" numFmtId="0" applyNumberFormat="1" applyFont="1" applyFill="1" applyBorder="1"/>
    <xf fontId="4" fillId="31" borderId="0" numFmtId="0" applyNumberFormat="1" applyFont="1" applyFill="1" applyBorder="1"/>
    <xf fontId="5" fillId="31" borderId="0" numFmtId="0" applyNumberFormat="1" applyFont="1" applyFill="1" applyBorder="1"/>
    <xf fontId="5" fillId="32" borderId="0" numFmtId="0" applyNumberFormat="1" applyFont="1" applyFill="1" applyBorder="1"/>
    <xf fontId="4" fillId="3" borderId="0" numFmtId="0" applyNumberFormat="1" applyFont="1" applyFill="1" applyBorder="1"/>
    <xf fontId="5" fillId="33" borderId="0" numFmtId="0" applyNumberFormat="1" applyFont="1" applyFill="1" applyBorder="1"/>
    <xf fontId="5" fillId="32" borderId="0" numFmtId="0" applyNumberFormat="1" applyFont="1" applyFill="1" applyBorder="1"/>
    <xf fontId="4" fillId="3" borderId="0" numFmtId="0" applyNumberFormat="1" applyFont="1" applyFill="1" applyBorder="1"/>
    <xf fontId="5" fillId="33" borderId="0" numFmtId="0" applyNumberFormat="1" applyFont="1" applyFill="1" applyBorder="1"/>
    <xf fontId="5" fillId="32" borderId="0" numFmtId="0" applyNumberFormat="1" applyFont="1" applyFill="1" applyBorder="1"/>
    <xf fontId="4" fillId="3" borderId="0" numFmtId="0" applyNumberFormat="1" applyFont="1" applyFill="1" applyBorder="1"/>
    <xf fontId="5" fillId="33" borderId="0" numFmtId="0" applyNumberFormat="1" applyFont="1" applyFill="1" applyBorder="1"/>
    <xf fontId="5" fillId="34" borderId="0" numFmtId="0" applyNumberFormat="1" applyFont="1" applyFill="1" applyBorder="1"/>
    <xf fontId="4" fillId="35" borderId="0" numFmtId="0" applyNumberFormat="1" applyFont="1" applyFill="1" applyBorder="1"/>
    <xf fontId="4" fillId="36" borderId="0" numFmtId="0" applyNumberFormat="1" applyFont="1" applyFill="1" applyBorder="1"/>
    <xf fontId="5" fillId="37" borderId="0" numFmtId="0" applyNumberFormat="1" applyFont="1" applyFill="1" applyBorder="1"/>
    <xf fontId="5" fillId="34" borderId="0" numFmtId="0" applyNumberFormat="1" applyFont="1" applyFill="1" applyBorder="1"/>
    <xf fontId="4" fillId="35" borderId="0" numFmtId="0" applyNumberFormat="1" applyFont="1" applyFill="1" applyBorder="1"/>
    <xf fontId="4" fillId="36" borderId="0" numFmtId="0" applyNumberFormat="1" applyFont="1" applyFill="1" applyBorder="1"/>
    <xf fontId="5" fillId="37" borderId="0" numFmtId="0" applyNumberFormat="1" applyFont="1" applyFill="1" applyBorder="1"/>
    <xf fontId="5" fillId="34" borderId="0" numFmtId="0" applyNumberFormat="1" applyFont="1" applyFill="1" applyBorder="1"/>
    <xf fontId="4" fillId="35" borderId="0" numFmtId="0" applyNumberFormat="1" applyFont="1" applyFill="1" applyBorder="1"/>
    <xf fontId="4" fillId="36" borderId="0" numFmtId="0" applyNumberFormat="1" applyFont="1" applyFill="1" applyBorder="1"/>
    <xf fontId="5" fillId="37" borderId="0" numFmtId="0" applyNumberFormat="1" applyFont="1" applyFill="1" applyBorder="1"/>
    <xf fontId="5" fillId="18" borderId="0" numFmtId="0" applyNumberFormat="1" applyFont="1" applyFill="1" applyBorder="1"/>
    <xf fontId="4" fillId="3" borderId="0" numFmtId="0" applyNumberFormat="1" applyFont="1" applyFill="1" applyBorder="1"/>
    <xf fontId="5" fillId="19" borderId="0" numFmtId="0" applyNumberFormat="1" applyFont="1" applyFill="1" applyBorder="1"/>
    <xf fontId="5" fillId="18" borderId="0" numFmtId="0" applyNumberFormat="1" applyFont="1" applyFill="1" applyBorder="1"/>
    <xf fontId="4" fillId="3" borderId="0" numFmtId="0" applyNumberFormat="1" applyFont="1" applyFill="1" applyBorder="1"/>
    <xf fontId="5" fillId="19" borderId="0" numFmtId="0" applyNumberFormat="1" applyFont="1" applyFill="1" applyBorder="1"/>
    <xf fontId="5" fillId="18" borderId="0" numFmtId="0" applyNumberFormat="1" applyFont="1" applyFill="1" applyBorder="1"/>
    <xf fontId="4" fillId="3" borderId="0" numFmtId="0" applyNumberFormat="1" applyFont="1" applyFill="1" applyBorder="1"/>
    <xf fontId="5" fillId="19" borderId="0" numFmtId="0" applyNumberFormat="1" applyFont="1" applyFill="1" applyBorder="1"/>
    <xf fontId="5" fillId="20" borderId="0" numFmtId="0" applyNumberFormat="1" applyFont="1" applyFill="1" applyBorder="1"/>
    <xf fontId="4" fillId="3" borderId="0" numFmtId="0" applyNumberFormat="1" applyFont="1" applyFill="1" applyBorder="1"/>
    <xf fontId="5" fillId="21" borderId="0" numFmtId="0" applyNumberFormat="1" applyFont="1" applyFill="1" applyBorder="1"/>
    <xf fontId="5" fillId="20" borderId="0" numFmtId="0" applyNumberFormat="1" applyFont="1" applyFill="1" applyBorder="1"/>
    <xf fontId="4" fillId="3" borderId="0" numFmtId="0" applyNumberFormat="1" applyFont="1" applyFill="1" applyBorder="1"/>
    <xf fontId="5" fillId="21" borderId="0" numFmtId="0" applyNumberFormat="1" applyFont="1" applyFill="1" applyBorder="1"/>
    <xf fontId="5" fillId="20" borderId="0" numFmtId="0" applyNumberFormat="1" applyFont="1" applyFill="1" applyBorder="1"/>
    <xf fontId="4" fillId="3" borderId="0" numFmtId="0" applyNumberFormat="1" applyFont="1" applyFill="1" applyBorder="1"/>
    <xf fontId="5" fillId="21" borderId="0" numFmtId="0" applyNumberFormat="1" applyFont="1" applyFill="1" applyBorder="1"/>
    <xf fontId="5" fillId="38" borderId="0" numFmtId="0" applyNumberFormat="1" applyFont="1" applyFill="1" applyBorder="1"/>
    <xf fontId="4" fillId="3" borderId="0" numFmtId="0" applyNumberFormat="1" applyFont="1" applyFill="1" applyBorder="1"/>
    <xf fontId="5" fillId="38" borderId="0" numFmtId="0" applyNumberFormat="1" applyFont="1" applyFill="1" applyBorder="1"/>
    <xf fontId="4" fillId="3" borderId="0" numFmtId="0" applyNumberFormat="1" applyFont="1" applyFill="1" applyBorder="1"/>
    <xf fontId="5" fillId="38" borderId="0" numFmtId="0" applyNumberFormat="1" applyFont="1" applyFill="1" applyBorder="1"/>
    <xf fontId="4" fillId="3" borderId="0" numFmtId="0" applyNumberFormat="1" applyFont="1" applyFill="1" applyBorder="1"/>
    <xf fontId="10" fillId="8" borderId="0" numFmtId="0" applyNumberFormat="1" applyFont="1" applyFill="1" applyBorder="1"/>
    <xf fontId="10" fillId="8" borderId="0" numFmtId="4" applyNumberFormat="1" applyFont="1" applyFill="1" applyBorder="1"/>
    <xf fontId="10" fillId="3" borderId="0" numFmtId="4" applyNumberFormat="1" applyFont="1" applyFill="1" applyBorder="1"/>
    <xf fontId="10" fillId="3" borderId="0" numFmtId="0" applyNumberFormat="1" applyFont="1" applyFill="1" applyBorder="1"/>
    <xf fontId="3" fillId="8" borderId="0" numFmtId="0" applyNumberFormat="1" applyFont="1" applyFill="1" applyBorder="1">
      <alignment horizontal="right" vertical="center"/>
    </xf>
    <xf fontId="3" fillId="8" borderId="0" numFmtId="4" applyNumberFormat="1" applyFont="1" applyFill="1" applyBorder="1">
      <alignment horizontal="right" vertical="center"/>
    </xf>
    <xf fontId="3" fillId="3" borderId="0" numFmtId="4" applyNumberFormat="1" applyFont="1" applyFill="1" applyBorder="1">
      <alignment horizontal="right" vertical="center"/>
    </xf>
    <xf fontId="3" fillId="3" borderId="0" numFmtId="0" applyNumberFormat="1" applyFont="1" applyFill="1" applyBorder="1">
      <alignment horizontal="right" vertical="center"/>
    </xf>
    <xf fontId="3" fillId="8" borderId="1" numFmtId="0" applyNumberFormat="1" applyFont="1" applyFill="1" applyBorder="1">
      <alignment horizontal="right" vertical="center"/>
    </xf>
    <xf fontId="3" fillId="6" borderId="0" numFmtId="0" applyNumberFormat="1" applyFont="1" applyFill="1" applyBorder="1">
      <alignment horizontal="right" vertical="center"/>
    </xf>
    <xf fontId="3" fillId="6" borderId="0" numFmtId="4" applyNumberFormat="1" applyFont="1" applyFill="1" applyBorder="1">
      <alignment horizontal="right" vertical="center"/>
    </xf>
    <xf fontId="3" fillId="3" borderId="0" numFmtId="4" applyNumberFormat="1" applyFont="1" applyFill="1" applyBorder="1">
      <alignment horizontal="right" vertical="center"/>
    </xf>
    <xf fontId="3" fillId="6" borderId="0" numFmtId="0" applyNumberFormat="1" applyFont="1" applyFill="1" applyBorder="1">
      <alignment horizontal="right" vertical="center"/>
    </xf>
    <xf fontId="3" fillId="3" borderId="0" numFmtId="0" applyNumberFormat="1" applyFont="1" applyFill="1" applyBorder="1">
      <alignment horizontal="right" vertical="center"/>
    </xf>
    <xf fontId="3" fillId="6" borderId="0" numFmtId="0" applyNumberFormat="1" applyFont="1" applyFill="1" applyBorder="1">
      <alignment horizontal="right" vertical="center"/>
    </xf>
    <xf fontId="3" fillId="3" borderId="0" numFmtId="0" applyNumberFormat="1" applyFont="1" applyFill="1" applyBorder="1">
      <alignment horizontal="right" vertical="center"/>
    </xf>
    <xf fontId="3" fillId="3" borderId="0" numFmtId="0" applyNumberFormat="1" applyFont="1" applyFill="1" applyBorder="1">
      <alignment horizontal="right" vertical="center"/>
    </xf>
    <xf fontId="3" fillId="6" borderId="0" numFmtId="0" applyNumberFormat="1" applyFont="1" applyFill="1" applyBorder="1">
      <alignment horizontal="right" vertical="center"/>
    </xf>
    <xf fontId="3" fillId="6" borderId="0" numFmtId="4" applyNumberFormat="1" applyFont="1" applyFill="1" applyBorder="1">
      <alignment horizontal="right" vertical="center"/>
    </xf>
    <xf fontId="3" fillId="3" borderId="0" numFmtId="4" applyNumberFormat="1" applyFont="1" applyFill="1" applyBorder="1">
      <alignment horizontal="right" vertical="center"/>
    </xf>
    <xf fontId="3" fillId="6" borderId="0" numFmtId="0" applyNumberFormat="1" applyFont="1" applyFill="1" applyBorder="1">
      <alignment horizontal="right" vertical="center"/>
    </xf>
    <xf fontId="3" fillId="3" borderId="0" numFmtId="0" applyNumberFormat="1" applyFont="1" applyFill="1" applyBorder="1">
      <alignment horizontal="right" vertical="center"/>
    </xf>
    <xf fontId="3" fillId="6" borderId="0" numFmtId="0" applyNumberFormat="1" applyFont="1" applyFill="1" applyBorder="1">
      <alignment horizontal="right" vertical="center"/>
    </xf>
    <xf fontId="3" fillId="3" borderId="0" numFmtId="0" applyNumberFormat="1" applyFont="1" applyFill="1" applyBorder="1">
      <alignment horizontal="right" vertical="center"/>
    </xf>
    <xf fontId="3" fillId="3" borderId="0" numFmtId="0" applyNumberFormat="1" applyFont="1" applyFill="1" applyBorder="1">
      <alignment horizontal="right" vertical="center"/>
    </xf>
    <xf fontId="3" fillId="6" borderId="2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11" fillId="6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6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6" borderId="3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2" fillId="6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3" fillId="3" borderId="1" numFmtId="4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2" fillId="6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3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11" fillId="9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3" fillId="3" borderId="1" numFmtId="4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3" fillId="3" borderId="1" numFmtId="0" applyNumberFormat="1" applyFont="1" applyFill="1" applyBorder="1">
      <alignment horizontal="right" vertical="center"/>
    </xf>
    <xf fontId="11" fillId="9" borderId="4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11" fillId="9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3" fillId="3" borderId="5" numFmtId="4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11" fillId="9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3" fillId="3" borderId="5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3" fillId="3" borderId="6" numFmtId="4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11" fillId="9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3" fillId="3" borderId="6" numFmtId="0" applyNumberFormat="1" applyFont="1" applyFill="1" applyBorder="1">
      <alignment horizontal="right" vertical="center"/>
    </xf>
    <xf fontId="11" fillId="9" borderId="6" numFmtId="4" applyNumberFormat="1" applyFont="1" applyFill="1" applyBorder="1">
      <alignment horizontal="right" vertical="center"/>
    </xf>
    <xf fontId="5" fillId="30" borderId="0" numFmtId="0" applyNumberFormat="1" applyFont="1" applyFill="1" applyBorder="1"/>
    <xf fontId="4" fillId="30" borderId="0" numFmtId="0" applyNumberFormat="1" applyFont="1" applyFill="1" applyBorder="1"/>
    <xf fontId="4" fillId="31" borderId="0" numFmtId="0" applyNumberFormat="1" applyFont="1" applyFill="1" applyBorder="1"/>
    <xf fontId="5" fillId="31" borderId="0" numFmtId="0" applyNumberFormat="1" applyFont="1" applyFill="1" applyBorder="1"/>
    <xf fontId="5" fillId="32" borderId="0" numFmtId="0" applyNumberFormat="1" applyFont="1" applyFill="1" applyBorder="1"/>
    <xf fontId="4" fillId="3" borderId="0" numFmtId="0" applyNumberFormat="1" applyFont="1" applyFill="1" applyBorder="1"/>
    <xf fontId="5" fillId="33" borderId="0" numFmtId="0" applyNumberFormat="1" applyFont="1" applyFill="1" applyBorder="1"/>
    <xf fontId="5" fillId="34" borderId="0" numFmtId="0" applyNumberFormat="1" applyFont="1" applyFill="1" applyBorder="1"/>
    <xf fontId="4" fillId="35" borderId="0" numFmtId="0" applyNumberFormat="1" applyFont="1" applyFill="1" applyBorder="1"/>
    <xf fontId="4" fillId="36" borderId="0" numFmtId="0" applyNumberFormat="1" applyFont="1" applyFill="1" applyBorder="1"/>
    <xf fontId="5" fillId="37" borderId="0" numFmtId="0" applyNumberFormat="1" applyFont="1" applyFill="1" applyBorder="1"/>
    <xf fontId="5" fillId="18" borderId="0" numFmtId="0" applyNumberFormat="1" applyFont="1" applyFill="1" applyBorder="1"/>
    <xf fontId="4" fillId="3" borderId="0" numFmtId="0" applyNumberFormat="1" applyFont="1" applyFill="1" applyBorder="1"/>
    <xf fontId="5" fillId="19" borderId="0" numFmtId="0" applyNumberFormat="1" applyFont="1" applyFill="1" applyBorder="1"/>
    <xf fontId="5" fillId="20" borderId="0" numFmtId="0" applyNumberFormat="1" applyFont="1" applyFill="1" applyBorder="1"/>
    <xf fontId="4" fillId="3" borderId="0" numFmtId="0" applyNumberFormat="1" applyFont="1" applyFill="1" applyBorder="1"/>
    <xf fontId="5" fillId="21" borderId="0" numFmtId="0" applyNumberFormat="1" applyFont="1" applyFill="1" applyBorder="1"/>
    <xf fontId="5" fillId="38" borderId="0" numFmtId="0" applyNumberFormat="1" applyFont="1" applyFill="1" applyBorder="1"/>
    <xf fontId="4" fillId="3" borderId="0" numFmtId="0" applyNumberFormat="1" applyFont="1" applyFill="1" applyBorder="1"/>
    <xf fontId="14" fillId="39" borderId="7" numFmtId="0" applyNumberFormat="1" applyFont="1" applyFill="1" applyBorder="1"/>
    <xf fontId="14" fillId="39" borderId="7" numFmtId="0" applyNumberFormat="1" applyFont="1" applyFill="1" applyBorder="1"/>
    <xf fontId="14" fillId="39" borderId="7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9" borderId="7" numFmtId="0" applyNumberFormat="1" applyFont="1" applyFill="1" applyBorder="1"/>
    <xf fontId="14" fillId="39" borderId="7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9" borderId="7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9" borderId="7" numFmtId="0" applyNumberFormat="1" applyFont="1" applyFill="1" applyBorder="1"/>
    <xf fontId="14" fillId="39" borderId="7" numFmtId="0" applyNumberFormat="1" applyFont="1" applyFill="1" applyBorder="1"/>
    <xf fontId="14" fillId="39" borderId="7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9" borderId="7" numFmtId="0" applyNumberFormat="1" applyFont="1" applyFill="1" applyBorder="1"/>
    <xf fontId="14" fillId="39" borderId="7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9" borderId="7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9" borderId="7" numFmtId="0" applyNumberFormat="1" applyFont="1" applyFill="1" applyBorder="1"/>
    <xf fontId="14" fillId="39" borderId="7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9" borderId="7" numFmtId="0" applyNumberFormat="1" applyFont="1" applyFill="1" applyBorder="1"/>
    <xf fontId="14" fillId="39" borderId="7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4" fillId="39" borderId="7" numFmtId="0" applyNumberFormat="1" applyFont="1" applyFill="1" applyBorder="1"/>
    <xf fontId="14" fillId="3" borderId="7" numFmtId="0" applyNumberFormat="1" applyFont="1" applyFill="1" applyBorder="1"/>
    <xf fontId="14" fillId="3" borderId="8" numFmtId="0" applyNumberFormat="1" applyFont="1" applyFill="1" applyBorder="1"/>
    <xf fontId="14" fillId="39" borderId="8" numFmtId="0" applyNumberFormat="1" applyFont="1" applyFill="1" applyBorder="1"/>
    <xf fontId="15" fillId="40" borderId="0" numFmtId="0" applyNumberFormat="1" applyFont="1" applyFill="1" applyBorder="1"/>
    <xf fontId="7" fillId="3" borderId="0" numFmtId="0" applyNumberFormat="1" applyFont="1" applyFill="1" applyBorder="1"/>
    <xf fontId="16" fillId="4" borderId="0" numFmtId="0" applyNumberFormat="1" applyFont="1" applyFill="1" applyBorder="1"/>
    <xf fontId="4" fillId="3" borderId="0" numFmtId="0" applyNumberFormat="1" applyFont="1" applyFill="1" applyBorder="1"/>
    <xf fontId="16" fillId="5" borderId="0" numFmtId="0" applyNumberFormat="1" applyFont="1" applyFill="1" applyBorder="1"/>
    <xf fontId="16" fillId="4" borderId="0" numFmtId="0" applyNumberFormat="1" applyFont="1" applyFill="1" applyBorder="1"/>
    <xf fontId="4" fillId="3" borderId="0" numFmtId="0" applyNumberFormat="1" applyFont="1" applyFill="1" applyBorder="1"/>
    <xf fontId="16" fillId="5" borderId="0" numFmtId="0" applyNumberFormat="1" applyFont="1" applyFill="1" applyBorder="1"/>
    <xf fontId="16" fillId="4" borderId="0" numFmtId="0" applyNumberFormat="1" applyFont="1" applyFill="1" applyBorder="1"/>
    <xf fontId="4" fillId="3" borderId="0" numFmtId="0" applyNumberFormat="1" applyFont="1" applyFill="1" applyBorder="1"/>
    <xf fontId="16" fillId="5" borderId="0" numFmtId="0" applyNumberFormat="1" applyFont="1" applyFill="1" applyBorder="1"/>
    <xf fontId="17" fillId="40" borderId="0" numFmtId="0" applyNumberFormat="1" applyFont="1" applyFill="1" applyBorder="0" applyProtection="0"/>
    <xf fontId="18" fillId="39" borderId="9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0" fillId="0" borderId="0" numFmtId="4" applyNumberFormat="1" applyFont="1" applyFill="1" applyBorder="1">
      <alignment horizontal="right" vertical="center"/>
    </xf>
    <xf fontId="10" fillId="0" borderId="0" numFmtId="4" applyNumberFormat="1" applyFont="1" applyFill="1" applyBorder="1">
      <alignment horizontal="right" vertical="center"/>
    </xf>
    <xf fontId="18" fillId="39" borderId="9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18" fillId="39" borderId="9" numFmtId="0" applyNumberFormat="1" applyFont="1" applyFill="1" applyBorder="1"/>
    <xf fontId="19" fillId="3" borderId="1" numFmtId="0" applyNumberFormat="1" applyFont="1" applyFill="1" applyBorder="1"/>
    <xf fontId="19" fillId="3" borderId="1" numFmtId="0" applyNumberFormat="1" applyFont="1" applyFill="1" applyBorder="1"/>
    <xf fontId="20" fillId="41" borderId="10" numFmtId="0" applyNumberFormat="1" applyFont="1" applyFill="1" applyBorder="1"/>
    <xf fontId="19" fillId="3" borderId="10" numFmtId="0" applyNumberFormat="1" applyFont="1" applyFill="1" applyBorder="1"/>
    <xf fontId="19" fillId="3" borderId="11" numFmtId="0" applyNumberFormat="1" applyFont="1" applyFill="1" applyBorder="1"/>
    <xf fontId="20" fillId="42" borderId="11" numFmtId="0" applyNumberFormat="1" applyFont="1" applyFill="1" applyBorder="1"/>
    <xf fontId="20" fillId="41" borderId="10" numFmtId="0" applyNumberFormat="1" applyFont="1" applyFill="1" applyBorder="1"/>
    <xf fontId="19" fillId="3" borderId="10" numFmtId="0" applyNumberFormat="1" applyFont="1" applyFill="1" applyBorder="1"/>
    <xf fontId="19" fillId="3" borderId="11" numFmtId="0" applyNumberFormat="1" applyFont="1" applyFill="1" applyBorder="1"/>
    <xf fontId="20" fillId="42" borderId="11" numFmtId="0" applyNumberFormat="1" applyFont="1" applyFill="1" applyBorder="1"/>
    <xf fontId="20" fillId="41" borderId="10" numFmtId="0" applyNumberFormat="1" applyFont="1" applyFill="1" applyBorder="1"/>
    <xf fontId="19" fillId="3" borderId="10" numFmtId="0" applyNumberFormat="1" applyFont="1" applyFill="1" applyBorder="1"/>
    <xf fontId="19" fillId="3" borderId="11" numFmtId="0" applyNumberFormat="1" applyFont="1" applyFill="1" applyBorder="1"/>
    <xf fontId="20" fillId="42" borderId="11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1" applyNumberFormat="1" applyFont="1" applyFill="1" applyBorder="1"/>
    <xf fontId="4" fillId="0" borderId="0" numFmtId="161" applyNumberFormat="1" applyFont="1" applyFill="1" applyBorder="1"/>
    <xf fontId="4" fillId="0" borderId="0" numFmtId="161" applyNumberFormat="1" applyFont="1" applyFill="1" applyBorder="1"/>
    <xf fontId="4" fillId="0" borderId="0" numFmtId="160" applyNumberFormat="1" applyFont="1" applyFill="1" applyBorder="1"/>
    <xf fontId="0" fillId="0" borderId="0" numFmtId="160" applyNumberFormat="1" applyFont="1" applyFill="1" applyBorder="1"/>
    <xf fontId="4" fillId="0" borderId="0" numFmtId="160" applyNumberFormat="1" applyFont="1" applyFill="1" applyBorder="1"/>
    <xf fontId="11" fillId="0" borderId="0" numFmtId="0" applyNumberFormat="1" applyFont="1" applyFill="1" applyBorder="1">
      <alignment horizontal="right"/>
    </xf>
    <xf fontId="3" fillId="0" borderId="0" numFmtId="0" applyNumberFormat="1" applyFont="1" applyFill="1" applyBorder="1">
      <alignment horizontal="right"/>
    </xf>
    <xf fontId="21" fillId="0" borderId="0" numFmtId="0" applyNumberFormat="1" applyFont="1" applyFill="1" applyBorder="1">
      <alignment horizontal="left" indent="1" vertical="center"/>
    </xf>
    <xf fontId="22" fillId="0" borderId="0" numFmtId="0" applyNumberFormat="1" applyFont="1" applyFill="1" applyBorder="1">
      <alignment horizontal="left" indent="1" vertical="center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9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3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0" fillId="0" borderId="0" numFmtId="0" applyNumberFormat="1" applyFont="1" applyFill="1" applyBorder="1"/>
    <xf fontId="4" fillId="0" borderId="0" numFmtId="0" applyNumberFormat="1" applyFont="1" applyFill="1" applyBorder="1"/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0" borderId="12" numFmtId="0" applyNumberFormat="1" applyFont="1" applyFill="1" applyBorder="1">
      <alignment horizontal="left" indent="15" vertical="center" wrapText="1"/>
    </xf>
    <xf fontId="3" fillId="6" borderId="5" numFmtId="0" applyNumberFormat="1" applyFont="1" applyFill="1" applyBorder="1">
      <alignment horizontal="left" vertical="center"/>
    </xf>
    <xf fontId="3" fillId="6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3" fillId="6" borderId="5" numFmtId="0" applyNumberFormat="1" applyFont="1" applyFill="1" applyBorder="1">
      <alignment horizontal="left" vertical="center"/>
    </xf>
    <xf fontId="3" fillId="6" borderId="5" numFmtId="0" applyNumberFormat="1" applyFont="1" applyFill="1" applyBorder="1">
      <alignment horizontal="left" vertical="center"/>
    </xf>
    <xf fontId="3" fillId="6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3" fillId="6" borderId="5" numFmtId="0" applyNumberFormat="1" applyFont="1" applyFill="1" applyBorder="1">
      <alignment horizontal="left" vertical="center"/>
    </xf>
    <xf fontId="3" fillId="6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3" fillId="6" borderId="5" numFmtId="0" applyNumberFormat="1" applyFont="1" applyFill="1" applyBorder="1">
      <alignment horizontal="left" vertical="center"/>
    </xf>
    <xf fontId="3" fillId="6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3" fillId="6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3" fillId="3" borderId="5" numFmtId="0" applyNumberFormat="1" applyFont="1" applyFill="1" applyBorder="1">
      <alignment horizontal="left" vertical="center"/>
    </xf>
    <xf fontId="11" fillId="0" borderId="13" numFmtId="0" applyNumberFormat="1" applyFont="1" applyFill="1" applyBorder="1">
      <alignment horizontal="left" vertical="top" wrapText="1"/>
    </xf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4" fillId="0" borderId="14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19" fillId="0" borderId="15" numFmtId="0" applyNumberFormat="1" applyFont="1" applyFill="1" applyBorder="1"/>
    <xf fontId="25" fillId="0" borderId="15" numFmtId="0" applyNumberFormat="1" applyFont="1" applyFill="1" applyBorder="1"/>
    <xf fontId="19" fillId="0" borderId="15" numFmtId="0" applyNumberFormat="1" applyFont="1" applyFill="1" applyBorder="1"/>
    <xf fontId="26" fillId="0" borderId="0" numFmtId="0" applyNumberFormat="1" applyFont="1" applyFill="1" applyBorder="1"/>
    <xf fontId="27" fillId="0" borderId="0" numFmtId="0" applyNumberFormat="1" applyFont="1" applyFill="1" applyBorder="1"/>
    <xf fontId="26" fillId="0" borderId="0" numFmtId="0" applyNumberFormat="1" applyFont="1" applyFill="1" applyBorder="1"/>
    <xf fontId="27" fillId="0" borderId="0" numFmtId="0" applyNumberFormat="1" applyFont="1" applyFill="1" applyBorder="1"/>
    <xf fontId="28" fillId="43" borderId="0" numFmtId="0" applyNumberFormat="1" applyFont="1" applyFill="1" applyBorder="1"/>
    <xf fontId="9" fillId="3" borderId="0" numFmtId="0" applyNumberFormat="1" applyFont="1" applyFill="1" applyBorder="1"/>
    <xf fontId="28" fillId="44" borderId="0" numFmtId="0" applyNumberFormat="1" applyFont="1" applyFill="1" applyBorder="1"/>
    <xf fontId="28" fillId="45" borderId="0" numFmtId="0" applyNumberFormat="1" applyFont="1" applyFill="1" applyBorder="0" applyProtection="0"/>
    <xf fontId="28" fillId="46" borderId="0" numFmtId="0" applyNumberFormat="1" applyFont="1" applyFill="1" applyBorder="0" applyProtection="0"/>
    <xf fontId="26" fillId="0" borderId="0" numFmtId="0" applyNumberFormat="1" applyFont="1" applyFill="1" applyBorder="1"/>
    <xf fontId="27" fillId="0" borderId="0" numFmtId="0" applyNumberFormat="1" applyFont="1" applyFill="1" applyBorder="1"/>
    <xf fontId="26" fillId="0" borderId="0" numFmtId="0" applyNumberFormat="1" applyFont="1" applyFill="1" applyBorder="1"/>
    <xf fontId="27" fillId="0" borderId="0" numFmtId="0" applyNumberFormat="1" applyFont="1" applyFill="1" applyBorder="1"/>
    <xf fontId="29" fillId="0" borderId="0" numFmtId="0" applyNumberFormat="1" applyFont="1" applyFill="1" applyBorder="1"/>
    <xf fontId="30" fillId="0" borderId="0" numFmtId="0" applyNumberFormat="1" applyFont="1" applyFill="1" applyBorder="1"/>
    <xf fontId="29" fillId="0" borderId="0" numFmtId="0" applyNumberFormat="1" applyFont="1" applyFill="1" applyBorder="0" applyProtection="0"/>
    <xf fontId="31" fillId="6" borderId="0" numFmtId="0" applyNumberFormat="1" applyFont="1" applyFill="1" applyBorder="1"/>
    <xf fontId="7" fillId="3" borderId="0" numFmtId="0" applyNumberFormat="1" applyFont="1" applyFill="1" applyBorder="1"/>
    <xf fontId="32" fillId="6" borderId="0" numFmtId="0" applyNumberFormat="1" applyFont="1" applyFill="1" applyBorder="0" applyProtection="0"/>
    <xf fontId="33" fillId="6" borderId="0" numFmtId="0" applyNumberFormat="1" applyFont="1" applyFill="1" applyBorder="1"/>
    <xf fontId="4" fillId="3" borderId="0" numFmtId="0" applyNumberFormat="1" applyFont="1" applyFill="1" applyBorder="1"/>
    <xf fontId="33" fillId="6" borderId="0" numFmtId="0" applyNumberFormat="1" applyFont="1" applyFill="1" applyBorder="1"/>
    <xf fontId="4" fillId="3" borderId="0" numFmtId="0" applyNumberFormat="1" applyFont="1" applyFill="1" applyBorder="1"/>
    <xf fontId="33" fillId="6" borderId="0" numFmtId="0" applyNumberFormat="1" applyFont="1" applyFill="1" applyBorder="1"/>
    <xf fontId="4" fillId="3" borderId="0" numFmtId="0" applyNumberFormat="1" applyFont="1" applyFill="1" applyBorder="1"/>
    <xf fontId="33" fillId="6" borderId="0" numFmtId="0" applyNumberFormat="1" applyFont="1" applyFill="1" applyBorder="1"/>
    <xf fontId="4" fillId="3" borderId="0" numFmtId="0" applyNumberFormat="1" applyFont="1" applyFill="1" applyBorder="1"/>
    <xf fontId="34" fillId="0" borderId="0" numFmtId="0" applyNumberFormat="1" applyFont="1" applyFill="1" applyBorder="1"/>
    <xf fontId="35" fillId="0" borderId="0" numFmtId="0" applyNumberFormat="1" applyFont="1" applyFill="1" applyBorder="1"/>
    <xf fontId="34" fillId="0" borderId="0" numFmtId="0" applyNumberFormat="1" applyFont="1" applyFill="1" applyBorder="0" applyProtection="0"/>
    <xf fontId="36" fillId="0" borderId="16" numFmtId="0" applyNumberFormat="1" applyFont="1" applyFill="1" applyBorder="1"/>
    <xf fontId="36" fillId="0" borderId="16" numFmtId="0" applyNumberFormat="1" applyFont="1" applyFill="1" applyBorder="1"/>
    <xf fontId="36" fillId="0" borderId="16" numFmtId="0" applyNumberFormat="1" applyFont="1" applyFill="1" applyBorder="1"/>
    <xf fontId="36" fillId="0" borderId="16" numFmtId="0" applyNumberFormat="1" applyFont="1" applyFill="1" applyBorder="1"/>
    <xf fontId="36" fillId="0" borderId="16" numFmtId="0" applyNumberFormat="1" applyFont="1" applyFill="1" applyBorder="1"/>
    <xf fontId="36" fillId="0" borderId="16" numFmtId="0" applyNumberFormat="1" applyFont="1" applyFill="1" applyBorder="1"/>
    <xf fontId="37" fillId="0" borderId="0" numFmtId="0" applyNumberFormat="1" applyFont="1" applyFill="1" applyBorder="1"/>
    <xf fontId="38" fillId="0" borderId="0" numFmtId="0" applyNumberFormat="1" applyFont="1" applyFill="1" applyBorder="1"/>
    <xf fontId="37" fillId="0" borderId="0" numFmtId="0" applyNumberFormat="1" applyFont="1" applyFill="1" applyBorder="0" applyProtection="0"/>
    <xf fontId="39" fillId="0" borderId="17" numFmtId="0" applyNumberFormat="1" applyFont="1" applyFill="1" applyBorder="1"/>
    <xf fontId="39" fillId="0" borderId="18" numFmtId="0" applyNumberFormat="1" applyFont="1" applyFill="1" applyBorder="1"/>
    <xf fontId="39" fillId="0" borderId="17" numFmtId="0" applyNumberFormat="1" applyFont="1" applyFill="1" applyBorder="1"/>
    <xf fontId="39" fillId="0" borderId="18" numFmtId="0" applyNumberFormat="1" applyFont="1" applyFill="1" applyBorder="1"/>
    <xf fontId="39" fillId="0" borderId="17" numFmtId="0" applyNumberFormat="1" applyFont="1" applyFill="1" applyBorder="1"/>
    <xf fontId="39" fillId="0" borderId="18" numFmtId="0" applyNumberFormat="1" applyFont="1" applyFill="1" applyBorder="1"/>
    <xf fontId="40" fillId="0" borderId="0" numFmtId="0" applyNumberFormat="1" applyFont="1" applyFill="1" applyBorder="1"/>
    <xf fontId="41" fillId="0" borderId="19" numFmtId="0" applyNumberFormat="1" applyFont="1" applyFill="1" applyBorder="1"/>
    <xf fontId="41" fillId="0" borderId="14" numFmtId="0" applyNumberFormat="1" applyFont="1" applyFill="1" applyBorder="1"/>
    <xf fontId="41" fillId="0" borderId="20" numFmtId="0" applyNumberFormat="1" applyFont="1" applyFill="1" applyBorder="1"/>
    <xf fontId="41" fillId="0" borderId="19" numFmtId="0" applyNumberFormat="1" applyFont="1" applyFill="1" applyBorder="1"/>
    <xf fontId="41" fillId="0" borderId="14" numFmtId="0" applyNumberFormat="1" applyFont="1" applyFill="1" applyBorder="1"/>
    <xf fontId="41" fillId="0" borderId="20" numFmtId="0" applyNumberFormat="1" applyFont="1" applyFill="1" applyBorder="1"/>
    <xf fontId="41" fillId="0" borderId="19" numFmtId="0" applyNumberFormat="1" applyFont="1" applyFill="1" applyBorder="1"/>
    <xf fontId="41" fillId="0" borderId="14" numFmtId="0" applyNumberFormat="1" applyFont="1" applyFill="1" applyBorder="1"/>
    <xf fontId="41" fillId="0" borderId="20" numFmtId="0" applyNumberFormat="1" applyFont="1" applyFill="1" applyBorder="1"/>
    <xf fontId="42" fillId="0" borderId="0" numFmtId="0" applyNumberFormat="1" applyFont="1" applyFill="1" applyBorder="1"/>
    <xf fontId="41" fillId="0" borderId="0" numFmtId="0" applyNumberFormat="1" applyFont="1" applyFill="1" applyBorder="1"/>
    <xf fontId="41" fillId="0" borderId="0" numFmtId="0" applyNumberFormat="1" applyFont="1" applyFill="1" applyBorder="1"/>
    <xf fontId="41" fillId="0" borderId="0" numFmtId="0" applyNumberFormat="1" applyFont="1" applyFill="1" applyBorder="1"/>
    <xf fontId="41" fillId="0" borderId="0" numFmtId="0" applyNumberFormat="1" applyFont="1" applyFill="1" applyBorder="1"/>
    <xf fontId="41" fillId="0" borderId="0" numFmtId="0" applyNumberFormat="1" applyFont="1" applyFill="1" applyBorder="1"/>
    <xf fontId="41" fillId="0" borderId="0" numFmtId="0" applyNumberFormat="1" applyFont="1" applyFill="1" applyBorder="1"/>
    <xf fontId="43" fillId="0" borderId="0" numFmtId="0" applyNumberFormat="1" applyFont="1" applyFill="1" applyBorder="1"/>
    <xf fontId="43" fillId="0" borderId="0" numFmtId="0" applyNumberFormat="1" applyFont="1" applyFill="1" applyBorder="1"/>
    <xf fontId="44" fillId="0" borderId="0" numFmtId="0" applyNumberFormat="1" applyFont="1" applyFill="1" applyBorder="1"/>
    <xf fontId="45" fillId="0" borderId="0" numFmtId="0" applyNumberFormat="1" applyFont="1" applyFill="1" applyBorder="1"/>
    <xf fontId="46" fillId="0" borderId="0" numFmtId="0" applyNumberFormat="1" applyFont="1" applyFill="1" applyBorder="0" applyProtection="0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23" fillId="3" borderId="1" numFmtId="0" applyNumberFormat="1" applyFont="1" applyFill="1" applyBorder="1"/>
    <xf fontId="23" fillId="9" borderId="9" numFmtId="0" applyNumberFormat="1" applyFont="1" applyFill="1" applyBorder="1"/>
    <xf fontId="23" fillId="3" borderId="1" numFmtId="0" applyNumberFormat="1" applyFont="1" applyFill="1" applyBorder="1"/>
    <xf fontId="3" fillId="0" borderId="0" numFmtId="0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0" applyNumberFormat="1" applyFont="1" applyFill="1" applyBorder="1">
      <alignment horizontal="right" vertical="center"/>
    </xf>
    <xf fontId="3" fillId="0" borderId="0" numFmtId="0" applyNumberFormat="1" applyFont="1" applyFill="1" applyBorder="1">
      <alignment horizontal="right" vertical="center"/>
    </xf>
    <xf fontId="3" fillId="0" borderId="0" numFmtId="0" applyNumberFormat="1" applyFont="1" applyFill="1" applyBorder="1">
      <alignment horizontal="right" vertical="center"/>
    </xf>
    <xf fontId="3" fillId="0" borderId="0" numFmtId="0" applyNumberFormat="1" applyFont="1" applyFill="1" applyBorder="1">
      <alignment horizontal="right" vertical="center"/>
    </xf>
    <xf fontId="3" fillId="0" borderId="0" numFmtId="0" applyNumberFormat="1" applyFont="1" applyFill="1" applyBorder="1">
      <alignment horizontal="right" vertical="center"/>
    </xf>
    <xf fontId="3" fillId="0" borderId="2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4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1" numFmtId="0" applyNumberFormat="1" applyFont="1" applyFill="1" applyBorder="1">
      <alignment horizontal="right" vertical="center"/>
    </xf>
    <xf fontId="3" fillId="0" borderId="3" numFmtId="0" applyNumberFormat="1" applyFont="1" applyFill="1" applyBorder="1">
      <alignment horizontal="right" vertical="center"/>
    </xf>
    <xf fontId="47" fillId="6" borderId="0" numFmtId="1" applyNumberFormat="1" applyFont="1" applyFill="1" applyBorder="1">
      <alignment horizontal="right" vertical="center"/>
    </xf>
    <xf fontId="43" fillId="3" borderId="0" numFmtId="1" applyNumberFormat="1" applyFont="1" applyFill="1" applyBorder="1">
      <alignment horizontal="right" vertical="center"/>
    </xf>
    <xf fontId="24" fillId="25" borderId="1" numFmtId="0" applyNumberFormat="1" applyFont="1" applyFill="1" applyBorder="1"/>
    <xf fontId="48" fillId="0" borderId="0" numFmtId="0" applyNumberFormat="1" applyFont="1" applyFill="1" applyBorder="0" applyProtection="0"/>
    <xf fontId="49" fillId="0" borderId="22" numFmtId="0" applyNumberFormat="1" applyFont="1" applyFill="1" applyBorder="1"/>
    <xf fontId="4" fillId="0" borderId="23" numFmtId="0" applyNumberFormat="1" applyFont="1" applyFill="1" applyBorder="1"/>
    <xf fontId="49" fillId="0" borderId="22" numFmtId="0" applyNumberFormat="1" applyFont="1" applyFill="1" applyBorder="1"/>
    <xf fontId="4" fillId="0" borderId="23" numFmtId="0" applyNumberFormat="1" applyFont="1" applyFill="1" applyBorder="1"/>
    <xf fontId="49" fillId="0" borderId="22" numFmtId="0" applyNumberFormat="1" applyFont="1" applyFill="1" applyBorder="1"/>
    <xf fontId="4" fillId="0" borderId="23" numFmtId="0" applyNumberFormat="1" applyFont="1" applyFill="1" applyBorder="1"/>
    <xf fontId="0" fillId="0" borderId="0" numFmtId="160" applyNumberFormat="1" applyFont="1" applyFill="1" applyBorder="1"/>
    <xf fontId="4" fillId="0" borderId="0" numFmtId="160" applyNumberFormat="1" applyFont="1" applyFill="1" applyBorder="1"/>
    <xf fontId="4" fillId="0" borderId="0" numFmtId="160" applyNumberFormat="1" applyFont="1" applyFill="1" applyBorder="1"/>
    <xf fontId="50" fillId="47" borderId="0" numFmtId="0" applyNumberFormat="1" applyFont="1" applyFill="1" applyBorder="1"/>
    <xf fontId="51" fillId="3" borderId="0" numFmtId="0" applyNumberFormat="1" applyFont="1" applyFill="1" applyBorder="1"/>
    <xf fontId="52" fillId="47" borderId="0" numFmtId="0" applyNumberFormat="1" applyFont="1" applyFill="1" applyBorder="0" applyProtection="0"/>
    <xf fontId="53" fillId="47" borderId="0" numFmtId="0" applyNumberFormat="1" applyFont="1" applyFill="1" applyBorder="1"/>
    <xf fontId="4" fillId="3" borderId="0" numFmtId="0" applyNumberFormat="1" applyFont="1" applyFill="1" applyBorder="1"/>
    <xf fontId="53" fillId="48" borderId="0" numFmtId="0" applyNumberFormat="1" applyFont="1" applyFill="1" applyBorder="1"/>
    <xf fontId="53" fillId="47" borderId="0" numFmtId="0" applyNumberFormat="1" applyFont="1" applyFill="1" applyBorder="1"/>
    <xf fontId="4" fillId="3" borderId="0" numFmtId="0" applyNumberFormat="1" applyFont="1" applyFill="1" applyBorder="1"/>
    <xf fontId="53" fillId="48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54" fillId="0" borderId="0" numFmtId="0" applyNumberFormat="1" applyFont="1" applyFill="1" applyBorder="1"/>
    <xf fontId="0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55" fillId="0" borderId="0" numFmtId="0" applyNumberFormat="1" applyFont="1" applyFill="1" applyBorder="1"/>
    <xf fontId="55" fillId="0" borderId="0" numFmtId="0" applyNumberFormat="1" applyFont="1" applyFill="1" applyBorder="1"/>
    <xf fontId="55" fillId="0" borderId="0" numFmtId="0" applyNumberFormat="1" applyFont="1" applyFill="1" applyBorder="1"/>
    <xf fontId="55" fillId="0" borderId="0" numFmtId="0" applyNumberFormat="1" applyFont="1" applyFill="1" applyBorder="1"/>
    <xf fontId="24" fillId="0" borderId="0" numFmtId="4" applyNumberFormat="1" applyFont="1" applyFill="1" applyBorder="1"/>
    <xf fontId="24" fillId="0" borderId="0" numFmtId="4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24" fillId="0" borderId="0" numFmtId="4" applyNumberFormat="1" applyFont="1" applyFill="1" applyBorder="1"/>
    <xf fontId="24" fillId="0" borderId="0" numFmtId="4" applyNumberFormat="1" applyFont="1" applyFill="1" applyBorder="1"/>
    <xf fontId="24" fillId="0" borderId="0" numFmtId="4" applyNumberFormat="1" applyFont="1" applyFill="1" applyBorder="1"/>
    <xf fontId="24" fillId="0" borderId="0" numFmtId="4" applyNumberFormat="1" applyFont="1" applyFill="1" applyBorder="1"/>
    <xf fontId="24" fillId="0" borderId="0" numFmtId="4" applyNumberFormat="1" applyFont="1" applyFill="1" applyBorder="1"/>
    <xf fontId="24" fillId="0" borderId="0" numFmtId="4" applyNumberFormat="1" applyFont="1" applyFill="1" applyBorder="1"/>
    <xf fontId="24" fillId="0" borderId="0" numFmtId="4" applyNumberFormat="1" applyFont="1" applyFill="1" applyBorder="1"/>
    <xf fontId="24" fillId="0" borderId="0" numFmtId="4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4" fillId="0" borderId="0" numFmtId="0" applyNumberFormat="1" applyFont="1" applyFill="1" applyBorder="1"/>
    <xf fontId="2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2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2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24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3" fillId="0" borderId="0" numFmtId="4" applyNumberFormat="1" applyFont="1" applyFill="1" applyBorder="1">
      <alignment horizontal="righ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10" fillId="0" borderId="0" numFmtId="0" applyNumberFormat="1" applyFont="1" applyFill="1" applyBorder="1">
      <alignment horizontal="left" vertical="center"/>
    </xf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3" fillId="0" borderId="1" numFmtId="0" applyNumberFormat="1" applyFont="1" applyFill="1" applyBorder="1"/>
    <xf fontId="0" fillId="41" borderId="0" numFmtId="0" applyNumberFormat="1" applyFont="1" applyFill="1" applyBorder="1"/>
    <xf fontId="0" fillId="41" borderId="0" numFmtId="0" applyNumberFormat="1" applyFont="1" applyFill="1" applyBorder="1"/>
    <xf fontId="0" fillId="41" borderId="0" numFmtId="0" applyNumberFormat="1" applyFont="1" applyFill="1" applyBorder="1"/>
    <xf fontId="4" fillId="3" borderId="0" numFmtId="0" applyNumberFormat="1" applyFont="1" applyFill="1" applyBorder="1"/>
    <xf fontId="0" fillId="42" borderId="0" numFmtId="0" applyNumberFormat="1" applyFont="1" applyFill="1" applyBorder="1"/>
    <xf fontId="0" fillId="41" borderId="0" numFmtId="0" applyNumberFormat="1" applyFont="1" applyFill="1" applyBorder="1"/>
    <xf fontId="4" fillId="3" borderId="0" numFmtId="0" applyNumberFormat="1" applyFont="1" applyFill="1" applyBorder="1"/>
    <xf fontId="0" fillId="42" borderId="0" numFmtId="0" applyNumberFormat="1" applyFont="1" applyFill="1" applyBorder="1"/>
    <xf fontId="0" fillId="41" borderId="0" numFmtId="0" applyNumberFormat="1" applyFont="1" applyFill="1" applyBorder="1"/>
    <xf fontId="4" fillId="3" borderId="0" numFmtId="0" applyNumberFormat="1" applyFont="1" applyFill="1" applyBorder="1"/>
    <xf fontId="0" fillId="42" borderId="0" numFmtId="0" applyNumberFormat="1" applyFont="1" applyFill="1" applyBorder="1"/>
    <xf fontId="0" fillId="41" borderId="0" numFmtId="0" applyNumberFormat="1" applyFont="1" applyFill="1" applyBorder="1"/>
    <xf fontId="4" fillId="3" borderId="0" numFmtId="0" applyNumberFormat="1" applyFont="1" applyFill="1" applyBorder="1"/>
    <xf fontId="0" fillId="42" borderId="0" numFmtId="0" applyNumberFormat="1" applyFont="1" applyFill="1" applyBorder="1"/>
    <xf fontId="4" fillId="3" borderId="0" numFmtId="0" applyNumberFormat="1" applyFont="1" applyFill="1" applyBorder="1"/>
    <xf fontId="0" fillId="42" borderId="0" numFmtId="0" applyNumberFormat="1" applyFont="1" applyFill="1" applyBorder="1"/>
    <xf fontId="0" fillId="41" borderId="0" numFmtId="0" applyNumberFormat="1" applyFont="1" applyFill="1" applyBorder="1"/>
    <xf fontId="0" fillId="41" borderId="0" numFmtId="0" applyNumberFormat="1" applyFont="1" applyFill="1" applyBorder="1"/>
    <xf fontId="4" fillId="3" borderId="0" numFmtId="0" applyNumberFormat="1" applyFont="1" applyFill="1" applyBorder="1"/>
    <xf fontId="0" fillId="42" borderId="0" numFmtId="0" applyNumberFormat="1" applyFont="1" applyFill="1" applyBorder="1"/>
    <xf fontId="4" fillId="3" borderId="0" numFmtId="0" applyNumberFormat="1" applyFont="1" applyFill="1" applyBorder="1"/>
    <xf fontId="0" fillId="42" borderId="0" numFmtId="0" applyNumberFormat="1" applyFont="1" applyFill="1" applyBorder="1"/>
    <xf fontId="0" fillId="39" borderId="0" numFmtId="0" applyNumberFormat="1" applyFont="1" applyFill="1" applyBorder="1"/>
    <xf fontId="0" fillId="39" borderId="0" numFmtId="0" applyNumberFormat="1" applyFont="1" applyFill="1" applyBorder="1"/>
    <xf fontId="4" fillId="3" borderId="0" numFmtId="0" applyNumberFormat="1" applyFont="1" applyFill="1" applyBorder="1"/>
    <xf fontId="4" fillId="3" borderId="0" numFmtId="0" applyNumberFormat="1" applyFont="1" applyFill="1" applyBorder="1"/>
    <xf fontId="4" fillId="3" borderId="0" numFmtId="0" applyNumberFormat="1" applyFont="1" applyFill="1" applyBorder="1"/>
    <xf fontId="0" fillId="42" borderId="0" numFmtId="0" applyNumberFormat="1" applyFont="1" applyFill="1" applyBorder="1"/>
    <xf fontId="24" fillId="0" borderId="0" numFmtId="4" applyNumberFormat="1" applyFont="1" applyFill="1" applyBorder="1"/>
    <xf fontId="13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56" fillId="47" borderId="9" numFmtId="0" applyNumberFormat="1" applyFont="1" applyFill="1" applyBorder="1" applyProtection="0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54" fillId="0" borderId="0" numFmtId="162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409">
    <xf fontId="0" fillId="0" borderId="0" numFmtId="0" xfId="0"/>
    <xf fontId="0" fillId="0" borderId="0" numFmtId="0" xfId="1656"/>
    <xf fontId="0" fillId="49" borderId="24" numFmtId="0" xfId="1656" applyFill="1" applyBorder="1" applyAlignment="1">
      <alignment horizontal="center"/>
    </xf>
    <xf fontId="25" fillId="50" borderId="0" numFmtId="0" xfId="1238" applyFont="1" applyFill="1" applyAlignment="1">
      <alignment horizontal="center"/>
    </xf>
    <xf fontId="0" fillId="0" borderId="0" numFmtId="162" xfId="1656" applyNumberFormat="1"/>
    <xf fontId="0" fillId="0" borderId="25" numFmtId="0" xfId="1656" applyBorder="1" applyAlignment="1">
      <alignment horizontal="center" vertical="center"/>
    </xf>
    <xf fontId="0" fillId="0" borderId="26" numFmtId="0" xfId="1656" applyBorder="1"/>
    <xf fontId="0" fillId="0" borderId="27" numFmtId="0" xfId="1656" applyBorder="1"/>
    <xf fontId="0" fillId="0" borderId="28" numFmtId="0" xfId="1656" applyBorder="1"/>
    <xf fontId="57" fillId="0" borderId="29" numFmtId="0" xfId="1238" applyFont="1" applyBorder="1"/>
    <xf fontId="4" fillId="3" borderId="28" numFmtId="0" xfId="1237" applyFont="1" applyFill="1" applyBorder="1"/>
    <xf fontId="0" fillId="0" borderId="27" numFmtId="163" xfId="1656" applyNumberFormat="1" applyBorder="1"/>
    <xf fontId="0" fillId="0" borderId="28" numFmtId="163" xfId="1656" applyNumberFormat="1" applyBorder="1"/>
    <xf fontId="0" fillId="0" borderId="28" numFmtId="164" xfId="1656" applyNumberFormat="1" applyBorder="1"/>
    <xf fontId="24" fillId="3" borderId="29" numFmtId="0" xfId="1249" applyFont="1" applyFill="1" applyBorder="1"/>
    <xf fontId="4" fillId="3" borderId="26" numFmtId="0" xfId="1237" applyFont="1" applyFill="1" applyBorder="1"/>
    <xf fontId="4" fillId="3" borderId="27" numFmtId="0" xfId="1237" applyFont="1" applyFill="1" applyBorder="1"/>
    <xf fontId="4" fillId="0" borderId="27" numFmtId="163" xfId="1656" applyNumberFormat="1" applyFont="1" applyBorder="1"/>
    <xf fontId="4" fillId="0" borderId="28" numFmtId="163" xfId="1656" applyNumberFormat="1" applyFont="1" applyBorder="1"/>
    <xf fontId="0" fillId="0" borderId="26" numFmtId="2" xfId="1656" applyNumberFormat="1" applyBorder="1"/>
    <xf fontId="0" fillId="0" borderId="27" numFmtId="2" xfId="1656" applyNumberFormat="1" applyBorder="1"/>
    <xf fontId="0" fillId="0" borderId="28" numFmtId="2" xfId="1656" applyNumberFormat="1" applyBorder="1"/>
    <xf fontId="0" fillId="0" borderId="30" numFmtId="0" xfId="1656" applyBorder="1"/>
    <xf fontId="0" fillId="0" borderId="31" numFmtId="0" xfId="1656" applyBorder="1"/>
    <xf fontId="0" fillId="0" borderId="32" numFmtId="0" xfId="1656" applyBorder="1"/>
    <xf fontId="0" fillId="0" borderId="31" numFmtId="163" xfId="1656" applyNumberFormat="1" applyBorder="1"/>
    <xf fontId="0" fillId="0" borderId="32" numFmtId="163" xfId="1656" applyNumberFormat="1" applyBorder="1"/>
    <xf fontId="0" fillId="0" borderId="0" numFmtId="165" xfId="1656" applyNumberFormat="1"/>
    <xf fontId="0" fillId="0" borderId="0" numFmtId="166" xfId="1656" applyNumberFormat="1"/>
    <xf fontId="0" fillId="0" borderId="29" numFmtId="0" xfId="1238" applyBorder="1"/>
    <xf fontId="0" fillId="0" borderId="26" numFmtId="167" xfId="1656" applyNumberFormat="1" applyBorder="1"/>
    <xf fontId="0" fillId="0" borderId="27" numFmtId="167" xfId="1656" applyNumberFormat="1" applyBorder="1"/>
    <xf fontId="0" fillId="0" borderId="28" numFmtId="167" xfId="1656" applyNumberFormat="1" applyBorder="1"/>
    <xf fontId="0" fillId="0" borderId="33" numFmtId="0" xfId="1656" applyBorder="1"/>
    <xf fontId="0" fillId="0" borderId="26" numFmtId="163" xfId="1656" applyNumberFormat="1" applyBorder="1"/>
    <xf fontId="4" fillId="0" borderId="29" numFmtId="0" xfId="1238" applyFont="1" applyBorder="1"/>
    <xf fontId="0" fillId="0" borderId="30" numFmtId="167" xfId="1656" applyNumberFormat="1" applyBorder="1"/>
    <xf fontId="0" fillId="0" borderId="31" numFmtId="167" xfId="1656" applyNumberFormat="1" applyBorder="1"/>
    <xf fontId="0" fillId="0" borderId="32" numFmtId="167" xfId="1656" applyNumberFormat="1" applyBorder="1"/>
    <xf fontId="58" fillId="0" borderId="0" numFmtId="0" xfId="1656" applyFont="1"/>
    <xf fontId="58" fillId="0" borderId="0" numFmtId="163" xfId="1656" applyNumberFormat="1" applyFont="1"/>
    <xf fontId="0" fillId="0" borderId="34" numFmtId="0" xfId="1656" applyBorder="1" applyAlignment="1">
      <alignment horizontal="center" vertical="center"/>
    </xf>
    <xf fontId="0" fillId="0" borderId="33" numFmtId="0" xfId="1656" applyBorder="1" applyAlignment="1">
      <alignment horizontal="center" vertical="center"/>
    </xf>
    <xf fontId="0" fillId="0" borderId="35" numFmtId="0" xfId="1656" applyBorder="1" applyAlignment="1">
      <alignment horizontal="center" vertical="center"/>
    </xf>
    <xf fontId="0" fillId="0" borderId="27" numFmtId="0" xfId="1238" applyBorder="1"/>
    <xf fontId="4" fillId="0" borderId="27" numFmtId="0" xfId="1238" applyFont="1" applyBorder="1"/>
    <xf fontId="59" fillId="0" borderId="0" numFmtId="0" xfId="1661" applyFont="1" applyAlignment="1">
      <alignment horizontal="center"/>
    </xf>
    <xf fontId="0" fillId="0" borderId="27" numFmtId="0" xfId="1656" applyBorder="1" applyAlignment="1">
      <alignment horizontal="center" vertical="center"/>
    </xf>
    <xf fontId="57" fillId="0" borderId="1" numFmtId="0" xfId="1238" applyFont="1" applyBorder="1"/>
    <xf fontId="4" fillId="0" borderId="27" numFmtId="0" xfId="1656" applyFont="1" applyBorder="1"/>
    <xf fontId="0" fillId="0" borderId="36" numFmtId="0" xfId="1656" applyBorder="1"/>
    <xf fontId="0" fillId="0" borderId="27" numFmtId="164" xfId="1656" applyNumberFormat="1" applyBorder="1"/>
    <xf fontId="53" fillId="0" borderId="0" numFmtId="0" xfId="1656" applyFont="1"/>
    <xf fontId="24" fillId="3" borderId="1" numFmtId="0" xfId="1249" applyFont="1" applyFill="1" applyBorder="1"/>
    <xf fontId="60" fillId="3" borderId="1" numFmtId="0" xfId="1249" applyFont="1" applyFill="1" applyBorder="1"/>
    <xf fontId="61" fillId="3" borderId="27" numFmtId="2" xfId="1237" applyNumberFormat="1" applyFont="1" applyFill="1" applyBorder="1"/>
    <xf fontId="62" fillId="0" borderId="0" numFmtId="0" xfId="1656" applyFont="1"/>
    <xf fontId="61" fillId="3" borderId="27" numFmtId="0" xfId="1237" applyFont="1" applyFill="1" applyBorder="1"/>
    <xf fontId="4" fillId="0" borderId="0" numFmtId="0" xfId="1656" applyFont="1"/>
    <xf fontId="60" fillId="0" borderId="37" numFmtId="0" xfId="1238" applyFont="1" applyBorder="1"/>
    <xf fontId="61" fillId="0" borderId="38" numFmtId="2" xfId="1656" applyNumberFormat="1" applyFont="1" applyBorder="1"/>
    <xf fontId="63" fillId="0" borderId="0" numFmtId="0" xfId="1661" applyFont="1"/>
    <xf fontId="25" fillId="0" borderId="0" numFmtId="0" xfId="1238" applyFont="1" applyAlignment="1">
      <alignment horizontal="center"/>
    </xf>
    <xf fontId="0" fillId="0" borderId="0" numFmtId="0" xfId="1661"/>
    <xf fontId="64" fillId="0" borderId="0" numFmtId="0" xfId="1661" applyFont="1"/>
    <xf fontId="0" fillId="0" borderId="1" numFmtId="0" xfId="1661" applyBorder="1"/>
    <xf fontId="25" fillId="3" borderId="39" numFmtId="0" xfId="1661" applyFont="1" applyFill="1" applyBorder="1"/>
    <xf fontId="25" fillId="3" borderId="40" numFmtId="0" xfId="1661" applyFont="1" applyFill="1" applyBorder="1"/>
    <xf fontId="25" fillId="3" borderId="41" numFmtId="0" xfId="1661" applyFont="1" applyFill="1" applyBorder="1" applyAlignment="1">
      <alignment horizontal="center"/>
    </xf>
    <xf fontId="25" fillId="3" borderId="42" numFmtId="0" xfId="1661" applyFont="1" applyFill="1" applyBorder="1" applyAlignment="1">
      <alignment horizontal="center"/>
    </xf>
    <xf fontId="25" fillId="3" borderId="43" numFmtId="0" xfId="1661" applyFont="1" applyFill="1" applyBorder="1" applyAlignment="1">
      <alignment horizontal="center"/>
    </xf>
    <xf fontId="25" fillId="3" borderId="0" numFmtId="0" xfId="1661" applyFont="1" applyFill="1" applyAlignment="1">
      <alignment horizontal="center"/>
    </xf>
    <xf fontId="25" fillId="3" borderId="12" numFmtId="2" xfId="1661" applyNumberFormat="1" applyFont="1" applyFill="1" applyBorder="1"/>
    <xf fontId="25" fillId="3" borderId="44" numFmtId="2" xfId="1661" applyNumberFormat="1" applyFont="1" applyFill="1" applyBorder="1"/>
    <xf fontId="0" fillId="3" borderId="45" numFmtId="2" xfId="1661" applyNumberFormat="1" applyFill="1" applyBorder="1" applyAlignment="1">
      <alignment horizontal="center"/>
    </xf>
    <xf fontId="0" fillId="3" borderId="1" numFmtId="2" xfId="1661" applyNumberFormat="1" applyFill="1" applyBorder="1" applyAlignment="1">
      <alignment horizontal="center"/>
    </xf>
    <xf fontId="0" fillId="3" borderId="6" numFmtId="2" xfId="1661" applyNumberFormat="1" applyFill="1" applyBorder="1" applyAlignment="1">
      <alignment horizontal="center"/>
    </xf>
    <xf fontId="25" fillId="3" borderId="46" numFmtId="2" xfId="1661" applyNumberFormat="1" applyFont="1" applyFill="1" applyBorder="1"/>
    <xf fontId="25" fillId="3" borderId="47" numFmtId="2" xfId="1661" applyNumberFormat="1" applyFont="1" applyFill="1" applyBorder="1"/>
    <xf fontId="0" fillId="3" borderId="48" numFmtId="2" xfId="1661" applyNumberFormat="1" applyFill="1" applyBorder="1" applyAlignment="1">
      <alignment horizontal="center"/>
    </xf>
    <xf fontId="25" fillId="0" borderId="1" numFmtId="0" xfId="1238" applyFont="1" applyBorder="1" applyAlignment="1">
      <alignment horizontal="center"/>
    </xf>
    <xf fontId="0" fillId="0" borderId="0" numFmtId="2" xfId="1661" applyNumberFormat="1"/>
    <xf fontId="4" fillId="0" borderId="0" numFmtId="0" xfId="1661" applyFont="1"/>
    <xf fontId="0" fillId="3" borderId="49" numFmtId="0" xfId="1661" applyFill="1" applyBorder="1"/>
    <xf fontId="0" fillId="3" borderId="50" numFmtId="0" xfId="1661" applyFill="1" applyBorder="1"/>
    <xf fontId="0" fillId="3" borderId="51" numFmtId="0" xfId="1661" applyFill="1" applyBorder="1"/>
    <xf fontId="0" fillId="3" borderId="24" numFmtId="0" xfId="1661" applyFill="1" applyBorder="1"/>
    <xf fontId="0" fillId="3" borderId="0" numFmtId="0" xfId="1661" applyFill="1"/>
    <xf fontId="0" fillId="3" borderId="52" numFmtId="0" xfId="1661" applyFill="1" applyBorder="1"/>
    <xf fontId="0" fillId="0" borderId="40" numFmtId="0" xfId="1661" applyBorder="1" applyAlignment="1">
      <alignment horizontal="center"/>
    </xf>
    <xf fontId="0" fillId="51" borderId="53" numFmtId="0" xfId="1661" applyFill="1" applyBorder="1" applyAlignment="1">
      <alignment horizontal="center"/>
    </xf>
    <xf fontId="0" fillId="0" borderId="53" numFmtId="0" xfId="1661" applyBorder="1" applyAlignment="1">
      <alignment horizontal="center"/>
    </xf>
    <xf fontId="0" fillId="3" borderId="1" numFmtId="0" xfId="1661" applyFill="1" applyBorder="1"/>
    <xf fontId="0" fillId="0" borderId="29" numFmtId="0" xfId="1661" applyBorder="1"/>
    <xf fontId="0" fillId="51" borderId="5" numFmtId="0" xfId="1661" applyFill="1" applyBorder="1"/>
    <xf fontId="0" fillId="51" borderId="6" numFmtId="0" xfId="1661" applyFill="1" applyBorder="1"/>
    <xf fontId="0" fillId="0" borderId="5" numFmtId="0" xfId="1661" applyBorder="1"/>
    <xf fontId="0" fillId="0" borderId="6" numFmtId="0" xfId="1661" applyBorder="1"/>
    <xf fontId="0" fillId="0" borderId="5" numFmtId="2" xfId="1661" applyNumberFormat="1" applyBorder="1"/>
    <xf fontId="0" fillId="0" borderId="1" numFmtId="2" xfId="1661" applyNumberFormat="1" applyBorder="1"/>
    <xf fontId="0" fillId="0" borderId="6" numFmtId="2" xfId="1661" applyNumberFormat="1" applyBorder="1"/>
    <xf fontId="0" fillId="0" borderId="0" numFmtId="0" xfId="1661" applyAlignment="1">
      <alignment vertical="center" wrapText="1"/>
    </xf>
    <xf fontId="54" fillId="3" borderId="1" numFmtId="168" xfId="1759" applyNumberFormat="1" applyFont="1" applyFill="1" applyBorder="1"/>
    <xf fontId="0" fillId="3" borderId="1" numFmtId="2" xfId="1661" applyNumberFormat="1" applyFill="1" applyBorder="1"/>
    <xf fontId="54" fillId="3" borderId="1" numFmtId="162" xfId="1759" applyNumberFormat="1" applyFont="1" applyFill="1" applyBorder="1"/>
    <xf fontId="0" fillId="51" borderId="4" numFmtId="0" xfId="1661" applyFill="1" applyBorder="1"/>
    <xf fontId="0" fillId="51" borderId="54" numFmtId="0" xfId="1661" applyFill="1" applyBorder="1"/>
    <xf fontId="0" fillId="0" borderId="4" numFmtId="2" xfId="1661" applyNumberFormat="1" applyBorder="1"/>
    <xf fontId="0" fillId="0" borderId="3" numFmtId="2" xfId="1661" applyNumberFormat="1" applyBorder="1"/>
    <xf fontId="0" fillId="0" borderId="54" numFmtId="2" xfId="1661" applyNumberFormat="1" applyBorder="1"/>
    <xf fontId="0" fillId="0" borderId="55" numFmtId="0" xfId="1661" applyBorder="1"/>
    <xf fontId="0" fillId="0" borderId="2" numFmtId="0" xfId="1661" applyBorder="1"/>
    <xf fontId="0" fillId="0" borderId="56" numFmtId="0" xfId="1661" applyBorder="1"/>
    <xf fontId="0" fillId="0" borderId="57" numFmtId="0" xfId="1661" applyBorder="1"/>
    <xf fontId="0" fillId="0" borderId="58" numFmtId="2" xfId="1661" applyNumberFormat="1" applyBorder="1"/>
    <xf fontId="0" fillId="0" borderId="59" numFmtId="2" xfId="1661" applyNumberFormat="1" applyBorder="1"/>
    <xf fontId="0" fillId="0" borderId="60" numFmtId="2" xfId="1661" applyNumberFormat="1" applyBorder="1"/>
    <xf fontId="25" fillId="0" borderId="1" numFmtId="0" xfId="1661" applyFont="1" applyBorder="1" applyAlignment="1">
      <alignment horizontal="center"/>
    </xf>
    <xf fontId="0" fillId="3" borderId="61" numFmtId="0" xfId="1661" applyFill="1" applyBorder="1"/>
    <xf fontId="0" fillId="3" borderId="14" numFmtId="0" xfId="1661" applyFill="1" applyBorder="1"/>
    <xf fontId="0" fillId="3" borderId="62" numFmtId="0" xfId="1661" applyFill="1" applyBorder="1"/>
    <xf fontId="0" fillId="0" borderId="27" numFmtId="0" xfId="1661" applyBorder="1" applyAlignment="1">
      <alignment horizontal="center" vertical="center"/>
    </xf>
    <xf fontId="0" fillId="0" borderId="27" numFmtId="0" xfId="1661" applyBorder="1"/>
    <xf fontId="0" fillId="0" borderId="27" numFmtId="163" xfId="1661" applyNumberFormat="1" applyBorder="1"/>
    <xf fontId="0" fillId="0" borderId="27" numFmtId="2" xfId="1661" applyNumberFormat="1" applyBorder="1"/>
    <xf fontId="57" fillId="0" borderId="0" numFmtId="0" xfId="1238" applyFont="1"/>
    <xf fontId="0" fillId="0" borderId="0" numFmtId="163" xfId="1661" applyNumberFormat="1"/>
    <xf fontId="0" fillId="0" borderId="1" numFmtId="0" xfId="1238" applyBorder="1"/>
    <xf fontId="0" fillId="0" borderId="58" numFmtId="0" xfId="1238" applyBorder="1"/>
    <xf fontId="0" fillId="0" borderId="63" numFmtId="167" xfId="1656" applyNumberFormat="1" applyBorder="1"/>
    <xf fontId="0" fillId="0" borderId="1" numFmtId="0" xfId="1661" applyBorder="1" applyAlignment="1">
      <alignment horizontal="center"/>
    </xf>
    <xf fontId="0" fillId="0" borderId="0" numFmtId="0" xfId="1656" applyAlignment="1">
      <alignment horizontal="center" vertical="center"/>
    </xf>
    <xf fontId="65" fillId="0" borderId="64" numFmtId="0" xfId="1656" applyFont="1" applyBorder="1" applyAlignment="1">
      <alignment horizontal="center"/>
    </xf>
    <xf fontId="65" fillId="0" borderId="48" numFmtId="0" xfId="1656" applyFont="1" applyBorder="1" applyAlignment="1">
      <alignment horizontal="center"/>
    </xf>
    <xf fontId="0" fillId="0" borderId="0" numFmtId="163" xfId="1656" applyNumberFormat="1"/>
    <xf fontId="53" fillId="0" borderId="1" numFmtId="0" xfId="1238" applyFont="1" applyBorder="1"/>
    <xf fontId="58" fillId="0" borderId="0" numFmtId="2" xfId="1656" applyNumberFormat="1" applyFont="1"/>
    <xf fontId="64" fillId="0" borderId="0" numFmtId="2" xfId="1661" applyNumberFormat="1" applyFont="1"/>
    <xf fontId="0" fillId="0" borderId="0" numFmtId="2" xfId="1656" applyNumberFormat="1"/>
    <xf fontId="53" fillId="0" borderId="27" numFmtId="0" xfId="1238" applyFont="1" applyBorder="1"/>
    <xf fontId="64" fillId="0" borderId="0" numFmtId="2" xfId="1656" applyNumberFormat="1" applyFont="1"/>
    <xf fontId="66" fillId="3" borderId="0" numFmtId="0" xfId="1656" applyFont="1" applyFill="1" applyAlignment="1">
      <alignment horizontal="left" vertical="center"/>
    </xf>
    <xf fontId="25" fillId="0" borderId="1" numFmtId="0" xfId="1656" applyFont="1" applyBorder="1"/>
    <xf fontId="25" fillId="51" borderId="34" numFmtId="3" xfId="1656" applyNumberFormat="1" applyFont="1" applyFill="1" applyBorder="1"/>
    <xf fontId="0" fillId="52" borderId="1" numFmtId="0" xfId="1656" applyFill="1" applyBorder="1"/>
    <xf fontId="67" fillId="3" borderId="1" numFmtId="0" xfId="1656" applyFont="1" applyFill="1" applyBorder="1" applyAlignment="1">
      <alignment horizontal="center" vertical="center"/>
    </xf>
    <xf fontId="0" fillId="0" borderId="1" numFmtId="167" xfId="1656" applyNumberFormat="1" applyBorder="1"/>
    <xf fontId="0" fillId="51" borderId="34" numFmtId="167" xfId="1656" applyNumberFormat="1" applyFill="1" applyBorder="1"/>
    <xf fontId="0" fillId="53" borderId="1" numFmtId="0" xfId="1656" applyFill="1" applyBorder="1"/>
    <xf fontId="0" fillId="54" borderId="1" numFmtId="0" xfId="1656" applyFill="1" applyBorder="1"/>
    <xf fontId="0" fillId="55" borderId="1" numFmtId="0" xfId="1656" applyFill="1" applyBorder="1"/>
    <xf fontId="0" fillId="56" borderId="1" numFmtId="0" xfId="1656" applyFill="1" applyBorder="1"/>
    <xf fontId="0" fillId="57" borderId="1" numFmtId="0" xfId="1656" applyFill="1" applyBorder="1"/>
    <xf fontId="0" fillId="58" borderId="1" numFmtId="0" xfId="1656" applyFill="1" applyBorder="1"/>
    <xf fontId="0" fillId="0" borderId="0" numFmtId="167" xfId="1656" applyNumberFormat="1"/>
    <xf fontId="68" fillId="0" borderId="0" numFmtId="0" xfId="1656" applyFont="1"/>
    <xf fontId="25" fillId="0" borderId="0" numFmtId="0" xfId="1656" applyFont="1"/>
    <xf fontId="0" fillId="0" borderId="0" numFmtId="167" xfId="1656" applyNumberFormat="1" applyAlignment="1">
      <alignment horizontal="right"/>
    </xf>
    <xf fontId="0" fillId="55" borderId="0" numFmtId="0" xfId="1656" applyFill="1"/>
    <xf fontId="0" fillId="58" borderId="0" numFmtId="0" xfId="1656" applyFill="1"/>
    <xf fontId="0" fillId="53" borderId="0" numFmtId="0" xfId="1656" applyFill="1"/>
    <xf fontId="0" fillId="52" borderId="0" numFmtId="0" xfId="1656" applyFill="1"/>
    <xf fontId="0" fillId="57" borderId="0" numFmtId="0" xfId="1656" applyFill="1"/>
    <xf fontId="0" fillId="57" borderId="0" numFmtId="167" xfId="1656" applyNumberFormat="1" applyFill="1"/>
    <xf fontId="25" fillId="0" borderId="0" numFmtId="167" xfId="1656" applyNumberFormat="1" applyFont="1"/>
    <xf fontId="0" fillId="54" borderId="0" numFmtId="0" xfId="1656" applyFill="1"/>
    <xf fontId="0" fillId="56" borderId="0" numFmtId="0" xfId="1656" applyFill="1"/>
    <xf fontId="25" fillId="0" borderId="27" numFmtId="0" xfId="1656" applyFont="1" applyBorder="1"/>
    <xf fontId="69" fillId="0" borderId="27" numFmtId="167" xfId="1656" applyNumberFormat="1" applyFont="1" applyBorder="1"/>
    <xf fontId="25" fillId="0" borderId="27" numFmtId="163" xfId="1656" applyNumberFormat="1" applyFont="1" applyBorder="1"/>
    <xf fontId="0" fillId="0" borderId="0" numFmtId="0" xfId="1656" applyAlignment="1">
      <alignment horizontal="center"/>
    </xf>
    <xf fontId="19" fillId="59" borderId="27" numFmtId="165" xfId="1656" applyNumberFormat="1" applyFont="1" applyFill="1" applyBorder="1"/>
    <xf fontId="64" fillId="0" borderId="0" numFmtId="0" xfId="1656" applyFont="1"/>
    <xf fontId="0" fillId="0" borderId="27" numFmtId="0" xfId="1656" applyBorder="1" applyAlignment="1">
      <alignment horizontal="center"/>
    </xf>
    <xf fontId="65" fillId="0" borderId="27" numFmtId="0" xfId="1656" applyFont="1" applyBorder="1" applyAlignment="1">
      <alignment horizontal="center"/>
    </xf>
    <xf fontId="63" fillId="0" borderId="0" numFmtId="0" xfId="1656" applyFont="1"/>
    <xf fontId="25" fillId="50" borderId="65" numFmtId="0" xfId="1656" applyFont="1" applyFill="1" applyBorder="1" applyAlignment="1">
      <alignment horizontal="left"/>
    </xf>
    <xf fontId="20" fillId="60" borderId="0" numFmtId="0" xfId="1656" applyFont="1" applyFill="1"/>
    <xf fontId="25" fillId="50" borderId="1" numFmtId="0" xfId="1656" applyFont="1" applyFill="1" applyBorder="1" applyAlignment="1">
      <alignment horizontal="center"/>
    </xf>
    <xf fontId="0" fillId="50" borderId="21" numFmtId="0" xfId="1656" applyFill="1" applyBorder="1" applyAlignment="1">
      <alignment horizontal="center"/>
    </xf>
    <xf fontId="25" fillId="22" borderId="1" numFmtId="0" xfId="1656" applyFont="1" applyFill="1" applyBorder="1" applyAlignment="1">
      <alignment horizontal="center" vertical="center" wrapText="1"/>
    </xf>
    <xf fontId="19" fillId="61" borderId="1" numFmtId="0" xfId="1656" applyFont="1" applyFill="1" applyBorder="1" applyAlignment="1">
      <alignment horizontal="center" wrapText="1"/>
    </xf>
    <xf fontId="19" fillId="61" borderId="1" numFmtId="0" xfId="1656" applyFont="1" applyFill="1" applyBorder="1" applyAlignment="1">
      <alignment wrapText="1"/>
    </xf>
    <xf fontId="19" fillId="61" borderId="58" numFmtId="0" xfId="1656" applyFont="1" applyFill="1" applyBorder="1" applyAlignment="1">
      <alignment horizontal="center" wrapText="1"/>
    </xf>
    <xf fontId="70" fillId="39" borderId="1" numFmtId="0" xfId="1656" applyFont="1" applyFill="1" applyBorder="1" applyAlignment="1">
      <alignment wrapText="1"/>
    </xf>
    <xf fontId="25" fillId="62" borderId="1" numFmtId="0" xfId="1656" applyFont="1" applyFill="1" applyBorder="1" applyAlignment="1">
      <alignment horizontal="center"/>
    </xf>
    <xf fontId="0" fillId="61" borderId="1" numFmtId="1" xfId="1656" applyNumberFormat="1" applyFill="1" applyBorder="1"/>
    <xf fontId="0" fillId="0" borderId="0" numFmtId="1" xfId="1656" applyNumberFormat="1"/>
    <xf fontId="25" fillId="22" borderId="1" numFmtId="0" xfId="1656" applyFont="1" applyFill="1" applyBorder="1"/>
    <xf fontId="0" fillId="0" borderId="1" numFmtId="1" xfId="1656" applyNumberFormat="1" applyBorder="1"/>
    <xf fontId="71" fillId="0" borderId="1" numFmtId="1" xfId="1656" applyNumberFormat="1" applyFont="1" applyBorder="1"/>
    <xf fontId="54" fillId="0" borderId="0" numFmtId="168" xfId="1759" applyNumberFormat="1" applyFont="1"/>
    <xf fontId="72" fillId="0" borderId="1" numFmtId="1" xfId="1656" applyNumberFormat="1" applyFont="1" applyBorder="1"/>
    <xf fontId="48" fillId="0" borderId="0" numFmtId="0" xfId="1202" applyFont="1" applyProtection="1"/>
    <xf fontId="25" fillId="22" borderId="1" numFmtId="0" xfId="1656" applyFont="1" applyFill="1" applyBorder="1" applyAlignment="1">
      <alignment horizontal="left" indent="1"/>
    </xf>
    <xf fontId="63" fillId="0" borderId="1" numFmtId="1" xfId="1656" applyNumberFormat="1" applyFont="1" applyBorder="1"/>
    <xf fontId="54" fillId="0" borderId="0" numFmtId="162" xfId="1759" applyNumberFormat="1" applyFont="1"/>
    <xf fontId="73" fillId="59" borderId="1" numFmtId="0" xfId="1656" applyFont="1" applyFill="1" applyBorder="1" applyAlignment="1">
      <alignment horizontal="center" vertical="center"/>
    </xf>
    <xf fontId="73" fillId="39" borderId="1" numFmtId="0" xfId="1656" applyFont="1" applyFill="1" applyBorder="1" applyAlignment="1">
      <alignment wrapText="1"/>
    </xf>
    <xf fontId="73" fillId="39" borderId="1" numFmtId="0" xfId="1656" applyFont="1" applyFill="1" applyBorder="1" applyAlignment="1">
      <alignment horizontal="center" wrapText="1"/>
    </xf>
    <xf fontId="73" fillId="59" borderId="41" numFmtId="0" xfId="1656" applyFont="1" applyFill="1" applyBorder="1" applyAlignment="1">
      <alignment horizontal="center" vertical="center"/>
    </xf>
    <xf fontId="73" fillId="39" borderId="1" numFmtId="0" xfId="1656" applyFont="1" applyFill="1" applyBorder="1" applyAlignment="1">
      <alignment horizontal="center" vertical="center" wrapText="1"/>
    </xf>
    <xf fontId="73" fillId="63" borderId="1" numFmtId="0" xfId="1656" applyFont="1" applyFill="1" applyBorder="1"/>
    <xf fontId="4" fillId="64" borderId="1" numFmtId="168" xfId="1759" applyNumberFormat="1" applyFont="1" applyFill="1" applyBorder="1"/>
    <xf fontId="0" fillId="61" borderId="1" numFmtId="168" xfId="1656" applyNumberFormat="1" applyFill="1" applyBorder="1"/>
    <xf fontId="73" fillId="63" borderId="1" numFmtId="0" xfId="1656" applyFont="1" applyFill="1" applyBorder="1" applyAlignment="1">
      <alignment horizontal="center"/>
    </xf>
    <xf fontId="71" fillId="64" borderId="1" numFmtId="168" xfId="1759" applyNumberFormat="1" applyFont="1" applyFill="1" applyBorder="1"/>
    <xf fontId="0" fillId="59" borderId="1" numFmtId="0" xfId="1656" applyFill="1" applyBorder="1"/>
    <xf fontId="74" fillId="59" borderId="1" numFmtId="0" xfId="1656" applyFont="1" applyFill="1" applyBorder="1" applyAlignment="1">
      <alignment horizontal="center"/>
    </xf>
    <xf fontId="4" fillId="0" borderId="1" numFmtId="162" xfId="1759" applyNumberFormat="1" applyFont="1" applyBorder="1"/>
    <xf fontId="0" fillId="61" borderId="1" numFmtId="162" xfId="1656" applyNumberFormat="1" applyFill="1" applyBorder="1"/>
    <xf fontId="71" fillId="0" borderId="1" numFmtId="168" xfId="1759" applyNumberFormat="1" applyFont="1" applyBorder="1"/>
    <xf fontId="72" fillId="0" borderId="0" numFmtId="0" xfId="1656" applyFont="1"/>
    <xf fontId="0" fillId="65" borderId="1" numFmtId="0" xfId="1656" applyFill="1" applyBorder="1"/>
    <xf fontId="74" fillId="65" borderId="1" numFmtId="0" xfId="1656" applyFont="1" applyFill="1" applyBorder="1" applyAlignment="1">
      <alignment horizontal="center"/>
    </xf>
    <xf fontId="4" fillId="65" borderId="1" numFmtId="162" xfId="1759" applyNumberFormat="1" applyFont="1" applyFill="1" applyBorder="1"/>
    <xf fontId="0" fillId="65" borderId="1" numFmtId="162" xfId="1656" applyNumberFormat="1" applyFill="1" applyBorder="1"/>
    <xf fontId="4" fillId="65" borderId="1" numFmtId="168" xfId="1759" applyNumberFormat="1" applyFont="1" applyFill="1" applyBorder="1"/>
    <xf fontId="0" fillId="65" borderId="1" numFmtId="168" xfId="1656" applyNumberFormat="1" applyFill="1" applyBorder="1"/>
    <xf fontId="63" fillId="0" borderId="1" numFmtId="168" xfId="1759" applyNumberFormat="1" applyFont="1" applyBorder="1"/>
    <xf fontId="0" fillId="0" borderId="1" numFmtId="168" xfId="1759" applyNumberFormat="1" applyBorder="1"/>
    <xf fontId="4" fillId="64" borderId="1" numFmtId="162" xfId="1759" applyNumberFormat="1" applyFont="1" applyFill="1" applyBorder="1"/>
    <xf fontId="57" fillId="63" borderId="1" numFmtId="0" xfId="1656" applyFont="1" applyFill="1" applyBorder="1"/>
    <xf fontId="75" fillId="65" borderId="1" numFmtId="0" xfId="1656" applyFont="1" applyFill="1" applyBorder="1"/>
    <xf fontId="73" fillId="63" borderId="1" numFmtId="0" xfId="1656" applyFont="1" applyFill="1" applyBorder="1" applyAlignment="1">
      <alignment vertical="center"/>
    </xf>
    <xf fontId="76" fillId="49" borderId="0" numFmtId="0" xfId="1656" applyFont="1" applyFill="1" applyAlignment="1">
      <alignment horizontal="center"/>
    </xf>
    <xf fontId="25" fillId="26" borderId="21" numFmtId="0" xfId="1656" applyFont="1" applyFill="1" applyBorder="1" applyAlignment="1">
      <alignment horizontal="center"/>
    </xf>
    <xf fontId="25" fillId="0" borderId="0" numFmtId="0" xfId="1656" applyFont="1" applyAlignment="1">
      <alignment horizontal="center"/>
    </xf>
    <xf fontId="73" fillId="59" borderId="1" numFmtId="0" xfId="1656" applyFont="1" applyFill="1" applyBorder="1" applyAlignment="1">
      <alignment horizontal="center"/>
    </xf>
    <xf fontId="73" fillId="0" borderId="0" numFmtId="0" xfId="1656" applyFont="1" applyAlignment="1">
      <alignment horizontal="center" wrapText="1"/>
    </xf>
    <xf fontId="0" fillId="0" borderId="1" numFmtId="166" xfId="1656" applyNumberFormat="1" applyBorder="1" applyAlignment="1">
      <alignment horizontal="center"/>
    </xf>
    <xf fontId="0" fillId="0" borderId="1" numFmtId="162" xfId="1656" applyNumberFormat="1" applyBorder="1" applyAlignment="1">
      <alignment horizontal="center"/>
    </xf>
    <xf fontId="0" fillId="0" borderId="0" numFmtId="162" xfId="1656" applyNumberFormat="1" applyAlignment="1">
      <alignment horizontal="center"/>
    </xf>
    <xf fontId="4" fillId="0" borderId="1" numFmtId="168" xfId="1759" applyNumberFormat="1" applyFont="1" applyBorder="1" applyAlignment="1" applyProtection="1">
      <alignment horizontal="center"/>
    </xf>
    <xf fontId="0" fillId="61" borderId="1" numFmtId="1" xfId="1656" applyNumberFormat="1" applyFill="1" applyBorder="1" applyAlignment="1">
      <alignment horizontal="center"/>
    </xf>
    <xf fontId="4" fillId="0" borderId="1" numFmtId="168" xfId="1759" applyNumberFormat="1" applyFont="1" applyBorder="1" applyProtection="1"/>
    <xf fontId="0" fillId="39" borderId="0" numFmtId="162" xfId="1656" applyNumberFormat="1" applyFill="1" applyAlignment="1">
      <alignment horizontal="center"/>
    </xf>
    <xf fontId="0" fillId="61" borderId="1" numFmtId="162" xfId="1656" applyNumberFormat="1" applyFill="1" applyBorder="1" applyAlignment="1">
      <alignment horizontal="center"/>
    </xf>
    <xf fontId="54" fillId="0" borderId="1" numFmtId="162" xfId="1759" applyNumberFormat="1" applyFont="1" applyBorder="1"/>
    <xf fontId="54" fillId="0" borderId="1" numFmtId="162" xfId="1759" applyNumberFormat="1" applyFont="1" applyBorder="1" applyAlignment="1">
      <alignment horizontal="center"/>
    </xf>
    <xf fontId="73" fillId="63" borderId="1" numFmtId="0" xfId="1656" applyFont="1" applyFill="1" applyBorder="1" applyAlignment="1">
      <alignment horizontal="center" vertical="center"/>
    </xf>
    <xf fontId="0" fillId="3" borderId="1" numFmtId="162" xfId="1656" applyNumberFormat="1" applyFill="1" applyBorder="1" applyAlignment="1">
      <alignment horizontal="center"/>
    </xf>
    <xf fontId="0" fillId="39" borderId="1" numFmtId="162" xfId="1656" applyNumberFormat="1" applyFill="1" applyBorder="1" applyAlignment="1">
      <alignment horizontal="center"/>
    </xf>
    <xf fontId="0" fillId="0" borderId="66" numFmtId="162" xfId="1656" applyNumberFormat="1" applyBorder="1" applyAlignment="1">
      <alignment horizontal="center"/>
    </xf>
    <xf fontId="20" fillId="60" borderId="0" numFmtId="0" xfId="1656" applyFont="1" applyFill="1" applyAlignment="1">
      <alignment horizontal="left"/>
    </xf>
    <xf fontId="25" fillId="26" borderId="41" numFmtId="0" xfId="1656" applyFont="1" applyFill="1" applyBorder="1" applyAlignment="1">
      <alignment horizontal="center" vertical="center"/>
    </xf>
    <xf fontId="73" fillId="25" borderId="1" numFmtId="0" xfId="1656" applyFont="1" applyFill="1" applyBorder="1" applyAlignment="1">
      <alignment horizontal="center" vertical="center"/>
    </xf>
    <xf fontId="77" fillId="27" borderId="1" numFmtId="162" xfId="1656" applyNumberFormat="1" applyFont="1" applyFill="1" applyBorder="1" applyAlignment="1">
      <alignment vertical="center"/>
    </xf>
    <xf fontId="0" fillId="59" borderId="1" numFmtId="0" xfId="1656" applyFill="1" applyBorder="1" applyAlignment="1">
      <alignment horizontal="center" vertical="center"/>
    </xf>
    <xf fontId="74" fillId="0" borderId="1" numFmtId="162" xfId="1656" applyNumberFormat="1" applyFont="1" applyBorder="1" applyAlignment="1">
      <alignment horizontal="center"/>
    </xf>
    <xf fontId="78" fillId="27" borderId="1" numFmtId="162" xfId="1656" applyNumberFormat="1" applyFont="1" applyFill="1" applyBorder="1" applyAlignment="1">
      <alignment vertical="center"/>
    </xf>
    <xf fontId="73" fillId="25" borderId="1" numFmtId="0" xfId="1656" applyFont="1" applyFill="1" applyBorder="1" applyAlignment="1">
      <alignment horizontal="center"/>
    </xf>
    <xf fontId="25" fillId="26" borderId="41" numFmtId="0" xfId="1656" applyFont="1" applyFill="1" applyBorder="1" applyAlignment="1">
      <alignment horizontal="center" vertical="center" wrapText="1"/>
    </xf>
    <xf fontId="54" fillId="0" borderId="0" numFmtId="0" xfId="1656" applyFont="1"/>
    <xf fontId="0" fillId="0" borderId="1" numFmtId="163" xfId="1656" applyNumberFormat="1" applyBorder="1" applyAlignment="1">
      <alignment horizontal="center"/>
    </xf>
    <xf fontId="77" fillId="27" borderId="1" numFmtId="162" xfId="1656" applyNumberFormat="1" applyFont="1" applyFill="1" applyBorder="1" applyAlignment="1">
      <alignment horizontal="center"/>
    </xf>
    <xf fontId="54" fillId="0" borderId="1" numFmtId="0" xfId="1656" applyFont="1" applyBorder="1" applyAlignment="1">
      <alignment horizontal="center"/>
    </xf>
    <xf fontId="79" fillId="0" borderId="0" numFmtId="0" xfId="1655" applyFont="1" applyAlignment="1" applyProtection="1">
      <alignment horizontal="center" vertical="center"/>
    </xf>
    <xf fontId="80" fillId="0" borderId="58" numFmtId="0" xfId="1656" applyFont="1" applyBorder="1" applyAlignment="1">
      <alignment horizontal="center" vertical="center" wrapText="1"/>
    </xf>
    <xf fontId="81" fillId="0" borderId="1" numFmtId="0" xfId="1656" applyFont="1" applyBorder="1" applyAlignment="1">
      <alignment vertical="center"/>
    </xf>
    <xf fontId="81" fillId="0" borderId="1" numFmtId="162" xfId="1759" applyNumberFormat="1" applyFont="1" applyBorder="1" applyAlignment="1" applyProtection="1">
      <alignment horizontal="right" vertical="center"/>
    </xf>
    <xf fontId="82" fillId="0" borderId="1" numFmtId="162" xfId="1656" applyNumberFormat="1" applyFont="1" applyBorder="1" applyAlignment="1">
      <alignment horizontal="center"/>
    </xf>
    <xf fontId="80" fillId="0" borderId="1" numFmtId="0" xfId="1656" applyFont="1" applyBorder="1" applyAlignment="1">
      <alignment vertical="center"/>
    </xf>
    <xf fontId="80" fillId="0" borderId="1" numFmtId="162" xfId="1759" applyNumberFormat="1" applyFont="1" applyBorder="1" applyAlignment="1" applyProtection="1">
      <alignment horizontal="right" vertical="center"/>
    </xf>
    <xf fontId="76" fillId="0" borderId="0" numFmtId="0" xfId="1656" applyFont="1" applyAlignment="1">
      <alignment horizontal="center"/>
    </xf>
    <xf fontId="76" fillId="0" borderId="0" numFmtId="0" xfId="1656" applyFont="1" applyAlignment="1">
      <alignment horizontal="left" vertical="center"/>
    </xf>
    <xf fontId="25" fillId="26" borderId="1" numFmtId="0" xfId="1656" applyFont="1" applyFill="1" applyBorder="1" applyAlignment="1">
      <alignment horizontal="center" vertical="center"/>
    </xf>
    <xf fontId="0" fillId="59" borderId="1" numFmtId="0" xfId="1656" applyFill="1" applyBorder="1" applyAlignment="1">
      <alignment vertical="center"/>
    </xf>
    <xf fontId="83" fillId="0" borderId="1" numFmtId="162" xfId="1656" applyNumberFormat="1" applyFont="1" applyBorder="1" applyAlignment="1">
      <alignment horizontal="center"/>
    </xf>
    <xf fontId="0" fillId="59" borderId="1" numFmtId="0" xfId="1656" applyFill="1" applyBorder="1" applyAlignment="1">
      <alignment horizontal="left" indent="4" vertical="center"/>
    </xf>
    <xf fontId="84" fillId="0" borderId="0" numFmtId="0" xfId="1656" applyFont="1"/>
    <xf fontId="76" fillId="0" borderId="0" numFmtId="0" xfId="1656" applyFont="1" applyAlignment="1">
      <alignment horizontal="left"/>
    </xf>
    <xf fontId="73" fillId="25" borderId="67" numFmtId="0" xfId="1656" applyFont="1" applyFill="1" applyBorder="1" applyAlignment="1">
      <alignment horizontal="center" vertical="center"/>
    </xf>
    <xf fontId="73" fillId="63" borderId="29" numFmtId="0" xfId="1656" applyFont="1" applyFill="1" applyBorder="1" applyAlignment="1">
      <alignment horizontal="center" vertical="center"/>
    </xf>
    <xf fontId="0" fillId="0" borderId="57" numFmtId="0" xfId="1656" applyBorder="1"/>
    <xf fontId="0" fillId="0" borderId="64" numFmtId="0" xfId="1656" applyBorder="1"/>
    <xf fontId="0" fillId="0" borderId="48" numFmtId="0" xfId="1656" applyBorder="1"/>
    <xf fontId="0" fillId="59" borderId="29" numFmtId="0" xfId="1656" applyFill="1" applyBorder="1" applyAlignment="1">
      <alignment horizontal="left" vertical="center"/>
    </xf>
    <xf fontId="25" fillId="0" borderId="65" numFmtId="2" xfId="1656" applyNumberFormat="1" applyFont="1" applyBorder="1" applyAlignment="1">
      <alignment horizontal="center"/>
    </xf>
    <xf fontId="25" fillId="0" borderId="0" numFmtId="2" xfId="1656" applyNumberFormat="1" applyFont="1" applyAlignment="1">
      <alignment horizontal="center"/>
    </xf>
    <xf fontId="0" fillId="0" borderId="66" numFmtId="2" xfId="1656" applyNumberFormat="1" applyBorder="1"/>
    <xf fontId="0" fillId="0" borderId="65" numFmtId="2" xfId="1656" applyNumberFormat="1" applyBorder="1"/>
    <xf fontId="0" fillId="0" borderId="65" numFmtId="0" xfId="1656" applyBorder="1"/>
    <xf fontId="0" fillId="0" borderId="66" numFmtId="0" xfId="1656" applyBorder="1"/>
    <xf fontId="0" fillId="0" borderId="68" numFmtId="2" xfId="1656" applyNumberFormat="1" applyBorder="1"/>
    <xf fontId="0" fillId="0" borderId="21" numFmtId="2" xfId="1656" applyNumberFormat="1" applyBorder="1"/>
    <xf fontId="0" fillId="0" borderId="41" numFmtId="2" xfId="1656" applyNumberFormat="1" applyBorder="1"/>
    <xf fontId="73" fillId="53" borderId="65" numFmtId="0" xfId="1656" applyFont="1" applyFill="1" applyBorder="1" applyAlignment="1">
      <alignment horizontal="center" vertical="center" wrapText="1"/>
    </xf>
    <xf fontId="73" fillId="53" borderId="0" numFmtId="0" xfId="1656" applyFont="1" applyFill="1" applyAlignment="1">
      <alignment horizontal="center" vertical="center" wrapText="1"/>
    </xf>
    <xf fontId="0" fillId="26" borderId="1" numFmtId="0" xfId="1656" applyFill="1" applyBorder="1" applyAlignment="1">
      <alignment horizontal="center" vertical="center"/>
    </xf>
    <xf fontId="0" fillId="0" borderId="1" numFmtId="0" xfId="1656" applyBorder="1" applyAlignment="1">
      <alignment horizontal="center"/>
    </xf>
    <xf fontId="0" fillId="26" borderId="42" numFmtId="0" xfId="1656" applyFill="1" applyBorder="1" applyAlignment="1">
      <alignment horizontal="center"/>
    </xf>
    <xf fontId="0" fillId="0" borderId="42" numFmtId="0" xfId="1656" applyBorder="1" applyAlignment="1">
      <alignment horizontal="center"/>
    </xf>
    <xf fontId="25" fillId="65" borderId="1" numFmtId="0" xfId="1656" applyFont="1" applyFill="1" applyBorder="1" applyAlignment="1">
      <alignment horizontal="center" vertical="center"/>
    </xf>
    <xf fontId="20" fillId="55" borderId="1" numFmtId="0" xfId="1656" applyFont="1" applyFill="1" applyBorder="1" applyAlignment="1">
      <alignment horizontal="center" vertical="center"/>
    </xf>
    <xf fontId="20" fillId="66" borderId="1" numFmtId="0" xfId="1656" applyFont="1" applyFill="1" applyBorder="1" applyAlignment="1">
      <alignment horizontal="center" vertical="center"/>
    </xf>
    <xf fontId="20" fillId="58" borderId="1" numFmtId="0" xfId="1656" applyFont="1" applyFill="1" applyBorder="1" applyAlignment="1">
      <alignment horizontal="center" vertical="center"/>
    </xf>
    <xf fontId="20" fillId="67" borderId="45" numFmtId="0" xfId="1656" applyFont="1" applyFill="1" applyBorder="1" applyAlignment="1">
      <alignment horizontal="center" vertical="center"/>
    </xf>
    <xf fontId="54" fillId="0" borderId="1" numFmtId="0" xfId="1656" applyFont="1" applyBorder="1"/>
    <xf fontId="0" fillId="3" borderId="37" numFmtId="0" xfId="1656" applyFill="1" applyBorder="1" applyAlignment="1">
      <alignment vertical="center"/>
    </xf>
    <xf fontId="0" fillId="65" borderId="37" numFmtId="162" xfId="1656" applyNumberFormat="1" applyFill="1" applyBorder="1" applyAlignment="1">
      <alignment horizontal="center" vertical="center"/>
    </xf>
    <xf fontId="5" fillId="55" borderId="37" numFmtId="162" xfId="1656" applyNumberFormat="1" applyFont="1" applyFill="1" applyBorder="1" applyAlignment="1">
      <alignment horizontal="center" vertical="center"/>
    </xf>
    <xf fontId="5" fillId="66" borderId="37" numFmtId="162" xfId="1656" applyNumberFormat="1" applyFont="1" applyFill="1" applyBorder="1" applyAlignment="1">
      <alignment horizontal="center" vertical="center"/>
    </xf>
    <xf fontId="5" fillId="58" borderId="37" numFmtId="162" xfId="1656" applyNumberFormat="1" applyFont="1" applyFill="1" applyBorder="1" applyAlignment="1">
      <alignment horizontal="center" vertical="center"/>
    </xf>
    <xf fontId="5" fillId="67" borderId="66" numFmtId="162" xfId="1656" applyNumberFormat="1" applyFont="1" applyFill="1" applyBorder="1" applyAlignment="1">
      <alignment horizontal="center" vertical="center"/>
    </xf>
    <xf fontId="54" fillId="0" borderId="58" numFmtId="0" xfId="1656" applyFont="1" applyBorder="1" applyAlignment="1">
      <alignment vertical="center"/>
    </xf>
    <xf fontId="0" fillId="0" borderId="58" numFmtId="162" xfId="1656" applyNumberFormat="1" applyBorder="1"/>
    <xf fontId="74" fillId="26" borderId="1" numFmtId="162" xfId="1656" applyNumberFormat="1" applyFont="1" applyFill="1" applyBorder="1" applyAlignment="1">
      <alignment horizontal="center"/>
    </xf>
    <xf fontId="54" fillId="0" borderId="37" numFmtId="0" xfId="1656" applyFont="1" applyBorder="1" applyAlignment="1">
      <alignment vertical="center"/>
    </xf>
    <xf fontId="0" fillId="0" borderId="37" numFmtId="162" xfId="1656" applyNumberFormat="1" applyBorder="1"/>
    <xf fontId="0" fillId="3" borderId="42" numFmtId="0" xfId="1656" applyFill="1" applyBorder="1"/>
    <xf fontId="0" fillId="65" borderId="42" numFmtId="162" xfId="1759" applyNumberFormat="1" applyFill="1" applyBorder="1" applyAlignment="1" applyProtection="1">
      <alignment horizontal="center" vertical="center"/>
    </xf>
    <xf fontId="5" fillId="55" borderId="42" numFmtId="162" xfId="1759" applyNumberFormat="1" applyFont="1" applyFill="1" applyBorder="1" applyAlignment="1" applyProtection="1">
      <alignment horizontal="center" vertical="center"/>
    </xf>
    <xf fontId="5" fillId="66" borderId="42" numFmtId="162" xfId="1759" applyNumberFormat="1" applyFont="1" applyFill="1" applyBorder="1" applyAlignment="1" applyProtection="1">
      <alignment horizontal="center" vertical="center"/>
    </xf>
    <xf fontId="5" fillId="58" borderId="42" numFmtId="162" xfId="1759" applyNumberFormat="1" applyFont="1" applyFill="1" applyBorder="1" applyAlignment="1" applyProtection="1">
      <alignment horizontal="center" vertical="center"/>
    </xf>
    <xf fontId="5" fillId="67" borderId="41" numFmtId="162" xfId="1759" applyNumberFormat="1" applyFont="1" applyFill="1" applyBorder="1" applyAlignment="1" applyProtection="1">
      <alignment horizontal="center" vertical="center"/>
    </xf>
    <xf fontId="54" fillId="0" borderId="42" numFmtId="0" xfId="1656" applyFont="1" applyBorder="1"/>
    <xf fontId="0" fillId="0" borderId="42" numFmtId="162" xfId="1656" applyNumberFormat="1" applyBorder="1"/>
    <xf fontId="25" fillId="0" borderId="1" numFmtId="0" xfId="1656" applyFont="1" applyBorder="1" applyAlignment="1">
      <alignment horizontal="center" vertical="center"/>
    </xf>
    <xf fontId="0" fillId="0" borderId="1" numFmtId="0" xfId="1656" applyBorder="1"/>
    <xf fontId="0" fillId="0" borderId="1" numFmtId="166" xfId="1759" applyNumberFormat="1" applyBorder="1" applyProtection="1"/>
    <xf fontId="82" fillId="26" borderId="1" numFmtId="162" xfId="1656" applyNumberFormat="1" applyFont="1" applyFill="1" applyBorder="1" applyAlignment="1">
      <alignment horizontal="center"/>
    </xf>
    <xf fontId="0" fillId="68" borderId="69" numFmtId="0" xfId="1656" applyFill="1" applyBorder="1" applyAlignment="1">
      <alignment horizontal="center" vertical="center" wrapText="1"/>
    </xf>
    <xf fontId="0" fillId="0" borderId="0" numFmtId="0" xfId="1656" applyAlignment="1">
      <alignment horizontal="right"/>
    </xf>
    <xf fontId="0" fillId="3" borderId="0" numFmtId="0" xfId="1238" applyFill="1"/>
    <xf fontId="0" fillId="0" borderId="0" numFmtId="0" xfId="1238"/>
    <xf fontId="0" fillId="0" borderId="27" numFmtId="2" xfId="1238" applyNumberFormat="1" applyBorder="1"/>
    <xf fontId="20" fillId="41" borderId="0" numFmtId="0" xfId="1656" applyFont="1" applyFill="1" applyAlignment="1">
      <alignment horizontal="center"/>
    </xf>
    <xf fontId="85" fillId="0" borderId="0" numFmtId="0" xfId="1656" applyFont="1"/>
    <xf fontId="0" fillId="65" borderId="27" numFmtId="0" xfId="1656" applyFill="1" applyBorder="1"/>
    <xf fontId="0" fillId="65" borderId="0" numFmtId="0" xfId="1656" applyFill="1"/>
    <xf fontId="86" fillId="0" borderId="27" numFmtId="0" xfId="1656" applyFont="1" applyBorder="1" applyAlignment="1">
      <alignment horizontal="left" indent="1"/>
    </xf>
    <xf fontId="87" fillId="0" borderId="0" numFmtId="162" xfId="1759" applyNumberFormat="1" applyFont="1"/>
    <xf fontId="0" fillId="0" borderId="1" numFmtId="162" xfId="1661" applyNumberFormat="1" applyBorder="1"/>
    <xf fontId="73" fillId="25" borderId="27" numFmtId="0" xfId="1656" applyFont="1" applyFill="1" applyBorder="1" applyAlignment="1">
      <alignment horizontal="center" vertical="center"/>
    </xf>
    <xf fontId="0" fillId="0" borderId="70" numFmtId="1" xfId="1656" applyNumberFormat="1" applyBorder="1" applyAlignment="1">
      <alignment horizontal="center"/>
    </xf>
    <xf fontId="0" fillId="0" borderId="1" numFmtId="1" xfId="1656" applyNumberFormat="1" applyBorder="1" applyAlignment="1">
      <alignment horizontal="center"/>
    </xf>
    <xf fontId="0" fillId="0" borderId="71" numFmtId="1" xfId="1656" applyNumberFormat="1" applyBorder="1" applyAlignment="1">
      <alignment horizontal="center"/>
    </xf>
    <xf fontId="88" fillId="27" borderId="70" numFmtId="167" xfId="1656" applyNumberFormat="1" applyFont="1" applyFill="1" applyBorder="1" applyAlignment="1">
      <alignment horizontal="center"/>
    </xf>
    <xf fontId="88" fillId="27" borderId="1" numFmtId="167" xfId="1656" applyNumberFormat="1" applyFont="1" applyFill="1" applyBorder="1" applyAlignment="1">
      <alignment horizontal="center"/>
    </xf>
    <xf fontId="88" fillId="27" borderId="71" numFmtId="167" xfId="1656" applyNumberFormat="1" applyFont="1" applyFill="1" applyBorder="1" applyAlignment="1">
      <alignment horizontal="center"/>
    </xf>
    <xf fontId="20" fillId="69" borderId="1" numFmtId="0" xfId="1656" applyFont="1" applyFill="1" applyBorder="1" applyAlignment="1">
      <alignment horizontal="center"/>
    </xf>
    <xf fontId="78" fillId="69" borderId="72" numFmtId="3" xfId="1656" applyNumberFormat="1" applyFont="1" applyFill="1" applyBorder="1" applyAlignment="1">
      <alignment horizontal="center"/>
    </xf>
    <xf fontId="73" fillId="63" borderId="1" numFmtId="0" xfId="1656" applyFont="1" applyFill="1" applyBorder="1" applyAlignment="1">
      <alignment horizontal="left"/>
    </xf>
    <xf fontId="0" fillId="0" borderId="27" numFmtId="166" xfId="1656" applyNumberFormat="1" applyBorder="1"/>
    <xf fontId="0" fillId="0" borderId="27" numFmtId="162" xfId="1656" applyNumberFormat="1" applyBorder="1"/>
    <xf fontId="0" fillId="0" borderId="73" numFmtId="0" xfId="1656" applyBorder="1"/>
    <xf fontId="88" fillId="69" borderId="72" numFmtId="3" xfId="1656" applyNumberFormat="1" applyFont="1" applyFill="1" applyBorder="1" applyAlignment="1">
      <alignment horizontal="center"/>
    </xf>
    <xf fontId="0" fillId="0" borderId="0" numFmtId="162" xfId="1661" applyNumberFormat="1"/>
    <xf fontId="8" fillId="0" borderId="1" numFmtId="0" xfId="1661" applyFont="1" applyBorder="1" applyAlignment="1">
      <alignment horizontal="center" vertical="center" wrapText="1"/>
    </xf>
    <xf fontId="76" fillId="0" borderId="1" numFmtId="0" xfId="1661" applyFont="1" applyBorder="1" applyAlignment="1" applyProtection="1">
      <alignment horizontal="center" vertical="center"/>
      <protection hidden="1"/>
    </xf>
    <xf fontId="76" fillId="0" borderId="1" numFmtId="0" xfId="1661" applyFont="1" applyBorder="1" applyAlignment="1" applyProtection="1">
      <alignment horizontal="center" vertical="center" wrapText="1"/>
      <protection hidden="1"/>
    </xf>
    <xf fontId="25" fillId="70" borderId="1" numFmtId="0" xfId="1273" applyFont="1" applyFill="1" applyBorder="1" applyAlignment="1" applyProtection="1">
      <alignment horizontal="left"/>
      <protection hidden="1"/>
    </xf>
    <xf fontId="25" fillId="70" borderId="1" numFmtId="2" xfId="1661" applyNumberFormat="1" applyFont="1" applyFill="1" applyBorder="1" applyAlignment="1" applyProtection="1">
      <alignment horizontal="center"/>
      <protection hidden="1"/>
    </xf>
    <xf fontId="0" fillId="70" borderId="1" numFmtId="0" xfId="1273" applyFill="1" applyBorder="1" applyProtection="1">
      <protection hidden="1"/>
    </xf>
    <xf fontId="0" fillId="70" borderId="1" numFmtId="2" xfId="1661" applyNumberFormat="1" applyFill="1" applyBorder="1" applyAlignment="1" applyProtection="1">
      <alignment horizontal="center"/>
      <protection hidden="1"/>
    </xf>
    <xf fontId="0" fillId="70" borderId="1" numFmtId="2" xfId="1661" applyNumberFormat="1" applyFill="1" applyBorder="1" applyAlignment="1" applyProtection="1">
      <alignment horizontal="center" vertical="center"/>
      <protection hidden="1"/>
    </xf>
    <xf fontId="4" fillId="70" borderId="1" numFmtId="0" xfId="1273" applyFont="1" applyFill="1" applyBorder="1" applyProtection="1">
      <protection hidden="1"/>
    </xf>
    <xf fontId="19" fillId="8" borderId="1" numFmtId="0" xfId="1273" applyFont="1" applyFill="1" applyBorder="1" applyProtection="1">
      <protection hidden="1"/>
    </xf>
    <xf fontId="25" fillId="8" borderId="1" numFmtId="2" xfId="1661" applyNumberFormat="1" applyFont="1" applyFill="1" applyBorder="1" applyAlignment="1" applyProtection="1">
      <alignment horizontal="center"/>
      <protection hidden="1"/>
    </xf>
    <xf fontId="25" fillId="8" borderId="1" numFmtId="164" xfId="1661" applyNumberFormat="1" applyFont="1" applyFill="1" applyBorder="1" applyAlignment="1" applyProtection="1">
      <alignment horizontal="center"/>
      <protection hidden="1"/>
    </xf>
    <xf fontId="76" fillId="8" borderId="1" numFmtId="2" xfId="1661" applyNumberFormat="1" applyFont="1" applyFill="1" applyBorder="1" applyAlignment="1" applyProtection="1">
      <alignment horizontal="center"/>
      <protection hidden="1"/>
    </xf>
    <xf fontId="76" fillId="8" borderId="1" numFmtId="0" xfId="1273" applyFont="1" applyFill="1" applyBorder="1" applyProtection="1">
      <protection hidden="1"/>
    </xf>
    <xf fontId="0" fillId="8" borderId="1" numFmtId="2" xfId="1661" applyNumberFormat="1" applyFill="1" applyBorder="1" applyAlignment="1" applyProtection="1">
      <alignment horizontal="center"/>
      <protection hidden="1"/>
    </xf>
    <xf fontId="0" fillId="8" borderId="1" numFmtId="2" xfId="1661" applyNumberFormat="1" applyFill="1" applyBorder="1" applyAlignment="1" applyProtection="1">
      <alignment horizontal="center" vertical="center"/>
      <protection hidden="1"/>
    </xf>
    <xf fontId="63" fillId="8" borderId="1" numFmtId="2" xfId="1661" applyNumberFormat="1" applyFont="1" applyFill="1" applyBorder="1" applyAlignment="1" applyProtection="1">
      <alignment horizontal="center"/>
      <protection hidden="1"/>
    </xf>
    <xf fontId="63" fillId="8" borderId="1" numFmtId="2" xfId="1661" applyNumberFormat="1" applyFont="1" applyFill="1" applyBorder="1" applyAlignment="1" applyProtection="1">
      <alignment horizontal="center" vertical="center"/>
      <protection hidden="1"/>
    </xf>
    <xf fontId="19" fillId="71" borderId="1" numFmtId="4" xfId="1255" applyNumberFormat="1" applyFont="1" applyFill="1" applyBorder="1" applyProtection="1">
      <protection hidden="1"/>
    </xf>
    <xf fontId="25" fillId="71" borderId="1" numFmtId="2" xfId="1661" applyNumberFormat="1" applyFont="1" applyFill="1" applyBorder="1" applyAlignment="1" applyProtection="1">
      <alignment horizontal="center"/>
      <protection hidden="1"/>
    </xf>
    <xf fontId="0" fillId="71" borderId="1" numFmtId="2" xfId="1661" applyNumberFormat="1" applyFill="1" applyBorder="1" applyAlignment="1" applyProtection="1">
      <alignment horizontal="center"/>
      <protection hidden="1"/>
    </xf>
    <xf fontId="76" fillId="71" borderId="1" numFmtId="0" xfId="1273" applyFont="1" applyFill="1" applyBorder="1" applyProtection="1">
      <protection hidden="1"/>
    </xf>
    <xf fontId="0" fillId="71" borderId="1" numFmtId="2" xfId="1661" applyNumberFormat="1" applyFill="1" applyBorder="1" applyAlignment="1" applyProtection="1">
      <alignment horizontal="center" vertical="center"/>
      <protection hidden="1"/>
    </xf>
    <xf fontId="76" fillId="71" borderId="1" numFmtId="0" xfId="1273" applyFont="1" applyFill="1" applyBorder="1" applyAlignment="1" applyProtection="1">
      <alignment wrapText="1"/>
      <protection hidden="1"/>
    </xf>
    <xf fontId="25" fillId="72" borderId="1" numFmtId="0" xfId="1273" applyFont="1" applyFill="1" applyBorder="1" applyProtection="1">
      <protection hidden="1"/>
    </xf>
    <xf fontId="25" fillId="72" borderId="1" numFmtId="2" xfId="1661" applyNumberFormat="1" applyFont="1" applyFill="1" applyBorder="1" applyAlignment="1" applyProtection="1">
      <alignment horizontal="center"/>
      <protection hidden="1"/>
    </xf>
    <xf fontId="25" fillId="72" borderId="1" numFmtId="164" xfId="1661" applyNumberFormat="1" applyFont="1" applyFill="1" applyBorder="1" applyAlignment="1" applyProtection="1">
      <alignment horizontal="center"/>
      <protection hidden="1"/>
    </xf>
    <xf fontId="76" fillId="72" borderId="1" numFmtId="2" xfId="1661" applyNumberFormat="1" applyFont="1" applyFill="1" applyBorder="1" applyAlignment="1" applyProtection="1">
      <alignment horizontal="center"/>
      <protection hidden="1"/>
    </xf>
    <xf fontId="76" fillId="72" borderId="1" numFmtId="0" xfId="1273" applyFont="1" applyFill="1" applyBorder="1" applyProtection="1">
      <protection hidden="1"/>
    </xf>
    <xf fontId="0" fillId="72" borderId="1" numFmtId="2" xfId="1661" applyNumberFormat="1" applyFill="1" applyBorder="1" applyAlignment="1" applyProtection="1">
      <alignment horizontal="center"/>
      <protection hidden="1"/>
    </xf>
    <xf fontId="0" fillId="72" borderId="1" numFmtId="2" xfId="1661" applyNumberFormat="1" applyFill="1" applyBorder="1" applyAlignment="1" applyProtection="1">
      <alignment horizontal="center" vertical="center"/>
      <protection hidden="1"/>
    </xf>
    <xf fontId="63" fillId="72" borderId="1" numFmtId="2" xfId="1661" applyNumberFormat="1" applyFont="1" applyFill="1" applyBorder="1" applyAlignment="1" applyProtection="1">
      <alignment horizontal="center"/>
      <protection hidden="1"/>
    </xf>
    <xf fontId="0" fillId="72" borderId="1" numFmtId="0" xfId="1273" applyFill="1" applyBorder="1" applyProtection="1">
      <protection hidden="1"/>
    </xf>
    <xf fontId="0" fillId="72" borderId="1" numFmtId="0" xfId="1273" applyFill="1" applyBorder="1" applyAlignment="1" applyProtection="1">
      <alignment horizontal="left" vertical="center"/>
      <protection hidden="1"/>
    </xf>
    <xf fontId="25" fillId="47" borderId="1" numFmtId="0" xfId="1273" applyFont="1" applyFill="1" applyBorder="1" applyProtection="1">
      <protection hidden="1"/>
    </xf>
    <xf fontId="25" fillId="47" borderId="1" numFmtId="2" xfId="1661" applyNumberFormat="1" applyFont="1" applyFill="1" applyBorder="1" applyAlignment="1" applyProtection="1">
      <alignment horizontal="center"/>
      <protection hidden="1"/>
    </xf>
    <xf fontId="76" fillId="47" borderId="1" numFmtId="2" xfId="1661" applyNumberFormat="1" applyFont="1" applyFill="1" applyBorder="1" applyAlignment="1" applyProtection="1">
      <alignment horizontal="center"/>
      <protection hidden="1"/>
    </xf>
    <xf fontId="76" fillId="47" borderId="1" numFmtId="0" xfId="1273" applyFont="1" applyFill="1" applyBorder="1" applyAlignment="1" applyProtection="1">
      <alignment horizontal="left"/>
      <protection hidden="1"/>
    </xf>
    <xf fontId="0" fillId="47" borderId="1" numFmtId="2" xfId="1661" applyNumberFormat="1" applyFill="1" applyBorder="1" applyAlignment="1" applyProtection="1">
      <alignment horizontal="center"/>
      <protection hidden="1"/>
    </xf>
    <xf fontId="0" fillId="47" borderId="1" numFmtId="2" xfId="1661" applyNumberFormat="1" applyFill="1" applyBorder="1" applyAlignment="1" applyProtection="1">
      <alignment horizontal="center" vertical="center"/>
      <protection hidden="1"/>
    </xf>
    <xf fontId="63" fillId="47" borderId="1" numFmtId="2" xfId="1661" applyNumberFormat="1" applyFont="1" applyFill="1" applyBorder="1" applyAlignment="1" applyProtection="1">
      <alignment horizontal="center" vertical="center"/>
      <protection hidden="1"/>
    </xf>
    <xf fontId="0" fillId="47" borderId="1" numFmtId="0" xfId="1661" applyFill="1" applyBorder="1" applyProtection="1">
      <protection hidden="1"/>
    </xf>
    <xf fontId="0" fillId="47" borderId="1" numFmtId="0" xfId="1273" applyFill="1" applyBorder="1" applyProtection="1">
      <protection hidden="1"/>
    </xf>
    <xf fontId="25" fillId="73" borderId="1" numFmtId="0" xfId="1273" applyFont="1" applyFill="1" applyBorder="1" applyProtection="1">
      <protection hidden="1"/>
    </xf>
    <xf fontId="25" fillId="73" borderId="1" numFmtId="2" xfId="1661" applyNumberFormat="1" applyFont="1" applyFill="1" applyBorder="1" applyAlignment="1" applyProtection="1">
      <alignment horizontal="center"/>
      <protection hidden="1"/>
    </xf>
    <xf fontId="76" fillId="73" borderId="1" numFmtId="0" xfId="1273" applyFont="1" applyFill="1" applyBorder="1" applyProtection="1">
      <protection hidden="1"/>
    </xf>
    <xf fontId="0" fillId="73" borderId="1" numFmtId="2" xfId="1661" applyNumberFormat="1" applyFill="1" applyBorder="1" applyAlignment="1" applyProtection="1">
      <alignment horizontal="center"/>
      <protection hidden="1"/>
    </xf>
    <xf fontId="0" fillId="73" borderId="1" numFmtId="2" xfId="1661" applyNumberFormat="1" applyFill="1" applyBorder="1" applyAlignment="1" applyProtection="1">
      <alignment horizontal="center" vertical="center"/>
      <protection hidden="1"/>
    </xf>
    <xf fontId="25" fillId="0" borderId="1" numFmtId="0" xfId="1661" applyFont="1" applyBorder="1" applyProtection="1">
      <protection hidden="1"/>
    </xf>
    <xf fontId="25" fillId="0" borderId="1" numFmtId="2" xfId="1661" applyNumberFormat="1" applyFont="1" applyBorder="1" applyAlignment="1" applyProtection="1">
      <alignment horizontal="center"/>
      <protection hidden="1"/>
    </xf>
    <xf fontId="76" fillId="0" borderId="1" numFmtId="2" xfId="1661" applyNumberFormat="1" applyFont="1" applyBorder="1" applyAlignment="1" applyProtection="1">
      <alignment horizontal="center"/>
      <protection hidden="1"/>
    </xf>
    <xf fontId="0" fillId="73" borderId="1" numFmtId="0" xfId="1273" applyFill="1" applyBorder="1" applyProtection="1">
      <protection hidden="1"/>
    </xf>
    <xf fontId="0" fillId="0" borderId="1" numFmtId="2" xfId="1661" applyNumberFormat="1" applyBorder="1" applyAlignment="1" applyProtection="1">
      <alignment horizontal="center"/>
      <protection hidden="1"/>
    </xf>
    <xf fontId="0" fillId="0" borderId="1" numFmtId="2" xfId="1661" applyNumberFormat="1" applyBorder="1" applyAlignment="1" applyProtection="1">
      <alignment horizontal="center" vertical="center"/>
      <protection hidden="1"/>
    </xf>
    <xf fontId="0" fillId="74" borderId="1" numFmtId="0" xfId="1273" applyFill="1" applyBorder="1" applyProtection="1">
      <protection hidden="1"/>
    </xf>
    <xf fontId="0" fillId="75" borderId="1" numFmtId="0" xfId="1273" applyFill="1" applyBorder="1" applyProtection="1">
      <protection hidden="1"/>
    </xf>
    <xf fontId="0" fillId="0" borderId="1" numFmtId="0" xfId="1273" applyBorder="1" applyProtection="1">
      <protection hidden="1"/>
    </xf>
    <xf fontId="63" fillId="0" borderId="1" numFmtId="2" xfId="1661" applyNumberFormat="1" applyFont="1" applyBorder="1" applyAlignment="1" applyProtection="1">
      <alignment horizontal="center" vertical="center"/>
      <protection hidden="1"/>
    </xf>
    <xf fontId="25" fillId="0" borderId="0" numFmtId="169" xfId="1661" applyNumberFormat="1" applyFont="1"/>
    <xf fontId="0" fillId="0" borderId="1" numFmtId="0" xfId="0" applyBorder="1"/>
  </cellXfs>
  <cellStyles count="1914">
    <cellStyle name="???????????" xfId="1"/>
    <cellStyle name="??????????? 2" xfId="2"/>
    <cellStyle name="???????_2++" xfId="3"/>
    <cellStyle name="20 % - Akzent1 2" xfId="4"/>
    <cellStyle name="20 % - Akzent1 2 2" xfId="5"/>
    <cellStyle name="20 % - Akzent1 3" xfId="6"/>
    <cellStyle name="20 % - Akzent1 3 2" xfId="7"/>
    <cellStyle name="20 % - Akzent2 2" xfId="8"/>
    <cellStyle name="20 % - Akzent2 2 2" xfId="9"/>
    <cellStyle name="20 % - Akzent2 2 3" xfId="10"/>
    <cellStyle name="20 % - Akzent2 3" xfId="11"/>
    <cellStyle name="20 % - Akzent2 3 2" xfId="12"/>
    <cellStyle name="20 % - Akzent2 3 3" xfId="13"/>
    <cellStyle name="20 % - Akzent3 2" xfId="14"/>
    <cellStyle name="20 % - Akzent3 2 2" xfId="15"/>
    <cellStyle name="20 % - Akzent3 3" xfId="16"/>
    <cellStyle name="20 % - Akzent3 3 2" xfId="17"/>
    <cellStyle name="20 % - Akzent4 2" xfId="18"/>
    <cellStyle name="20 % - Akzent4 2 2" xfId="19"/>
    <cellStyle name="20 % - Akzent4 3" xfId="20"/>
    <cellStyle name="20 % - Akzent4 3 2" xfId="21"/>
    <cellStyle name="20 % - Akzent5 2" xfId="22"/>
    <cellStyle name="20 % - Akzent5 2 2" xfId="23"/>
    <cellStyle name="20 % - Akzent5 3" xfId="24"/>
    <cellStyle name="20 % - Akzent5 3 2" xfId="25"/>
    <cellStyle name="20 % - Akzent6 2" xfId="26"/>
    <cellStyle name="20 % - Akzent6 2 2" xfId="27"/>
    <cellStyle name="20 % - Akzent6 3" xfId="28"/>
    <cellStyle name="20 % - Akzent6 3 2" xfId="29"/>
    <cellStyle name="20% - Accent1 2" xfId="30"/>
    <cellStyle name="20% - Accent1 2 2" xfId="31"/>
    <cellStyle name="20% - Accent1 3" xfId="32"/>
    <cellStyle name="20% - Accent1 3 2" xfId="33"/>
    <cellStyle name="20% - Accent2 2" xfId="34"/>
    <cellStyle name="20% - Accent2 2 2" xfId="35"/>
    <cellStyle name="20% - Accent2 2 3" xfId="36"/>
    <cellStyle name="20% - Accent2 3" xfId="37"/>
    <cellStyle name="20% - Accent2 3 2" xfId="38"/>
    <cellStyle name="20% - Accent2 3 3" xfId="39"/>
    <cellStyle name="20% - Accent3 2" xfId="40"/>
    <cellStyle name="20% - Accent3 2 2" xfId="41"/>
    <cellStyle name="20% - Accent3 3" xfId="42"/>
    <cellStyle name="20% - Accent3 3 2" xfId="43"/>
    <cellStyle name="20% - Accent4 2" xfId="44"/>
    <cellStyle name="20% - Accent4 2 2" xfId="45"/>
    <cellStyle name="20% - Accent4 3" xfId="46"/>
    <cellStyle name="20% - Accent4 3 2" xfId="47"/>
    <cellStyle name="20% - Accent5 2" xfId="48"/>
    <cellStyle name="20% - Accent5 2 2" xfId="49"/>
    <cellStyle name="20% - Accent5 3" xfId="50"/>
    <cellStyle name="20% - Accent5 3 2" xfId="51"/>
    <cellStyle name="20% - Accent6 2" xfId="52"/>
    <cellStyle name="20% - Accent6 2 2" xfId="53"/>
    <cellStyle name="20% - Accent6 3" xfId="54"/>
    <cellStyle name="20% - Accent6 3 2" xfId="55"/>
    <cellStyle name="2x indented GHG Textfiels" xfId="56"/>
    <cellStyle name="2x indented GHG Textfiels 2" xfId="57"/>
    <cellStyle name="2x indented GHG Textfiels 2 2" xfId="58"/>
    <cellStyle name="2x indented GHG Textfiels 2 2 2" xfId="59"/>
    <cellStyle name="2x indented GHG Textfiels 2 3" xfId="60"/>
    <cellStyle name="2x indented GHG Textfiels 3" xfId="61"/>
    <cellStyle name="2x indented GHG Textfiels 3 2" xfId="62"/>
    <cellStyle name="2x indented GHG Textfiels 3 2 2" xfId="63"/>
    <cellStyle name="2x indented GHG Textfiels 3 2 2 2" xfId="64"/>
    <cellStyle name="2x indented GHG Textfiels 3 2 2 2 2" xfId="65"/>
    <cellStyle name="2x indented GHG Textfiels 3 2 2 3" xfId="66"/>
    <cellStyle name="2x indented GHG Textfiels 3 2 3" xfId="67"/>
    <cellStyle name="2x indented GHG Textfiels 3 2 3 2" xfId="68"/>
    <cellStyle name="2x indented GHG Textfiels 3 2 4" xfId="69"/>
    <cellStyle name="2x indented GHG Textfiels 3 3" xfId="70"/>
    <cellStyle name="2x indented GHG Textfiels 3 3 2" xfId="71"/>
    <cellStyle name="2x indented GHG Textfiels 3 3 2 2" xfId="72"/>
    <cellStyle name="2x indented GHG Textfiels 3 3 2 2 2" xfId="73"/>
    <cellStyle name="2x indented GHG Textfiels 3 3 2 3" xfId="74"/>
    <cellStyle name="2x indented GHG Textfiels 3 3 3" xfId="75"/>
    <cellStyle name="2x indented GHG Textfiels 3 3 3 2" xfId="76"/>
    <cellStyle name="2x indented GHG Textfiels 3 3 3 2 2" xfId="77"/>
    <cellStyle name="2x indented GHG Textfiels 3 3 3 3" xfId="78"/>
    <cellStyle name="2x indented GHG Textfiels 3 3 4" xfId="79"/>
    <cellStyle name="2x indented GHG Textfiels 3 3 4 2" xfId="80"/>
    <cellStyle name="2x indented GHG Textfiels 3 3 4 2 2" xfId="81"/>
    <cellStyle name="2x indented GHG Textfiels 3 3 4 3" xfId="82"/>
    <cellStyle name="2x indented GHG Textfiels 3 3 5" xfId="83"/>
    <cellStyle name="2x indented GHG Textfiels 3 4" xfId="84"/>
    <cellStyle name="2x indented GHG Textfiels 4" xfId="85"/>
    <cellStyle name="40 % - Akzent1 2" xfId="86"/>
    <cellStyle name="40 % - Akzent1 2 2" xfId="87"/>
    <cellStyle name="40 % - Akzent1 2 3" xfId="88"/>
    <cellStyle name="40 % - Akzent1 3" xfId="89"/>
    <cellStyle name="40 % - Akzent1 3 2" xfId="90"/>
    <cellStyle name="40 % - Akzent1 3 3" xfId="91"/>
    <cellStyle name="40 % - Akzent2 2" xfId="92"/>
    <cellStyle name="40 % - Akzent2 2 2" xfId="93"/>
    <cellStyle name="40 % - Akzent2 2 3" xfId="94"/>
    <cellStyle name="40 % - Akzent2 3" xfId="95"/>
    <cellStyle name="40 % - Akzent2 3 2" xfId="96"/>
    <cellStyle name="40 % - Akzent2 3 3" xfId="97"/>
    <cellStyle name="40 % - Akzent3 2" xfId="98"/>
    <cellStyle name="40 % - Akzent3 2 2" xfId="99"/>
    <cellStyle name="40 % - Akzent3 3" xfId="100"/>
    <cellStyle name="40 % - Akzent3 3 2" xfId="101"/>
    <cellStyle name="40 % - Akzent4 2" xfId="102"/>
    <cellStyle name="40 % - Akzent4 2 2" xfId="103"/>
    <cellStyle name="40 % - Akzent4 3" xfId="104"/>
    <cellStyle name="40 % - Akzent4 3 2" xfId="105"/>
    <cellStyle name="40 % - Akzent5 2" xfId="106"/>
    <cellStyle name="40 % - Akzent5 2 2" xfId="107"/>
    <cellStyle name="40 % - Akzent5 2 3" xfId="108"/>
    <cellStyle name="40 % - Akzent5 3" xfId="109"/>
    <cellStyle name="40 % - Akzent5 3 2" xfId="110"/>
    <cellStyle name="40 % - Akzent5 3 3" xfId="111"/>
    <cellStyle name="40 % - Akzent6 2" xfId="112"/>
    <cellStyle name="40 % - Akzent6 2 2" xfId="113"/>
    <cellStyle name="40 % - Akzent6 3" xfId="114"/>
    <cellStyle name="40 % - Akzent6 3 2" xfId="115"/>
    <cellStyle name="40% - Accent1 2" xfId="116"/>
    <cellStyle name="40% - Accent1 2 2" xfId="117"/>
    <cellStyle name="40% - Accent1 2 3" xfId="118"/>
    <cellStyle name="40% - Accent1 3" xfId="119"/>
    <cellStyle name="40% - Accent1 3 2" xfId="120"/>
    <cellStyle name="40% - Accent1 3 3" xfId="121"/>
    <cellStyle name="40% - Accent2 2" xfId="122"/>
    <cellStyle name="40% - Accent2 2 2" xfId="123"/>
    <cellStyle name="40% - Accent2 2 3" xfId="124"/>
    <cellStyle name="40% - Accent2 3" xfId="125"/>
    <cellStyle name="40% - Accent2 3 2" xfId="126"/>
    <cellStyle name="40% - Accent2 3 3" xfId="127"/>
    <cellStyle name="40% - Accent3 2" xfId="128"/>
    <cellStyle name="40% - Accent3 2 2" xfId="129"/>
    <cellStyle name="40% - Accent3 3" xfId="130"/>
    <cellStyle name="40% - Accent3 3 2" xfId="131"/>
    <cellStyle name="40% - Accent4 2" xfId="132"/>
    <cellStyle name="40% - Accent4 2 2" xfId="133"/>
    <cellStyle name="40% - Accent4 3" xfId="134"/>
    <cellStyle name="40% - Accent4 3 2" xfId="135"/>
    <cellStyle name="40% - Accent5 2" xfId="136"/>
    <cellStyle name="40% - Accent5 2 2" xfId="137"/>
    <cellStyle name="40% - Accent5 2 3" xfId="138"/>
    <cellStyle name="40% - Accent5 3" xfId="139"/>
    <cellStyle name="40% - Accent5 3 2" xfId="140"/>
    <cellStyle name="40% - Accent5 3 3" xfId="141"/>
    <cellStyle name="40% - Accent6 2" xfId="142"/>
    <cellStyle name="40% - Accent6 2 2" xfId="143"/>
    <cellStyle name="40% - Accent6 3" xfId="144"/>
    <cellStyle name="40% - Accent6 3 2" xfId="145"/>
    <cellStyle name="5x indented GHG Textfiels" xfId="146"/>
    <cellStyle name="5x indented GHG Textfiels 2" xfId="147"/>
    <cellStyle name="5x indented GHG Textfiels 2 2" xfId="148"/>
    <cellStyle name="5x indented GHG Textfiels 2 2 2" xfId="149"/>
    <cellStyle name="5x indented GHG Textfiels 2 3" xfId="150"/>
    <cellStyle name="5x indented GHG Textfiels 3" xfId="151"/>
    <cellStyle name="5x indented GHG Textfiels 3 2" xfId="152"/>
    <cellStyle name="5x indented GHG Textfiels 3 2 2" xfId="153"/>
    <cellStyle name="5x indented GHG Textfiels 3 3" xfId="154"/>
    <cellStyle name="5x indented GHG Textfiels 3 3 2" xfId="155"/>
    <cellStyle name="5x indented GHG Textfiels 3 3 2 2" xfId="156"/>
    <cellStyle name="5x indented GHG Textfiels 3 3 2 2 2" xfId="157"/>
    <cellStyle name="5x indented GHG Textfiels 3 3 2 3" xfId="158"/>
    <cellStyle name="5x indented GHG Textfiels 3 3 3" xfId="159"/>
    <cellStyle name="5x indented GHG Textfiels 3 3 3 2" xfId="160"/>
    <cellStyle name="5x indented GHG Textfiels 3 3 3 2 2" xfId="161"/>
    <cellStyle name="5x indented GHG Textfiels 3 3 3 3" xfId="162"/>
    <cellStyle name="5x indented GHG Textfiels 3 3 4" xfId="163"/>
    <cellStyle name="5x indented GHG Textfiels 3 3 4 2" xfId="164"/>
    <cellStyle name="5x indented GHG Textfiels 3 3 4 2 2" xfId="165"/>
    <cellStyle name="5x indented GHG Textfiels 3 3 4 3" xfId="166"/>
    <cellStyle name="5x indented GHG Textfiels 3 3 5" xfId="167"/>
    <cellStyle name="5x indented GHG Textfiels 3 3 5 2" xfId="168"/>
    <cellStyle name="5x indented GHG Textfiels 3 3 6" xfId="169"/>
    <cellStyle name="5x indented GHG Textfiels 3 4" xfId="170"/>
    <cellStyle name="5x indented GHG Textfiels 4" xfId="171"/>
    <cellStyle name="5x indented GHG Textfiels_Table 4(II)" xfId="172"/>
    <cellStyle name="60 % - Akzent1 2" xfId="173"/>
    <cellStyle name="60 % - Akzent1 2 2" xfId="174"/>
    <cellStyle name="60 % - Akzent1 2 3" xfId="175"/>
    <cellStyle name="60 % - Akzent1 3" xfId="176"/>
    <cellStyle name="60 % - Akzent1 3 2" xfId="177"/>
    <cellStyle name="60 % - Akzent1 3 3" xfId="178"/>
    <cellStyle name="60 % - Akzent2 2" xfId="179"/>
    <cellStyle name="60 % - Akzent2 2 2" xfId="180"/>
    <cellStyle name="60 % - Akzent2 2 3" xfId="181"/>
    <cellStyle name="60 % - Akzent2 3" xfId="182"/>
    <cellStyle name="60 % - Akzent2 3 2" xfId="183"/>
    <cellStyle name="60 % - Akzent2 3 3" xfId="184"/>
    <cellStyle name="60 % - Akzent3 2" xfId="185"/>
    <cellStyle name="60 % - Akzent3 2 2" xfId="186"/>
    <cellStyle name="60 % - Akzent3 3" xfId="187"/>
    <cellStyle name="60 % - Akzent3 3 2" xfId="188"/>
    <cellStyle name="60 % - Akzent4 2" xfId="189"/>
    <cellStyle name="60 % - Akzent4 2 2" xfId="190"/>
    <cellStyle name="60 % - Akzent4 2 3" xfId="191"/>
    <cellStyle name="60 % - Akzent4 3" xfId="192"/>
    <cellStyle name="60 % - Akzent4 3 2" xfId="193"/>
    <cellStyle name="60 % - Akzent4 3 3" xfId="194"/>
    <cellStyle name="60 % - Akzent5 2" xfId="195"/>
    <cellStyle name="60 % - Akzent5 2 2" xfId="196"/>
    <cellStyle name="60 % - Akzent5 2 3" xfId="197"/>
    <cellStyle name="60 % - Akzent5 3" xfId="198"/>
    <cellStyle name="60 % - Akzent5 3 2" xfId="199"/>
    <cellStyle name="60 % - Akzent5 3 3" xfId="200"/>
    <cellStyle name="60 % - Akzent6 2" xfId="201"/>
    <cellStyle name="60 % - Akzent6 2 2" xfId="202"/>
    <cellStyle name="60 % - Akzent6 3" xfId="203"/>
    <cellStyle name="60 % - Akzent6 3 2" xfId="204"/>
    <cellStyle name="60% - Accent1 2" xfId="205"/>
    <cellStyle name="60% - Accent1 2 2" xfId="206"/>
    <cellStyle name="60% - Accent1 2 3" xfId="207"/>
    <cellStyle name="60% - Accent1 3" xfId="208"/>
    <cellStyle name="60% - Accent1 3 2" xfId="209"/>
    <cellStyle name="60% - Accent1 3 3" xfId="210"/>
    <cellStyle name="60% - Accent2 2" xfId="211"/>
    <cellStyle name="60% - Accent2 2 2" xfId="212"/>
    <cellStyle name="60% - Accent2 2 3" xfId="213"/>
    <cellStyle name="60% - Accent2 3" xfId="214"/>
    <cellStyle name="60% - Accent2 3 2" xfId="215"/>
    <cellStyle name="60% - Accent2 3 3" xfId="216"/>
    <cellStyle name="60% - Accent3 2" xfId="217"/>
    <cellStyle name="60% - Accent3 2 2" xfId="218"/>
    <cellStyle name="60% - Accent3 3" xfId="219"/>
    <cellStyle name="60% - Accent3 3 2" xfId="220"/>
    <cellStyle name="60% - Accent4 2" xfId="221"/>
    <cellStyle name="60% - Accent4 2 2" xfId="222"/>
    <cellStyle name="60% - Accent4 2 3" xfId="223"/>
    <cellStyle name="60% - Accent4 3" xfId="224"/>
    <cellStyle name="60% - Accent4 3 2" xfId="225"/>
    <cellStyle name="60% - Accent4 3 3" xfId="226"/>
    <cellStyle name="60% - Accent5 2" xfId="227"/>
    <cellStyle name="60% - Accent5 2 2" xfId="228"/>
    <cellStyle name="60% - Accent5 2 3" xfId="229"/>
    <cellStyle name="60% - Accent5 3" xfId="230"/>
    <cellStyle name="60% - Accent5 3 2" xfId="231"/>
    <cellStyle name="60% - Accent5 3 3" xfId="232"/>
    <cellStyle name="60% - Accent6 2" xfId="233"/>
    <cellStyle name="60% - Accent6 2 2" xfId="234"/>
    <cellStyle name="60% - Accent6 3" xfId="235"/>
    <cellStyle name="60% - Accent6 3 2" xfId="236"/>
    <cellStyle name="Accent 1 1" xfId="237"/>
    <cellStyle name="Accent 1 1 2" xfId="238"/>
    <cellStyle name="Accent 1 1 3" xfId="239"/>
    <cellStyle name="Accent 1 6" xfId="240"/>
    <cellStyle name="Accent 1 6 2" xfId="241"/>
    <cellStyle name="Accent 2 1" xfId="242"/>
    <cellStyle name="Accent 2 1 2" xfId="243"/>
    <cellStyle name="Accent 2 7" xfId="244"/>
    <cellStyle name="Accent 3 1" xfId="245"/>
    <cellStyle name="Accent 3 1 2" xfId="246"/>
    <cellStyle name="Accent 3 1 2 2" xfId="247"/>
    <cellStyle name="Accent 3 1 3" xfId="248"/>
    <cellStyle name="Accent 3 8" xfId="249"/>
    <cellStyle name="Accent 3 8 2" xfId="250"/>
    <cellStyle name="Accent 4" xfId="251"/>
    <cellStyle name="Accent 4 2" xfId="252"/>
    <cellStyle name="Accent 5" xfId="253"/>
    <cellStyle name="Accent1 2" xfId="254"/>
    <cellStyle name="Accent1 2 2" xfId="255"/>
    <cellStyle name="Accent1 2 2 2" xfId="256"/>
    <cellStyle name="Accent1 2 3" xfId="257"/>
    <cellStyle name="Accent1 3" xfId="258"/>
    <cellStyle name="Accent1 3 2" xfId="259"/>
    <cellStyle name="Accent1 3 2 2" xfId="260"/>
    <cellStyle name="Accent1 3 3" xfId="261"/>
    <cellStyle name="Accent1 4" xfId="262"/>
    <cellStyle name="Accent1 4 2" xfId="263"/>
    <cellStyle name="Accent1 4 2 2" xfId="264"/>
    <cellStyle name="Accent1 4 3" xfId="265"/>
    <cellStyle name="Accent2 2" xfId="266"/>
    <cellStyle name="Accent2 2 2" xfId="267"/>
    <cellStyle name="Accent2 2 3" xfId="268"/>
    <cellStyle name="Accent2 3" xfId="269"/>
    <cellStyle name="Accent2 3 2" xfId="270"/>
    <cellStyle name="Accent2 3 3" xfId="271"/>
    <cellStyle name="Accent2 4" xfId="272"/>
    <cellStyle name="Accent2 4 2" xfId="273"/>
    <cellStyle name="Accent2 4 3" xfId="274"/>
    <cellStyle name="Accent3 2" xfId="275"/>
    <cellStyle name="Accent3 2 2" xfId="276"/>
    <cellStyle name="Accent3 2 2 2" xfId="277"/>
    <cellStyle name="Accent3 2 3" xfId="278"/>
    <cellStyle name="Accent3 3" xfId="279"/>
    <cellStyle name="Accent3 3 2" xfId="280"/>
    <cellStyle name="Accent3 3 2 2" xfId="281"/>
    <cellStyle name="Accent3 3 3" xfId="282"/>
    <cellStyle name="Accent3 4" xfId="283"/>
    <cellStyle name="Accent3 4 2" xfId="284"/>
    <cellStyle name="Accent3 4 2 2" xfId="285"/>
    <cellStyle name="Accent3 4 3" xfId="286"/>
    <cellStyle name="Accent4 2" xfId="287"/>
    <cellStyle name="Accent4 2 2" xfId="288"/>
    <cellStyle name="Accent4 2 3" xfId="289"/>
    <cellStyle name="Accent4 3" xfId="290"/>
    <cellStyle name="Accent4 3 2" xfId="291"/>
    <cellStyle name="Accent4 3 3" xfId="292"/>
    <cellStyle name="Accent4 4" xfId="293"/>
    <cellStyle name="Accent4 4 2" xfId="294"/>
    <cellStyle name="Accent4 4 3" xfId="295"/>
    <cellStyle name="Accent5 2" xfId="296"/>
    <cellStyle name="Accent5 2 2" xfId="297"/>
    <cellStyle name="Accent5 2 3" xfId="298"/>
    <cellStyle name="Accent5 3" xfId="299"/>
    <cellStyle name="Accent5 3 2" xfId="300"/>
    <cellStyle name="Accent5 3 3" xfId="301"/>
    <cellStyle name="Accent5 4" xfId="302"/>
    <cellStyle name="Accent5 4 2" xfId="303"/>
    <cellStyle name="Accent5 4 3" xfId="304"/>
    <cellStyle name="Accent6 2" xfId="305"/>
    <cellStyle name="Accent6 2 2" xfId="306"/>
    <cellStyle name="Accent6 3" xfId="307"/>
    <cellStyle name="Accent6 3 2" xfId="308"/>
    <cellStyle name="Accent6 4" xfId="309"/>
    <cellStyle name="Accent6 4 2" xfId="310"/>
    <cellStyle name="AggblueBoldCels" xfId="311"/>
    <cellStyle name="AggblueBoldCels 2" xfId="312"/>
    <cellStyle name="AggblueBoldCels 2 2" xfId="313"/>
    <cellStyle name="AggblueBoldCels 3" xfId="314"/>
    <cellStyle name="AggblueCels" xfId="315"/>
    <cellStyle name="AggblueCels 2" xfId="316"/>
    <cellStyle name="AggblueCels 2 2" xfId="317"/>
    <cellStyle name="AggblueCels 3" xfId="318"/>
    <cellStyle name="AggblueCels_1x" xfId="319"/>
    <cellStyle name="AggBoldCells" xfId="320"/>
    <cellStyle name="AggBoldCells 2" xfId="321"/>
    <cellStyle name="AggBoldCells 2 2" xfId="322"/>
    <cellStyle name="AggBoldCells 3" xfId="323"/>
    <cellStyle name="AggBoldCells 3 2" xfId="324"/>
    <cellStyle name="AggBoldCells 4" xfId="325"/>
    <cellStyle name="AggBoldCells 4 2" xfId="326"/>
    <cellStyle name="AggBoldCells 5" xfId="327"/>
    <cellStyle name="AggCels" xfId="328"/>
    <cellStyle name="AggCels 2" xfId="329"/>
    <cellStyle name="AggCels 2 2" xfId="330"/>
    <cellStyle name="AggCels 3" xfId="331"/>
    <cellStyle name="AggCels 3 2" xfId="332"/>
    <cellStyle name="AggCels 4" xfId="333"/>
    <cellStyle name="AggCels 4 2" xfId="334"/>
    <cellStyle name="AggCels 5" xfId="335"/>
    <cellStyle name="AggCels_T(2)" xfId="336"/>
    <cellStyle name="AggGreen" xfId="337"/>
    <cellStyle name="AggGreen 2" xfId="338"/>
    <cellStyle name="AggGreen 2 2" xfId="339"/>
    <cellStyle name="AggGreen 2 2 2" xfId="340"/>
    <cellStyle name="AggGreen 2 2 2 2" xfId="341"/>
    <cellStyle name="AggGreen 2 2 2 2 2" xfId="342"/>
    <cellStyle name="AggGreen 2 2 2 3" xfId="343"/>
    <cellStyle name="AggGreen 2 2 3" xfId="344"/>
    <cellStyle name="AggGreen 2 2 3 2" xfId="345"/>
    <cellStyle name="AggGreen 2 2 4" xfId="346"/>
    <cellStyle name="AggGreen 2 3" xfId="347"/>
    <cellStyle name="AggGreen 2 3 2" xfId="348"/>
    <cellStyle name="AggGreen 2 3 2 2" xfId="349"/>
    <cellStyle name="AggGreen 2 3 2 2 2" xfId="350"/>
    <cellStyle name="AggGreen 2 3 2 3" xfId="351"/>
    <cellStyle name="AggGreen 2 3 3" xfId="352"/>
    <cellStyle name="AggGreen 2 3 3 2" xfId="353"/>
    <cellStyle name="AggGreen 2 3 3 2 2" xfId="354"/>
    <cellStyle name="AggGreen 2 3 3 3" xfId="355"/>
    <cellStyle name="AggGreen 2 3 4" xfId="356"/>
    <cellStyle name="AggGreen 2 3 4 2" xfId="357"/>
    <cellStyle name="AggGreen 2 3 4 2 2" xfId="358"/>
    <cellStyle name="AggGreen 2 3 4 3" xfId="359"/>
    <cellStyle name="AggGreen 2 3 5" xfId="360"/>
    <cellStyle name="AggGreen 2 4" xfId="361"/>
    <cellStyle name="AggGreen 3" xfId="362"/>
    <cellStyle name="AggGreen 3 2" xfId="363"/>
    <cellStyle name="AggGreen 3 2 2" xfId="364"/>
    <cellStyle name="AggGreen 3 2 2 2" xfId="365"/>
    <cellStyle name="AggGreen 3 2 3" xfId="366"/>
    <cellStyle name="AggGreen 3 3" xfId="367"/>
    <cellStyle name="AggGreen 3 3 2" xfId="368"/>
    <cellStyle name="AggGreen 3 4" xfId="369"/>
    <cellStyle name="AggGreen 4" xfId="370"/>
    <cellStyle name="AggGreen 4 2" xfId="371"/>
    <cellStyle name="AggGreen 4 2 2" xfId="372"/>
    <cellStyle name="AggGreen 4 2 2 2" xfId="373"/>
    <cellStyle name="AggGreen 4 2 3" xfId="374"/>
    <cellStyle name="AggGreen 4 3" xfId="375"/>
    <cellStyle name="AggGreen 4 3 2" xfId="376"/>
    <cellStyle name="AggGreen 4 3 2 2" xfId="377"/>
    <cellStyle name="AggGreen 4 3 3" xfId="378"/>
    <cellStyle name="AggGreen 4 4" xfId="379"/>
    <cellStyle name="AggGreen 4 4 2" xfId="380"/>
    <cellStyle name="AggGreen 4 4 2 2" xfId="381"/>
    <cellStyle name="AggGreen 4 4 3" xfId="382"/>
    <cellStyle name="AggGreen 4 5" xfId="383"/>
    <cellStyle name="AggGreen 5" xfId="384"/>
    <cellStyle name="AggGreen 5 2" xfId="385"/>
    <cellStyle name="AggGreen 6" xfId="386"/>
    <cellStyle name="AggGreen_Bbdr" xfId="387"/>
    <cellStyle name="AggGreen12" xfId="388"/>
    <cellStyle name="AggGreen12 2" xfId="389"/>
    <cellStyle name="AggGreen12 2 2" xfId="390"/>
    <cellStyle name="AggGreen12 2 2 2" xfId="391"/>
    <cellStyle name="AggGreen12 2 2 2 2" xfId="392"/>
    <cellStyle name="AggGreen12 2 2 2 2 2" xfId="393"/>
    <cellStyle name="AggGreen12 2 2 2 3" xfId="394"/>
    <cellStyle name="AggGreen12 2 2 3" xfId="395"/>
    <cellStyle name="AggGreen12 2 2 3 2" xfId="396"/>
    <cellStyle name="AggGreen12 2 2 4" xfId="397"/>
    <cellStyle name="AggGreen12 2 3" xfId="398"/>
    <cellStyle name="AggGreen12 2 3 2" xfId="399"/>
    <cellStyle name="AggGreen12 2 3 2 2" xfId="400"/>
    <cellStyle name="AggGreen12 2 3 2 2 2" xfId="401"/>
    <cellStyle name="AggGreen12 2 3 2 3" xfId="402"/>
    <cellStyle name="AggGreen12 2 3 3" xfId="403"/>
    <cellStyle name="AggGreen12 2 3 3 2" xfId="404"/>
    <cellStyle name="AggGreen12 2 3 3 2 2" xfId="405"/>
    <cellStyle name="AggGreen12 2 3 3 3" xfId="406"/>
    <cellStyle name="AggGreen12 2 3 4" xfId="407"/>
    <cellStyle name="AggGreen12 2 3 4 2" xfId="408"/>
    <cellStyle name="AggGreen12 2 3 4 2 2" xfId="409"/>
    <cellStyle name="AggGreen12 2 3 4 3" xfId="410"/>
    <cellStyle name="AggGreen12 2 3 5" xfId="411"/>
    <cellStyle name="AggGreen12 2 4" xfId="412"/>
    <cellStyle name="AggGreen12 3" xfId="413"/>
    <cellStyle name="AggGreen12 3 2" xfId="414"/>
    <cellStyle name="AggGreen12 3 2 2" xfId="415"/>
    <cellStyle name="AggGreen12 3 2 2 2" xfId="416"/>
    <cellStyle name="AggGreen12 3 2 3" xfId="417"/>
    <cellStyle name="AggGreen12 3 3" xfId="418"/>
    <cellStyle name="AggGreen12 3 3 2" xfId="419"/>
    <cellStyle name="AggGreen12 3 4" xfId="420"/>
    <cellStyle name="AggGreen12 4" xfId="421"/>
    <cellStyle name="AggGreen12 4 2" xfId="422"/>
    <cellStyle name="AggGreen12 4 2 2" xfId="423"/>
    <cellStyle name="AggGreen12 4 2 2 2" xfId="424"/>
    <cellStyle name="AggGreen12 4 2 3" xfId="425"/>
    <cellStyle name="AggGreen12 4 3" xfId="426"/>
    <cellStyle name="AggGreen12 4 3 2" xfId="427"/>
    <cellStyle name="AggGreen12 4 3 2 2" xfId="428"/>
    <cellStyle name="AggGreen12 4 3 3" xfId="429"/>
    <cellStyle name="AggGreen12 4 4" xfId="430"/>
    <cellStyle name="AggGreen12 4 4 2" xfId="431"/>
    <cellStyle name="AggGreen12 4 4 2 2" xfId="432"/>
    <cellStyle name="AggGreen12 4 4 3" xfId="433"/>
    <cellStyle name="AggGreen12 4 5" xfId="434"/>
    <cellStyle name="AggGreen12 5" xfId="435"/>
    <cellStyle name="AggGreen12 5 2" xfId="436"/>
    <cellStyle name="AggGreen12 6" xfId="437"/>
    <cellStyle name="AggOrange" xfId="438"/>
    <cellStyle name="AggOrange 2" xfId="439"/>
    <cellStyle name="AggOrange 2 2" xfId="440"/>
    <cellStyle name="AggOrange 2 2 2" xfId="441"/>
    <cellStyle name="AggOrange 2 2 2 2" xfId="442"/>
    <cellStyle name="AggOrange 2 2 2 2 2" xfId="443"/>
    <cellStyle name="AggOrange 2 2 2 3" xfId="444"/>
    <cellStyle name="AggOrange 2 2 3" xfId="445"/>
    <cellStyle name="AggOrange 2 2 3 2" xfId="446"/>
    <cellStyle name="AggOrange 2 2 4" xfId="447"/>
    <cellStyle name="AggOrange 2 3" xfId="448"/>
    <cellStyle name="AggOrange 2 3 2" xfId="449"/>
    <cellStyle name="AggOrange 2 3 2 2" xfId="450"/>
    <cellStyle name="AggOrange 2 3 2 2 2" xfId="451"/>
    <cellStyle name="AggOrange 2 3 2 3" xfId="452"/>
    <cellStyle name="AggOrange 2 3 3" xfId="453"/>
    <cellStyle name="AggOrange 2 3 3 2" xfId="454"/>
    <cellStyle name="AggOrange 2 3 3 2 2" xfId="455"/>
    <cellStyle name="AggOrange 2 3 3 3" xfId="456"/>
    <cellStyle name="AggOrange 2 3 4" xfId="457"/>
    <cellStyle name="AggOrange 2 3 4 2" xfId="458"/>
    <cellStyle name="AggOrange 2 3 4 2 2" xfId="459"/>
    <cellStyle name="AggOrange 2 3 4 3" xfId="460"/>
    <cellStyle name="AggOrange 2 3 5" xfId="461"/>
    <cellStyle name="AggOrange 2 4" xfId="462"/>
    <cellStyle name="AggOrange 3" xfId="463"/>
    <cellStyle name="AggOrange 3 2" xfId="464"/>
    <cellStyle name="AggOrange 3 2 2" xfId="465"/>
    <cellStyle name="AggOrange 3 2 2 2" xfId="466"/>
    <cellStyle name="AggOrange 3 2 3" xfId="467"/>
    <cellStyle name="AggOrange 3 3" xfId="468"/>
    <cellStyle name="AggOrange 3 3 2" xfId="469"/>
    <cellStyle name="AggOrange 3 4" xfId="470"/>
    <cellStyle name="AggOrange 4" xfId="471"/>
    <cellStyle name="AggOrange 4 2" xfId="472"/>
    <cellStyle name="AggOrange 4 2 2" xfId="473"/>
    <cellStyle name="AggOrange 4 2 2 2" xfId="474"/>
    <cellStyle name="AggOrange 4 2 3" xfId="475"/>
    <cellStyle name="AggOrange 4 3" xfId="476"/>
    <cellStyle name="AggOrange 4 3 2" xfId="477"/>
    <cellStyle name="AggOrange 4 3 2 2" xfId="478"/>
    <cellStyle name="AggOrange 4 3 3" xfId="479"/>
    <cellStyle name="AggOrange 4 4" xfId="480"/>
    <cellStyle name="AggOrange 4 4 2" xfId="481"/>
    <cellStyle name="AggOrange 4 4 2 2" xfId="482"/>
    <cellStyle name="AggOrange 4 4 3" xfId="483"/>
    <cellStyle name="AggOrange 4 5" xfId="484"/>
    <cellStyle name="AggOrange 5" xfId="485"/>
    <cellStyle name="AggOrange 5 2" xfId="486"/>
    <cellStyle name="AggOrange 6" xfId="487"/>
    <cellStyle name="AggOrange_B_border" xfId="488"/>
    <cellStyle name="AggOrange9" xfId="489"/>
    <cellStyle name="AggOrange9 2" xfId="490"/>
    <cellStyle name="AggOrange9 2 2" xfId="491"/>
    <cellStyle name="AggOrange9 2 2 2" xfId="492"/>
    <cellStyle name="AggOrange9 2 2 2 2" xfId="493"/>
    <cellStyle name="AggOrange9 2 2 2 2 2" xfId="494"/>
    <cellStyle name="AggOrange9 2 2 2 3" xfId="495"/>
    <cellStyle name="AggOrange9 2 2 3" xfId="496"/>
    <cellStyle name="AggOrange9 2 2 3 2" xfId="497"/>
    <cellStyle name="AggOrange9 2 2 4" xfId="498"/>
    <cellStyle name="AggOrange9 2 3" xfId="499"/>
    <cellStyle name="AggOrange9 2 3 2" xfId="500"/>
    <cellStyle name="AggOrange9 2 3 2 2" xfId="501"/>
    <cellStyle name="AggOrange9 2 3 2 2 2" xfId="502"/>
    <cellStyle name="AggOrange9 2 3 2 3" xfId="503"/>
    <cellStyle name="AggOrange9 2 3 3" xfId="504"/>
    <cellStyle name="AggOrange9 2 3 3 2" xfId="505"/>
    <cellStyle name="AggOrange9 2 3 3 2 2" xfId="506"/>
    <cellStyle name="AggOrange9 2 3 3 3" xfId="507"/>
    <cellStyle name="AggOrange9 2 3 4" xfId="508"/>
    <cellStyle name="AggOrange9 2 3 4 2" xfId="509"/>
    <cellStyle name="AggOrange9 2 3 4 2 2" xfId="510"/>
    <cellStyle name="AggOrange9 2 3 4 3" xfId="511"/>
    <cellStyle name="AggOrange9 2 3 5" xfId="512"/>
    <cellStyle name="AggOrange9 2 4" xfId="513"/>
    <cellStyle name="AggOrange9 3" xfId="514"/>
    <cellStyle name="AggOrange9 3 2" xfId="515"/>
    <cellStyle name="AggOrange9 3 2 2" xfId="516"/>
    <cellStyle name="AggOrange9 3 2 2 2" xfId="517"/>
    <cellStyle name="AggOrange9 3 2 3" xfId="518"/>
    <cellStyle name="AggOrange9 3 3" xfId="519"/>
    <cellStyle name="AggOrange9 3 3 2" xfId="520"/>
    <cellStyle name="AggOrange9 3 4" xfId="521"/>
    <cellStyle name="AggOrange9 4" xfId="522"/>
    <cellStyle name="AggOrange9 4 2" xfId="523"/>
    <cellStyle name="AggOrange9 4 2 2" xfId="524"/>
    <cellStyle name="AggOrange9 4 2 2 2" xfId="525"/>
    <cellStyle name="AggOrange9 4 2 3" xfId="526"/>
    <cellStyle name="AggOrange9 4 3" xfId="527"/>
    <cellStyle name="AggOrange9 4 3 2" xfId="528"/>
    <cellStyle name="AggOrange9 4 3 2 2" xfId="529"/>
    <cellStyle name="AggOrange9 4 3 3" xfId="530"/>
    <cellStyle name="AggOrange9 4 4" xfId="531"/>
    <cellStyle name="AggOrange9 4 4 2" xfId="532"/>
    <cellStyle name="AggOrange9 4 4 2 2" xfId="533"/>
    <cellStyle name="AggOrange9 4 4 3" xfId="534"/>
    <cellStyle name="AggOrange9 4 5" xfId="535"/>
    <cellStyle name="AggOrange9 5" xfId="536"/>
    <cellStyle name="AggOrange9 5 2" xfId="537"/>
    <cellStyle name="AggOrange9 6" xfId="538"/>
    <cellStyle name="AggOrangeLB_2x" xfId="539"/>
    <cellStyle name="AggOrangeLBorder" xfId="540"/>
    <cellStyle name="AggOrangeLBorder 2" xfId="541"/>
    <cellStyle name="AggOrangeLBorder 2 2" xfId="542"/>
    <cellStyle name="AggOrangeLBorder 2 2 2" xfId="543"/>
    <cellStyle name="AggOrangeLBorder 2 3" xfId="544"/>
    <cellStyle name="AggOrangeLBorder 2 3 2" xfId="545"/>
    <cellStyle name="AggOrangeLBorder 2 3 2 2" xfId="546"/>
    <cellStyle name="AggOrangeLBorder 2 3 2 2 2" xfId="547"/>
    <cellStyle name="AggOrangeLBorder 2 3 2 3" xfId="548"/>
    <cellStyle name="AggOrangeLBorder 2 3 3" xfId="549"/>
    <cellStyle name="AggOrangeLBorder 2 3 3 2" xfId="550"/>
    <cellStyle name="AggOrangeLBorder 2 3 3 2 2" xfId="551"/>
    <cellStyle name="AggOrangeLBorder 2 3 3 3" xfId="552"/>
    <cellStyle name="AggOrangeLBorder 2 3 4" xfId="553"/>
    <cellStyle name="AggOrangeLBorder 2 3 4 2" xfId="554"/>
    <cellStyle name="AggOrangeLBorder 2 3 4 2 2" xfId="555"/>
    <cellStyle name="AggOrangeLBorder 2 3 4 3" xfId="556"/>
    <cellStyle name="AggOrangeLBorder 2 3 5" xfId="557"/>
    <cellStyle name="AggOrangeLBorder 2 3 5 2" xfId="558"/>
    <cellStyle name="AggOrangeLBorder 2 3 6" xfId="559"/>
    <cellStyle name="AggOrangeLBorder 2 4" xfId="560"/>
    <cellStyle name="AggOrangeLBorder 3" xfId="561"/>
    <cellStyle name="AggOrangeLBorder 3 2" xfId="562"/>
    <cellStyle name="AggOrangeLBorder 4" xfId="563"/>
    <cellStyle name="AggOrangeLBorder 4 2" xfId="564"/>
    <cellStyle name="AggOrangeLBorder 4 2 2" xfId="565"/>
    <cellStyle name="AggOrangeLBorder 4 2 2 2" xfId="566"/>
    <cellStyle name="AggOrangeLBorder 4 2 3" xfId="567"/>
    <cellStyle name="AggOrangeLBorder 4 3" xfId="568"/>
    <cellStyle name="AggOrangeLBorder 4 3 2" xfId="569"/>
    <cellStyle name="AggOrangeLBorder 4 3 2 2" xfId="570"/>
    <cellStyle name="AggOrangeLBorder 4 3 3" xfId="571"/>
    <cellStyle name="AggOrangeLBorder 4 4" xfId="572"/>
    <cellStyle name="AggOrangeLBorder 4 4 2" xfId="573"/>
    <cellStyle name="AggOrangeLBorder 4 4 2 2" xfId="574"/>
    <cellStyle name="AggOrangeLBorder 4 4 3" xfId="575"/>
    <cellStyle name="AggOrangeLBorder 4 5" xfId="576"/>
    <cellStyle name="AggOrangeLBorder 4 5 2" xfId="577"/>
    <cellStyle name="AggOrangeLBorder 4 6" xfId="578"/>
    <cellStyle name="AggOrangeLBorder 5" xfId="579"/>
    <cellStyle name="AggOrangeLBorder 5 2" xfId="580"/>
    <cellStyle name="AggOrangeLBorder 6" xfId="581"/>
    <cellStyle name="AggOrangeRBorder" xfId="582"/>
    <cellStyle name="AggOrangeRBorder 2" xfId="583"/>
    <cellStyle name="AggOrangeRBorder 2 2" xfId="584"/>
    <cellStyle name="AggOrangeRBorder 2 2 2" xfId="585"/>
    <cellStyle name="AggOrangeRBorder 2 2 2 2" xfId="586"/>
    <cellStyle name="AggOrangeRBorder 2 2 2 2 2" xfId="587"/>
    <cellStyle name="AggOrangeRBorder 2 2 2 3" xfId="588"/>
    <cellStyle name="AggOrangeRBorder 2 2 3" xfId="589"/>
    <cellStyle name="AggOrangeRBorder 2 3" xfId="590"/>
    <cellStyle name="AggOrangeRBorder 2 3 2" xfId="591"/>
    <cellStyle name="AggOrangeRBorder 2 3 2 2" xfId="592"/>
    <cellStyle name="AggOrangeRBorder 2 3 2 2 2" xfId="593"/>
    <cellStyle name="AggOrangeRBorder 2 3 2 3" xfId="594"/>
    <cellStyle name="AggOrangeRBorder 2 3 3" xfId="595"/>
    <cellStyle name="AggOrangeRBorder 2 3 3 2" xfId="596"/>
    <cellStyle name="AggOrangeRBorder 2 3 3 2 2" xfId="597"/>
    <cellStyle name="AggOrangeRBorder 2 3 3 3" xfId="598"/>
    <cellStyle name="AggOrangeRBorder 2 3 4" xfId="599"/>
    <cellStyle name="AggOrangeRBorder 2 3 4 2" xfId="600"/>
    <cellStyle name="AggOrangeRBorder 2 3 4 2 2" xfId="601"/>
    <cellStyle name="AggOrangeRBorder 2 3 4 3" xfId="602"/>
    <cellStyle name="AggOrangeRBorder 2 3 5" xfId="603"/>
    <cellStyle name="AggOrangeRBorder 2 3 5 2" xfId="604"/>
    <cellStyle name="AggOrangeRBorder 2 3 6" xfId="605"/>
    <cellStyle name="AggOrangeRBorder 2 4" xfId="606"/>
    <cellStyle name="AggOrangeRBorder 3" xfId="607"/>
    <cellStyle name="AggOrangeRBorder 3 2" xfId="608"/>
    <cellStyle name="AggOrangeRBorder 3 2 2" xfId="609"/>
    <cellStyle name="AggOrangeRBorder 3 2 2 2" xfId="610"/>
    <cellStyle name="AggOrangeRBorder 3 2 3" xfId="611"/>
    <cellStyle name="AggOrangeRBorder 3 2 3 2" xfId="612"/>
    <cellStyle name="AggOrangeRBorder 3 2 4" xfId="613"/>
    <cellStyle name="AggOrangeRBorder 3 3" xfId="614"/>
    <cellStyle name="AggOrangeRBorder 4" xfId="615"/>
    <cellStyle name="AggOrangeRBorder 4 2" xfId="616"/>
    <cellStyle name="AggOrangeRBorder 4 2 2" xfId="617"/>
    <cellStyle name="AggOrangeRBorder 4 2 2 2" xfId="618"/>
    <cellStyle name="AggOrangeRBorder 4 2 3" xfId="619"/>
    <cellStyle name="AggOrangeRBorder 4 3" xfId="620"/>
    <cellStyle name="AggOrangeRBorder 4 3 2" xfId="621"/>
    <cellStyle name="AggOrangeRBorder 4 3 2 2" xfId="622"/>
    <cellStyle name="AggOrangeRBorder 4 3 3" xfId="623"/>
    <cellStyle name="AggOrangeRBorder 4 4" xfId="624"/>
    <cellStyle name="AggOrangeRBorder 4 4 2" xfId="625"/>
    <cellStyle name="AggOrangeRBorder 4 4 2 2" xfId="626"/>
    <cellStyle name="AggOrangeRBorder 4 4 3" xfId="627"/>
    <cellStyle name="AggOrangeRBorder 4 5" xfId="628"/>
    <cellStyle name="AggOrangeRBorder 4 5 2" xfId="629"/>
    <cellStyle name="AggOrangeRBorder 4 6" xfId="630"/>
    <cellStyle name="AggOrangeRBorder 5" xfId="631"/>
    <cellStyle name="AggOrangeRBorder 5 2" xfId="632"/>
    <cellStyle name="AggOrangeRBorder 6" xfId="633"/>
    <cellStyle name="AggOrangeRBorder_CRFReport-template" xfId="634"/>
    <cellStyle name="Akzent1" xfId="635"/>
    <cellStyle name="Akzent1 2" xfId="636"/>
    <cellStyle name="Akzent1 2 2" xfId="637"/>
    <cellStyle name="Akzent1 3" xfId="638"/>
    <cellStyle name="Akzent2" xfId="639"/>
    <cellStyle name="Akzent2 2" xfId="640"/>
    <cellStyle name="Akzent2 3" xfId="641"/>
    <cellStyle name="Akzent3" xfId="642"/>
    <cellStyle name="Akzent3 2" xfId="643"/>
    <cellStyle name="Akzent3 2 2" xfId="644"/>
    <cellStyle name="Akzent3 3" xfId="645"/>
    <cellStyle name="Akzent4" xfId="646"/>
    <cellStyle name="Akzent4 2" xfId="647"/>
    <cellStyle name="Akzent4 3" xfId="648"/>
    <cellStyle name="Akzent5" xfId="649"/>
    <cellStyle name="Akzent5 2" xfId="650"/>
    <cellStyle name="Akzent5 3" xfId="651"/>
    <cellStyle name="Akzent6" xfId="652"/>
    <cellStyle name="Akzent6 2" xfId="653"/>
    <cellStyle name="Ausgabe 2" xfId="654"/>
    <cellStyle name="Ausgabe 2 2" xfId="655"/>
    <cellStyle name="Ausgabe 2 2 2" xfId="656"/>
    <cellStyle name="Ausgabe 2 2 2 2" xfId="657"/>
    <cellStyle name="Ausgabe 2 2 2 2 2" xfId="658"/>
    <cellStyle name="Ausgabe 2 2 2 3" xfId="659"/>
    <cellStyle name="Ausgabe 2 2 3" xfId="660"/>
    <cellStyle name="Ausgabe 2 2 3 2" xfId="661"/>
    <cellStyle name="Ausgabe 2 2 4" xfId="662"/>
    <cellStyle name="Ausgabe 2 3" xfId="663"/>
    <cellStyle name="Ausgabe 2 3 2" xfId="664"/>
    <cellStyle name="Ausgabe 2 3 2 2" xfId="665"/>
    <cellStyle name="Ausgabe 2 3 2 2 2" xfId="666"/>
    <cellStyle name="Ausgabe 2 3 2 3" xfId="667"/>
    <cellStyle name="Ausgabe 2 3 3" xfId="668"/>
    <cellStyle name="Ausgabe 2 3 3 2" xfId="669"/>
    <cellStyle name="Ausgabe 2 3 4" xfId="670"/>
    <cellStyle name="Ausgabe 2 4" xfId="671"/>
    <cellStyle name="Ausgabe 2 4 2" xfId="672"/>
    <cellStyle name="Ausgabe 2 4 2 2" xfId="673"/>
    <cellStyle name="Ausgabe 2 4 3" xfId="674"/>
    <cellStyle name="Ausgabe 2 5" xfId="675"/>
    <cellStyle name="Ausgabe 2 5 2" xfId="676"/>
    <cellStyle name="Ausgabe 2 6" xfId="677"/>
    <cellStyle name="Ausgabe 3" xfId="678"/>
    <cellStyle name="Ausgabe 3 2" xfId="679"/>
    <cellStyle name="Ausgabe 3 2 2" xfId="680"/>
    <cellStyle name="Ausgabe 3 2 2 2" xfId="681"/>
    <cellStyle name="Ausgabe 3 2 2 2 2" xfId="682"/>
    <cellStyle name="Ausgabe 3 2 2 3" xfId="683"/>
    <cellStyle name="Ausgabe 3 2 3" xfId="684"/>
    <cellStyle name="Ausgabe 3 2 3 2" xfId="685"/>
    <cellStyle name="Ausgabe 3 2 4" xfId="686"/>
    <cellStyle name="Ausgabe 3 3" xfId="687"/>
    <cellStyle name="Ausgabe 3 3 2" xfId="688"/>
    <cellStyle name="Ausgabe 3 3 2 2" xfId="689"/>
    <cellStyle name="Ausgabe 3 3 2 2 2" xfId="690"/>
    <cellStyle name="Ausgabe 3 3 2 3" xfId="691"/>
    <cellStyle name="Ausgabe 3 3 3" xfId="692"/>
    <cellStyle name="Ausgabe 3 3 3 2" xfId="693"/>
    <cellStyle name="Ausgabe 3 3 4" xfId="694"/>
    <cellStyle name="Ausgabe 3 4" xfId="695"/>
    <cellStyle name="Ausgabe 3 4 2" xfId="696"/>
    <cellStyle name="Ausgabe 3 4 2 2" xfId="697"/>
    <cellStyle name="Ausgabe 3 4 3" xfId="698"/>
    <cellStyle name="Ausgabe 3 5" xfId="699"/>
    <cellStyle name="Ausgabe 3 5 2" xfId="700"/>
    <cellStyle name="Ausgabe 3 6" xfId="701"/>
    <cellStyle name="Ausgabe 4" xfId="702"/>
    <cellStyle name="Ausgabe 4 2" xfId="703"/>
    <cellStyle name="Ausgabe 4 2 2" xfId="704"/>
    <cellStyle name="Ausgabe 4 2 2 2" xfId="705"/>
    <cellStyle name="Ausgabe 4 2 3" xfId="706"/>
    <cellStyle name="Ausgabe 4 3" xfId="707"/>
    <cellStyle name="Ausgabe 4 3 2" xfId="708"/>
    <cellStyle name="Ausgabe 4 4" xfId="709"/>
    <cellStyle name="Ausgabe 5" xfId="710"/>
    <cellStyle name="Ausgabe 5 2" xfId="711"/>
    <cellStyle name="Ausgabe 5 2 2" xfId="712"/>
    <cellStyle name="Ausgabe 5 2 2 2" xfId="713"/>
    <cellStyle name="Ausgabe 5 2 3" xfId="714"/>
    <cellStyle name="Ausgabe 5 3" xfId="715"/>
    <cellStyle name="Ausgabe 5 3 2" xfId="716"/>
    <cellStyle name="Ausgabe 5 4" xfId="717"/>
    <cellStyle name="Ausgabe 6" xfId="718"/>
    <cellStyle name="Ausgabe 6 2" xfId="719"/>
    <cellStyle name="Ausgabe 6 2 2" xfId="720"/>
    <cellStyle name="Ausgabe 6 3" xfId="721"/>
    <cellStyle name="Bad 1" xfId="722"/>
    <cellStyle name="Bad 1 2" xfId="723"/>
    <cellStyle name="Bad 2" xfId="724"/>
    <cellStyle name="Bad 2 2" xfId="725"/>
    <cellStyle name="Bad 2 3" xfId="726"/>
    <cellStyle name="Bad 3" xfId="727"/>
    <cellStyle name="Bad 3 2" xfId="728"/>
    <cellStyle name="Bad 3 3" xfId="729"/>
    <cellStyle name="Bad 4" xfId="730"/>
    <cellStyle name="Bad 4 2" xfId="731"/>
    <cellStyle name="Bad 4 3" xfId="732"/>
    <cellStyle name="Bad 9" xfId="733"/>
    <cellStyle name="Berechnung 2" xfId="734"/>
    <cellStyle name="Berechnung 2 2" xfId="735"/>
    <cellStyle name="Berechnung 2 2 2" xfId="736"/>
    <cellStyle name="Berechnung 2 2 2 2" xfId="737"/>
    <cellStyle name="Berechnung 2 2 3" xfId="738"/>
    <cellStyle name="Berechnung 2 3" xfId="739"/>
    <cellStyle name="Berechnung 2 3 2" xfId="740"/>
    <cellStyle name="Berechnung 2 3 2 2" xfId="741"/>
    <cellStyle name="Berechnung 2 3 3" xfId="742"/>
    <cellStyle name="Berechnung 2 4" xfId="743"/>
    <cellStyle name="Berechnung 2 4 2" xfId="744"/>
    <cellStyle name="Berechnung 2 4 2 2" xfId="745"/>
    <cellStyle name="Berechnung 2 4 3" xfId="746"/>
    <cellStyle name="Berechnung 2 5" xfId="747"/>
    <cellStyle name="Berechnung 2 5 2" xfId="748"/>
    <cellStyle name="Berechnung 2 6" xfId="749"/>
    <cellStyle name="Berechnung 3" xfId="750"/>
    <cellStyle name="Berechnung 3 2" xfId="751"/>
    <cellStyle name="Berechnung 3 2 2" xfId="752"/>
    <cellStyle name="Berechnung 3 2 2 2" xfId="753"/>
    <cellStyle name="Berechnung 3 2 3" xfId="754"/>
    <cellStyle name="Berechnung 3 3" xfId="755"/>
    <cellStyle name="Berechnung 3 3 2" xfId="756"/>
    <cellStyle name="Berechnung 3 3 2 2" xfId="757"/>
    <cellStyle name="Berechnung 3 3 3" xfId="758"/>
    <cellStyle name="Berechnung 3 4" xfId="759"/>
    <cellStyle name="Berechnung 3 4 2" xfId="760"/>
    <cellStyle name="Berechnung 3 4 2 2" xfId="761"/>
    <cellStyle name="Berechnung 3 4 3" xfId="762"/>
    <cellStyle name="Berechnung 3 5" xfId="763"/>
    <cellStyle name="Berechnung 3 5 2" xfId="764"/>
    <cellStyle name="Berechnung 3 6" xfId="765"/>
    <cellStyle name="Berechnung 4" xfId="766"/>
    <cellStyle name="Berechnung 4 2" xfId="767"/>
    <cellStyle name="Berechnung 4 2 2" xfId="768"/>
    <cellStyle name="Berechnung 4 3" xfId="769"/>
    <cellStyle name="Berechnung 5" xfId="770"/>
    <cellStyle name="Berechnung 5 2" xfId="771"/>
    <cellStyle name="Berechnung 5 2 2" xfId="772"/>
    <cellStyle name="Berechnung 5 3" xfId="773"/>
    <cellStyle name="Berechnung 6" xfId="774"/>
    <cellStyle name="Berechnung 6 2" xfId="775"/>
    <cellStyle name="Berechnung 6 2 2" xfId="776"/>
    <cellStyle name="Berechnung 6 3" xfId="777"/>
    <cellStyle name="Berechnung 7" xfId="778"/>
    <cellStyle name="Berechnung 7 2" xfId="779"/>
    <cellStyle name="Bold GHG Numbers (0.00)" xfId="780"/>
    <cellStyle name="Bold GHG Numbers (0.00) 2" xfId="781"/>
    <cellStyle name="Calculation 2" xfId="782"/>
    <cellStyle name="Calculation 2 2" xfId="783"/>
    <cellStyle name="Calculation 2 2 2" xfId="784"/>
    <cellStyle name="Calculation 2 2 2 2" xfId="785"/>
    <cellStyle name="Calculation 2 2 3" xfId="786"/>
    <cellStyle name="Calculation 2 3" xfId="787"/>
    <cellStyle name="Calculation 2 3 2" xfId="788"/>
    <cellStyle name="Calculation 2 3 2 2" xfId="789"/>
    <cellStyle name="Calculation 2 3 3" xfId="790"/>
    <cellStyle name="Calculation 2 4" xfId="791"/>
    <cellStyle name="Calculation 2 4 2" xfId="792"/>
    <cellStyle name="Calculation 2 4 2 2" xfId="793"/>
    <cellStyle name="Calculation 2 4 3" xfId="794"/>
    <cellStyle name="Calculation 2 5" xfId="795"/>
    <cellStyle name="Calculation 2 5 2" xfId="796"/>
    <cellStyle name="Calculation 2 6" xfId="797"/>
    <cellStyle name="Calculation 3" xfId="798"/>
    <cellStyle name="Calculation 3 2" xfId="799"/>
    <cellStyle name="Calculation 3 2 2" xfId="800"/>
    <cellStyle name="Calculation 3 2 2 2" xfId="801"/>
    <cellStyle name="Calculation 3 2 3" xfId="802"/>
    <cellStyle name="Calculation 3 3" xfId="803"/>
    <cellStyle name="Calculation 3 3 2" xfId="804"/>
    <cellStyle name="Calculation 3 3 2 2" xfId="805"/>
    <cellStyle name="Calculation 3 3 3" xfId="806"/>
    <cellStyle name="Calculation 3 4" xfId="807"/>
    <cellStyle name="Calculation 3 4 2" xfId="808"/>
    <cellStyle name="Calculation 3 4 2 2" xfId="809"/>
    <cellStyle name="Calculation 3 4 3" xfId="810"/>
    <cellStyle name="Calculation 3 5" xfId="811"/>
    <cellStyle name="Calculation 3 5 2" xfId="812"/>
    <cellStyle name="Calculation 3 6" xfId="813"/>
    <cellStyle name="Check Cell 2" xfId="814"/>
    <cellStyle name="Check Cell 2 2" xfId="815"/>
    <cellStyle name="Check Cell 2 2 2" xfId="816"/>
    <cellStyle name="Check Cell 2 3" xfId="817"/>
    <cellStyle name="Check Cell 3" xfId="818"/>
    <cellStyle name="Check Cell 3 2" xfId="819"/>
    <cellStyle name="Check Cell 3 2 2" xfId="820"/>
    <cellStyle name="Check Cell 3 3" xfId="821"/>
    <cellStyle name="Check Cell 4" xfId="822"/>
    <cellStyle name="Check Cell 4 2" xfId="823"/>
    <cellStyle name="Check Cell 4 2 2" xfId="824"/>
    <cellStyle name="Check Cell 4 3" xfId="825"/>
    <cellStyle name="Comma 2" xfId="826"/>
    <cellStyle name="Comma 2 2" xfId="827"/>
    <cellStyle name="Comma 2 2 2" xfId="828"/>
    <cellStyle name="Comma 2 2 2 2" xfId="829"/>
    <cellStyle name="Comma 2 2 3" xfId="830"/>
    <cellStyle name="Comma 2 3" xfId="831"/>
    <cellStyle name="Comma 3" xfId="832"/>
    <cellStyle name="Comma 3 2" xfId="833"/>
    <cellStyle name="Constants" xfId="834"/>
    <cellStyle name="Constants 2" xfId="835"/>
    <cellStyle name="ContentsHyperlink" xfId="836"/>
    <cellStyle name="ContentsHyperlink 2" xfId="837"/>
    <cellStyle name="CustomCellsOrange" xfId="838"/>
    <cellStyle name="CustomCellsOrange 2" xfId="839"/>
    <cellStyle name="CustomCellsOrange 2 2" xfId="840"/>
    <cellStyle name="CustomCellsOrange 2 2 2" xfId="841"/>
    <cellStyle name="CustomCellsOrange 2 2 2 2" xfId="842"/>
    <cellStyle name="CustomCellsOrange 2 2 2 2 2" xfId="843"/>
    <cellStyle name="CustomCellsOrange 2 2 2 2 2 2" xfId="844"/>
    <cellStyle name="CustomCellsOrange 2 2 2 2 3" xfId="845"/>
    <cellStyle name="CustomCellsOrange 2 2 2 3" xfId="846"/>
    <cellStyle name="CustomCellsOrange 2 2 3" xfId="847"/>
    <cellStyle name="CustomCellsOrange 2 2 3 2" xfId="848"/>
    <cellStyle name="CustomCellsOrange 2 2 3 2 2" xfId="849"/>
    <cellStyle name="CustomCellsOrange 2 2 3 3" xfId="850"/>
    <cellStyle name="CustomCellsOrange 2 2 4" xfId="851"/>
    <cellStyle name="CustomCellsOrange 2 2 4 2" xfId="852"/>
    <cellStyle name="CustomCellsOrange 2 2 4 2 2" xfId="853"/>
    <cellStyle name="CustomCellsOrange 2 2 4 3" xfId="854"/>
    <cellStyle name="CustomCellsOrange 2 2 5" xfId="855"/>
    <cellStyle name="CustomCellsOrange 2 2 5 2" xfId="856"/>
    <cellStyle name="CustomCellsOrange 2 2 5 2 2" xfId="857"/>
    <cellStyle name="CustomCellsOrange 2 2 5 3" xfId="858"/>
    <cellStyle name="CustomCellsOrange 2 2 6" xfId="859"/>
    <cellStyle name="CustomCellsOrange 2 3" xfId="860"/>
    <cellStyle name="CustomCellsOrange 3" xfId="861"/>
    <cellStyle name="CustomCellsOrange 3 2" xfId="862"/>
    <cellStyle name="CustomCellsOrange 3 2 2" xfId="863"/>
    <cellStyle name="CustomCellsOrange 3 2 2 2" xfId="864"/>
    <cellStyle name="CustomCellsOrange 3 2 3" xfId="865"/>
    <cellStyle name="CustomCellsOrange 3 3" xfId="866"/>
    <cellStyle name="CustomCellsOrange 3 3 2" xfId="867"/>
    <cellStyle name="CustomCellsOrange 3 3 2 2" xfId="868"/>
    <cellStyle name="CustomCellsOrange 3 3 3" xfId="869"/>
    <cellStyle name="CustomCellsOrange 3 4" xfId="870"/>
    <cellStyle name="CustomCellsOrange 3 4 2" xfId="871"/>
    <cellStyle name="CustomCellsOrange 3 4 2 2" xfId="872"/>
    <cellStyle name="CustomCellsOrange 3 4 3" xfId="873"/>
    <cellStyle name="CustomCellsOrange 3 5" xfId="874"/>
    <cellStyle name="CustomCellsOrange 3 5 2" xfId="875"/>
    <cellStyle name="CustomCellsOrange 3 6" xfId="876"/>
    <cellStyle name="CustomCellsOrange 4" xfId="877"/>
    <cellStyle name="CustomizationCells" xfId="878"/>
    <cellStyle name="CustomizationCells 2" xfId="879"/>
    <cellStyle name="CustomizationCells 2 2" xfId="880"/>
    <cellStyle name="CustomizationCells 2 2 2" xfId="881"/>
    <cellStyle name="CustomizationCells 2 2 2 2" xfId="882"/>
    <cellStyle name="CustomizationCells 2 2 2 2 2" xfId="883"/>
    <cellStyle name="CustomizationCells 2 2 2 2 2 2" xfId="884"/>
    <cellStyle name="CustomizationCells 2 2 2 2 3" xfId="885"/>
    <cellStyle name="CustomizationCells 2 2 2 3" xfId="886"/>
    <cellStyle name="CustomizationCells 2 2 3" xfId="887"/>
    <cellStyle name="CustomizationCells 2 2 3 2" xfId="888"/>
    <cellStyle name="CustomizationCells 2 2 3 2 2" xfId="889"/>
    <cellStyle name="CustomizationCells 2 2 3 3" xfId="890"/>
    <cellStyle name="CustomizationCells 2 2 4" xfId="891"/>
    <cellStyle name="CustomizationCells 2 2 4 2" xfId="892"/>
    <cellStyle name="CustomizationCells 2 2 4 2 2" xfId="893"/>
    <cellStyle name="CustomizationCells 2 2 4 3" xfId="894"/>
    <cellStyle name="CustomizationCells 2 2 5" xfId="895"/>
    <cellStyle name="CustomizationCells 2 2 5 2" xfId="896"/>
    <cellStyle name="CustomizationCells 2 2 5 2 2" xfId="897"/>
    <cellStyle name="CustomizationCells 2 2 5 3" xfId="898"/>
    <cellStyle name="CustomizationCells 2 2 6" xfId="899"/>
    <cellStyle name="CustomizationCells 2 3" xfId="900"/>
    <cellStyle name="CustomizationCells 3" xfId="901"/>
    <cellStyle name="CustomizationCells 3 2" xfId="902"/>
    <cellStyle name="CustomizationCells 3 2 2" xfId="903"/>
    <cellStyle name="CustomizationCells 3 2 2 2" xfId="904"/>
    <cellStyle name="CustomizationCells 3 2 3" xfId="905"/>
    <cellStyle name="CustomizationCells 3 3" xfId="906"/>
    <cellStyle name="CustomizationCells 3 3 2" xfId="907"/>
    <cellStyle name="CustomizationCells 3 3 2 2" xfId="908"/>
    <cellStyle name="CustomizationCells 3 3 3" xfId="909"/>
    <cellStyle name="CustomizationCells 3 4" xfId="910"/>
    <cellStyle name="CustomizationCells 3 4 2" xfId="911"/>
    <cellStyle name="CustomizationCells 3 4 2 2" xfId="912"/>
    <cellStyle name="CustomizationCells 3 4 3" xfId="913"/>
    <cellStyle name="CustomizationCells 3 5" xfId="914"/>
    <cellStyle name="CustomizationCells 3 5 2" xfId="915"/>
    <cellStyle name="CustomizationCells 3 6" xfId="916"/>
    <cellStyle name="CustomizationCells 4" xfId="917"/>
    <cellStyle name="CustomizationCells 4 2" xfId="918"/>
    <cellStyle name="CustomizationCells 5" xfId="919"/>
    <cellStyle name="CustomizationGreenCells" xfId="920"/>
    <cellStyle name="CustomizationGreenCells 2" xfId="921"/>
    <cellStyle name="CustomizationGreenCells 2 2" xfId="922"/>
    <cellStyle name="CustomizationGreenCells 3" xfId="923"/>
    <cellStyle name="CustomizationGreenCells 3 2" xfId="924"/>
    <cellStyle name="CustomizationGreenCells 3 2 2" xfId="925"/>
    <cellStyle name="CustomizationGreenCells 3 2 2 2" xfId="926"/>
    <cellStyle name="CustomizationGreenCells 3 2 3" xfId="927"/>
    <cellStyle name="CustomizationGreenCells 3 3" xfId="928"/>
    <cellStyle name="CustomizationGreenCells 3 3 2" xfId="929"/>
    <cellStyle name="CustomizationGreenCells 3 3 2 2" xfId="930"/>
    <cellStyle name="CustomizationGreenCells 3 3 3" xfId="931"/>
    <cellStyle name="CustomizationGreenCells 3 4" xfId="932"/>
    <cellStyle name="CustomizationGreenCells 3 4 2" xfId="933"/>
    <cellStyle name="CustomizationGreenCells 3 4 2 2" xfId="934"/>
    <cellStyle name="CustomizationGreenCells 3 4 3" xfId="935"/>
    <cellStyle name="CustomizationGreenCells 3 5" xfId="936"/>
    <cellStyle name="CustomizationGreenCells 3 5 2" xfId="937"/>
    <cellStyle name="CustomizationGreenCells 3 6" xfId="938"/>
    <cellStyle name="CustomizationGreenCells 4" xfId="939"/>
    <cellStyle name="DocBox_EmptyRow" xfId="940"/>
    <cellStyle name="Eingabe" xfId="941"/>
    <cellStyle name="Eingabe 2" xfId="942"/>
    <cellStyle name="Eingabe 2 2" xfId="943"/>
    <cellStyle name="Eingabe 3" xfId="944"/>
    <cellStyle name="Eingabe 3 2" xfId="945"/>
    <cellStyle name="Eingabe 3 2 2" xfId="946"/>
    <cellStyle name="Eingabe 3 2 2 2" xfId="947"/>
    <cellStyle name="Eingabe 3 2 3" xfId="948"/>
    <cellStyle name="Eingabe 3 3" xfId="949"/>
    <cellStyle name="Eingabe 3 3 2" xfId="950"/>
    <cellStyle name="Eingabe 3 3 2 2" xfId="951"/>
    <cellStyle name="Eingabe 3 3 3" xfId="952"/>
    <cellStyle name="Eingabe 3 4" xfId="953"/>
    <cellStyle name="Eingabe 3 4 2" xfId="954"/>
    <cellStyle name="Eingabe 3 4 2 2" xfId="955"/>
    <cellStyle name="Eingabe 3 4 3" xfId="956"/>
    <cellStyle name="Eingabe 3 5" xfId="957"/>
    <cellStyle name="Eingabe 3 5 2" xfId="958"/>
    <cellStyle name="Eingabe 3 6" xfId="959"/>
    <cellStyle name="Eingabe 4" xfId="960"/>
    <cellStyle name="Eingabe 4 2" xfId="961"/>
    <cellStyle name="Eingabe 4 2 2" xfId="962"/>
    <cellStyle name="Eingabe 4 2 2 2" xfId="963"/>
    <cellStyle name="Eingabe 4 2 3" xfId="964"/>
    <cellStyle name="Eingabe 4 3" xfId="965"/>
    <cellStyle name="Eingabe 4 3 2" xfId="966"/>
    <cellStyle name="Eingabe 4 3 2 2" xfId="967"/>
    <cellStyle name="Eingabe 4 3 3" xfId="968"/>
    <cellStyle name="Eingabe 4 4" xfId="969"/>
    <cellStyle name="Eingabe 4 4 2" xfId="970"/>
    <cellStyle name="Eingabe 4 4 2 2" xfId="971"/>
    <cellStyle name="Eingabe 4 4 3" xfId="972"/>
    <cellStyle name="Eingabe 4 5" xfId="973"/>
    <cellStyle name="Eingabe 4 5 2" xfId="974"/>
    <cellStyle name="Eingabe 4 6" xfId="975"/>
    <cellStyle name="Eingabe 5" xfId="976"/>
    <cellStyle name="Eingabe 5 2" xfId="977"/>
    <cellStyle name="Eingabe 5 2 2" xfId="978"/>
    <cellStyle name="Eingabe 5 3" xfId="979"/>
    <cellStyle name="Eingabe 6" xfId="980"/>
    <cellStyle name="Eingabe 6 2" xfId="981"/>
    <cellStyle name="Eingabe 6 2 2" xfId="982"/>
    <cellStyle name="Eingabe 6 3" xfId="983"/>
    <cellStyle name="Eingabe 7" xfId="984"/>
    <cellStyle name="Eingabe 7 2" xfId="985"/>
    <cellStyle name="Eingabe 7 2 2" xfId="986"/>
    <cellStyle name="Eingabe 7 3" xfId="987"/>
    <cellStyle name="Eingabe 8" xfId="988"/>
    <cellStyle name="Eingabe 8 2" xfId="989"/>
    <cellStyle name="Eingabe 9" xfId="990"/>
    <cellStyle name="Empty_B_border" xfId="991"/>
    <cellStyle name="Ergebnis 2" xfId="992"/>
    <cellStyle name="Ergebnis 2 2" xfId="993"/>
    <cellStyle name="Ergebnis 2 2 2" xfId="994"/>
    <cellStyle name="Ergebnis 2 2 2 2" xfId="995"/>
    <cellStyle name="Ergebnis 2 2 3" xfId="996"/>
    <cellStyle name="Ergebnis 2 3" xfId="997"/>
    <cellStyle name="Ergebnis 2 3 2" xfId="998"/>
    <cellStyle name="Ergebnis 2 3 2 2" xfId="999"/>
    <cellStyle name="Ergebnis 2 3 3" xfId="1000"/>
    <cellStyle name="Ergebnis 2 4" xfId="1001"/>
    <cellStyle name="Ergebnis 2 4 2" xfId="1002"/>
    <cellStyle name="Ergebnis 2 4 2 2" xfId="1003"/>
    <cellStyle name="Ergebnis 2 4 3" xfId="1004"/>
    <cellStyle name="Ergebnis 2 5" xfId="1005"/>
    <cellStyle name="Ergebnis 2 5 2" xfId="1006"/>
    <cellStyle name="Ergebnis 2 6" xfId="1007"/>
    <cellStyle name="Ergebnis 3" xfId="1008"/>
    <cellStyle name="Ergebnis 3 2" xfId="1009"/>
    <cellStyle name="Ergebnis 3 2 2" xfId="1010"/>
    <cellStyle name="Ergebnis 3 2 2 2" xfId="1011"/>
    <cellStyle name="Ergebnis 3 2 3" xfId="1012"/>
    <cellStyle name="Ergebnis 3 3" xfId="1013"/>
    <cellStyle name="Ergebnis 3 3 2" xfId="1014"/>
    <cellStyle name="Ergebnis 3 3 2 2" xfId="1015"/>
    <cellStyle name="Ergebnis 3 3 3" xfId="1016"/>
    <cellStyle name="Ergebnis 3 4" xfId="1017"/>
    <cellStyle name="Ergebnis 3 4 2" xfId="1018"/>
    <cellStyle name="Ergebnis 3 4 2 2" xfId="1019"/>
    <cellStyle name="Ergebnis 3 4 3" xfId="1020"/>
    <cellStyle name="Ergebnis 3 5" xfId="1021"/>
    <cellStyle name="Ergebnis 3 5 2" xfId="1022"/>
    <cellStyle name="Ergebnis 3 6" xfId="1023"/>
    <cellStyle name="Ergebnis 4" xfId="1024"/>
    <cellStyle name="Ergebnis 4 2" xfId="1025"/>
    <cellStyle name="Ergebnis 4 2 2" xfId="1026"/>
    <cellStyle name="Ergebnis 4 3" xfId="1027"/>
    <cellStyle name="Ergebnis 5" xfId="1028"/>
    <cellStyle name="Ergebnis 5 2" xfId="1029"/>
    <cellStyle name="Ergebnis 5 2 2" xfId="1030"/>
    <cellStyle name="Ergebnis 5 3" xfId="1031"/>
    <cellStyle name="Ergebnis 6" xfId="1032"/>
    <cellStyle name="Ergebnis 6 2" xfId="1033"/>
    <cellStyle name="Ergebnis 6 2 2" xfId="1034"/>
    <cellStyle name="Ergebnis 6 3" xfId="1035"/>
    <cellStyle name="Ergebnis 7" xfId="1036"/>
    <cellStyle name="Ergebnis 7 2" xfId="1037"/>
    <cellStyle name="Erklärender Text 2" xfId="1038"/>
    <cellStyle name="Erklärender Text 2 2" xfId="1039"/>
    <cellStyle name="Erklärender Text 3" xfId="1040"/>
    <cellStyle name="Erklärender Text 3 2" xfId="1041"/>
    <cellStyle name="Error 1" xfId="1042"/>
    <cellStyle name="Error 1 2" xfId="1043"/>
    <cellStyle name="Error 1 3" xfId="1044"/>
    <cellStyle name="Error 10" xfId="1045"/>
    <cellStyle name="Error 10 2" xfId="1046"/>
    <cellStyle name="Explanatory Text 2" xfId="1047"/>
    <cellStyle name="Explanatory Text 2 2" xfId="1048"/>
    <cellStyle name="Explanatory Text 3" xfId="1049"/>
    <cellStyle name="Explanatory Text 3 2" xfId="1050"/>
    <cellStyle name="Footnote 1" xfId="1051"/>
    <cellStyle name="Footnote 1 2" xfId="1052"/>
    <cellStyle name="Footnote 11" xfId="1053"/>
    <cellStyle name="Good 1" xfId="1054"/>
    <cellStyle name="Good 1 2" xfId="1055"/>
    <cellStyle name="Good 12" xfId="1056"/>
    <cellStyle name="Good 2" xfId="1057"/>
    <cellStyle name="Good 2 2" xfId="1058"/>
    <cellStyle name="Good 3" xfId="1059"/>
    <cellStyle name="Good 3 2" xfId="1060"/>
    <cellStyle name="Good 4" xfId="1061"/>
    <cellStyle name="Good 4 2" xfId="1062"/>
    <cellStyle name="Gut" xfId="1063"/>
    <cellStyle name="Gut 2" xfId="1064"/>
    <cellStyle name="Heading 1 1" xfId="1065"/>
    <cellStyle name="Heading 1 1 2" xfId="1066"/>
    <cellStyle name="Heading 1 13" xfId="1067"/>
    <cellStyle name="Heading 1 2" xfId="1068"/>
    <cellStyle name="Heading 1 2 2" xfId="1069"/>
    <cellStyle name="Heading 1 3" xfId="1070"/>
    <cellStyle name="Heading 1 3 2" xfId="1071"/>
    <cellStyle name="Heading 1 4" xfId="1072"/>
    <cellStyle name="Heading 1 4 2" xfId="1073"/>
    <cellStyle name="Heading 2 1" xfId="1074"/>
    <cellStyle name="Heading 2 1 2" xfId="1075"/>
    <cellStyle name="Heading 2 14" xfId="1076"/>
    <cellStyle name="Heading 2 2" xfId="1077"/>
    <cellStyle name="Heading 2 2 2" xfId="1078"/>
    <cellStyle name="Heading 2 3" xfId="1079"/>
    <cellStyle name="Heading 2 3 2" xfId="1080"/>
    <cellStyle name="Heading 2 4" xfId="1081"/>
    <cellStyle name="Heading 2 4 2" xfId="1082"/>
    <cellStyle name="Heading 3" xfId="1083"/>
    <cellStyle name="Heading 3 2" xfId="1084"/>
    <cellStyle name="Heading 3 2 2" xfId="1085"/>
    <cellStyle name="Heading 3 2 3" xfId="1086"/>
    <cellStyle name="Heading 3 3" xfId="1087"/>
    <cellStyle name="Heading 3 3 2" xfId="1088"/>
    <cellStyle name="Heading 3 3 3" xfId="1089"/>
    <cellStyle name="Heading 3 4" xfId="1090"/>
    <cellStyle name="Heading 3 4 2" xfId="1091"/>
    <cellStyle name="Heading 3 4 3" xfId="1092"/>
    <cellStyle name="Heading 3 5" xfId="1093"/>
    <cellStyle name="Heading 4 2" xfId="1094"/>
    <cellStyle name="Heading 4 2 2" xfId="1095"/>
    <cellStyle name="Heading 4 3" xfId="1096"/>
    <cellStyle name="Heading 4 3 2" xfId="1097"/>
    <cellStyle name="Heading 4 4" xfId="1098"/>
    <cellStyle name="Heading 4 4 2" xfId="1099"/>
    <cellStyle name="Headline" xfId="1100"/>
    <cellStyle name="Headline 2" xfId="1101"/>
    <cellStyle name="Hyperlink 1" xfId="1102"/>
    <cellStyle name="Hyperlink 1 2" xfId="1103"/>
    <cellStyle name="Hyperlink 15" xfId="1104"/>
    <cellStyle name="Input 2" xfId="1105"/>
    <cellStyle name="Input 2 2" xfId="1106"/>
    <cellStyle name="Input 2 2 2" xfId="1107"/>
    <cellStyle name="Input 2 2 2 2" xfId="1108"/>
    <cellStyle name="Input 2 2 3" xfId="1109"/>
    <cellStyle name="Input 2 3" xfId="1110"/>
    <cellStyle name="Input 2 3 2" xfId="1111"/>
    <cellStyle name="Input 2 3 2 2" xfId="1112"/>
    <cellStyle name="Input 2 3 3" xfId="1113"/>
    <cellStyle name="Input 2 4" xfId="1114"/>
    <cellStyle name="Input 2 4 2" xfId="1115"/>
    <cellStyle name="Input 2 4 2 2" xfId="1116"/>
    <cellStyle name="Input 2 4 3" xfId="1117"/>
    <cellStyle name="Input 2 5" xfId="1118"/>
    <cellStyle name="Input 2 5 2" xfId="1119"/>
    <cellStyle name="Input 2 6" xfId="1120"/>
    <cellStyle name="Input 3" xfId="1121"/>
    <cellStyle name="Input 3 2" xfId="1122"/>
    <cellStyle name="Input 3 2 2" xfId="1123"/>
    <cellStyle name="Input 3 2 2 2" xfId="1124"/>
    <cellStyle name="Input 3 2 3" xfId="1125"/>
    <cellStyle name="Input 3 3" xfId="1126"/>
    <cellStyle name="Input 3 3 2" xfId="1127"/>
    <cellStyle name="Input 3 3 2 2" xfId="1128"/>
    <cellStyle name="Input 3 3 3" xfId="1129"/>
    <cellStyle name="Input 3 4" xfId="1130"/>
    <cellStyle name="Input 3 4 2" xfId="1131"/>
    <cellStyle name="Input 3 4 2 2" xfId="1132"/>
    <cellStyle name="Input 3 4 3" xfId="1133"/>
    <cellStyle name="Input 3 5" xfId="1134"/>
    <cellStyle name="Input 3 5 2" xfId="1135"/>
    <cellStyle name="Input 3 6" xfId="1136"/>
    <cellStyle name="Input 4" xfId="1137"/>
    <cellStyle name="Input 4 2" xfId="1138"/>
    <cellStyle name="InputCells" xfId="1139"/>
    <cellStyle name="InputCells 2" xfId="1140"/>
    <cellStyle name="InputCells 2 2" xfId="1141"/>
    <cellStyle name="InputCells 3" xfId="1142"/>
    <cellStyle name="InputCells 3 2" xfId="1143"/>
    <cellStyle name="InputCells 4" xfId="1144"/>
    <cellStyle name="InputCells 4 2" xfId="1145"/>
    <cellStyle name="InputCells 5" xfId="1146"/>
    <cellStyle name="InputCells_Bborder_1" xfId="1147"/>
    <cellStyle name="InputCells12" xfId="1148"/>
    <cellStyle name="InputCells12 2" xfId="1149"/>
    <cellStyle name="InputCells12 2 2" xfId="1150"/>
    <cellStyle name="InputCells12 2 2 2" xfId="1151"/>
    <cellStyle name="InputCells12 2 2 2 2" xfId="1152"/>
    <cellStyle name="InputCells12 2 2 2 2 2" xfId="1153"/>
    <cellStyle name="InputCells12 2 2 2 3" xfId="1154"/>
    <cellStyle name="InputCells12 2 2 3" xfId="1155"/>
    <cellStyle name="InputCells12 2 2 3 2" xfId="1156"/>
    <cellStyle name="InputCells12 2 2 4" xfId="1157"/>
    <cellStyle name="InputCells12 2 3" xfId="1158"/>
    <cellStyle name="InputCells12 2 3 2" xfId="1159"/>
    <cellStyle name="InputCells12 2 3 2 2" xfId="1160"/>
    <cellStyle name="InputCells12 2 3 2 2 2" xfId="1161"/>
    <cellStyle name="InputCells12 2 3 2 3" xfId="1162"/>
    <cellStyle name="InputCells12 2 3 3" xfId="1163"/>
    <cellStyle name="InputCells12 2 3 3 2" xfId="1164"/>
    <cellStyle name="InputCells12 2 3 3 2 2" xfId="1165"/>
    <cellStyle name="InputCells12 2 3 3 3" xfId="1166"/>
    <cellStyle name="InputCells12 2 3 4" xfId="1167"/>
    <cellStyle name="InputCells12 2 3 4 2" xfId="1168"/>
    <cellStyle name="InputCells12 2 3 4 2 2" xfId="1169"/>
    <cellStyle name="InputCells12 2 3 4 3" xfId="1170"/>
    <cellStyle name="InputCells12 2 3 5" xfId="1171"/>
    <cellStyle name="InputCells12 2 4" xfId="1172"/>
    <cellStyle name="InputCells12 3" xfId="1173"/>
    <cellStyle name="InputCells12 3 2" xfId="1174"/>
    <cellStyle name="InputCells12 3 2 2" xfId="1175"/>
    <cellStyle name="InputCells12 3 2 2 2" xfId="1176"/>
    <cellStyle name="InputCells12 3 2 3" xfId="1177"/>
    <cellStyle name="InputCells12 3 3" xfId="1178"/>
    <cellStyle name="InputCells12 3 3 2" xfId="1179"/>
    <cellStyle name="InputCells12 3 4" xfId="1180"/>
    <cellStyle name="InputCells12 4" xfId="1181"/>
    <cellStyle name="InputCells12 4 2" xfId="1182"/>
    <cellStyle name="InputCells12 4 2 2" xfId="1183"/>
    <cellStyle name="InputCells12 4 2 2 2" xfId="1184"/>
    <cellStyle name="InputCells12 4 2 3" xfId="1185"/>
    <cellStyle name="InputCells12 4 3" xfId="1186"/>
    <cellStyle name="InputCells12 4 3 2" xfId="1187"/>
    <cellStyle name="InputCells12 4 3 2 2" xfId="1188"/>
    <cellStyle name="InputCells12 4 3 3" xfId="1189"/>
    <cellStyle name="InputCells12 4 4" xfId="1190"/>
    <cellStyle name="InputCells12 4 4 2" xfId="1191"/>
    <cellStyle name="InputCells12 4 4 2 2" xfId="1192"/>
    <cellStyle name="InputCells12 4 4 3" xfId="1193"/>
    <cellStyle name="InputCells12 4 5" xfId="1194"/>
    <cellStyle name="InputCells12 5" xfId="1195"/>
    <cellStyle name="InputCells12 5 2" xfId="1196"/>
    <cellStyle name="InputCells12 6" xfId="1197"/>
    <cellStyle name="InputCells12_BBorder" xfId="1198"/>
    <cellStyle name="IntCells" xfId="1199"/>
    <cellStyle name="IntCells 2" xfId="1200"/>
    <cellStyle name="KP_thin_border_dark_grey" xfId="1201"/>
    <cellStyle name="Lien hypertexte" xfId="1202" builtinId="8"/>
    <cellStyle name="Linked Cell 2" xfId="1203"/>
    <cellStyle name="Linked Cell 2 2" xfId="1204"/>
    <cellStyle name="Linked Cell 3" xfId="1205"/>
    <cellStyle name="Linked Cell 3 2" xfId="1206"/>
    <cellStyle name="Linked Cell 4" xfId="1207"/>
    <cellStyle name="Linked Cell 4 2" xfId="1208"/>
    <cellStyle name="Milliers 2" xfId="1209"/>
    <cellStyle name="Milliers 2 2" xfId="1210"/>
    <cellStyle name="Milliers 3" xfId="1211"/>
    <cellStyle name="Neutral 1" xfId="1212"/>
    <cellStyle name="Neutral 1 2" xfId="1213"/>
    <cellStyle name="Neutral 16" xfId="1214"/>
    <cellStyle name="Neutral 2" xfId="1215"/>
    <cellStyle name="Neutral 2 2" xfId="1216"/>
    <cellStyle name="Neutral 2 3" xfId="1217"/>
    <cellStyle name="Neutral 3" xfId="1218"/>
    <cellStyle name="Neutral 3 2" xfId="1219"/>
    <cellStyle name="Neutral 3 3" xfId="1220"/>
    <cellStyle name="Normaali 2" xfId="1221"/>
    <cellStyle name="Normaali 2 2" xfId="1222"/>
    <cellStyle name="Normaali 2 2 2" xfId="1223"/>
    <cellStyle name="Normaali 2 3" xfId="1224"/>
    <cellStyle name="Normal" xfId="0" builtinId="0"/>
    <cellStyle name="Normal 10" xfId="1225"/>
    <cellStyle name="Normal 10 2" xfId="1226"/>
    <cellStyle name="Normal 10 2 2" xfId="1227"/>
    <cellStyle name="Normal 10 3" xfId="1228"/>
    <cellStyle name="Normal 11" xfId="1229"/>
    <cellStyle name="Normal 11 2" xfId="1230"/>
    <cellStyle name="Normal 11 2 2" xfId="1231"/>
    <cellStyle name="Normal 11 3" xfId="1232"/>
    <cellStyle name="Normal 12" xfId="1233"/>
    <cellStyle name="Normal 12 2" xfId="1234"/>
    <cellStyle name="Normal 12 2 2" xfId="1235"/>
    <cellStyle name="Normal 12 3" xfId="1236"/>
    <cellStyle name="Normal 13" xfId="1237"/>
    <cellStyle name="Normal 2" xfId="1238"/>
    <cellStyle name="Normal 2 2" xfId="1239"/>
    <cellStyle name="Normal 2 2 2" xfId="1240"/>
    <cellStyle name="Normal 2 2 2 2" xfId="1241"/>
    <cellStyle name="Normal 2 2 3" xfId="1242"/>
    <cellStyle name="Normal 2 3" xfId="1243"/>
    <cellStyle name="Normal 2 3 2" xfId="1244"/>
    <cellStyle name="Normal 2 3 2 2" xfId="1245"/>
    <cellStyle name="Normal 2 3 3" xfId="1246"/>
    <cellStyle name="Normal 2 4" xfId="1247"/>
    <cellStyle name="Normal 2 4 2" xfId="1248"/>
    <cellStyle name="Normal 2 5" xfId="1249"/>
    <cellStyle name="Normal 3" xfId="1250"/>
    <cellStyle name="Normal 3 2" xfId="1251"/>
    <cellStyle name="Normal 3 2 2" xfId="1252"/>
    <cellStyle name="Normal 3 2 2 2" xfId="1253"/>
    <cellStyle name="Normal 3 2 3" xfId="1254"/>
    <cellStyle name="Normal 3 3" xfId="1255"/>
    <cellStyle name="Normal 3 3 2" xfId="1256"/>
    <cellStyle name="Normal 3 4" xfId="1257"/>
    <cellStyle name="Normal 3 4 2" xfId="1258"/>
    <cellStyle name="Normal 3 5" xfId="1259"/>
    <cellStyle name="Normal 4" xfId="1260"/>
    <cellStyle name="Normal 4 2" xfId="1261"/>
    <cellStyle name="Normal 4 2 2" xfId="1262"/>
    <cellStyle name="Normal 4 2 2 2" xfId="1263"/>
    <cellStyle name="Normal 4 2 3" xfId="1264"/>
    <cellStyle name="Normal 4 2 3 2" xfId="1265"/>
    <cellStyle name="Normal 4 2 4" xfId="1266"/>
    <cellStyle name="Normal 4 3" xfId="1267"/>
    <cellStyle name="Normal 4 3 2" xfId="1268"/>
    <cellStyle name="Normal 4 3 2 2" xfId="1269"/>
    <cellStyle name="Normal 4 3 3" xfId="1270"/>
    <cellStyle name="Normal 4 4" xfId="1271"/>
    <cellStyle name="Normal 5" xfId="1272"/>
    <cellStyle name="Normal 5 2" xfId="1273"/>
    <cellStyle name="Normal 5 2 2" xfId="1274"/>
    <cellStyle name="Normal 5 2 2 2" xfId="1275"/>
    <cellStyle name="Normal 5 2 2 2 2" xfId="1276"/>
    <cellStyle name="Normal 5 2 2 2 2 2" xfId="1277"/>
    <cellStyle name="Normal 5 2 2 2 2 2 2" xfId="1278"/>
    <cellStyle name="Normal 5 2 2 2 2 3" xfId="1279"/>
    <cellStyle name="Normal 5 2 2 2 3" xfId="1280"/>
    <cellStyle name="Normal 5 2 2 2 3 2" xfId="1281"/>
    <cellStyle name="Normal 5 2 2 2 4" xfId="1282"/>
    <cellStyle name="Normal 5 2 2 3" xfId="1283"/>
    <cellStyle name="Normal 5 2 2 3 2" xfId="1284"/>
    <cellStyle name="Normal 5 2 2 3 2 2" xfId="1285"/>
    <cellStyle name="Normal 5 2 2 3 3" xfId="1286"/>
    <cellStyle name="Normal 5 2 2 4" xfId="1287"/>
    <cellStyle name="Normal 5 2 2 4 2" xfId="1288"/>
    <cellStyle name="Normal 5 2 2 5" xfId="1289"/>
    <cellStyle name="Normal 5 2 3" xfId="1290"/>
    <cellStyle name="Normal 5 2 3 2" xfId="1291"/>
    <cellStyle name="Normal 5 2 3 2 2" xfId="1292"/>
    <cellStyle name="Normal 5 2 3 2 2 2" xfId="1293"/>
    <cellStyle name="Normal 5 2 3 2 3" xfId="1294"/>
    <cellStyle name="Normal 5 2 3 3" xfId="1295"/>
    <cellStyle name="Normal 5 2 3 3 2" xfId="1296"/>
    <cellStyle name="Normal 5 2 3 4" xfId="1297"/>
    <cellStyle name="Normal 5 2 4" xfId="1298"/>
    <cellStyle name="Normal 5 2 4 2" xfId="1299"/>
    <cellStyle name="Normal 5 2 4 2 2" xfId="1300"/>
    <cellStyle name="Normal 5 2 4 3" xfId="1301"/>
    <cellStyle name="Normal 5 2 5" xfId="1302"/>
    <cellStyle name="Normal 5 2 5 2" xfId="1303"/>
    <cellStyle name="Normal 5 2 5 2 2" xfId="1304"/>
    <cellStyle name="Normal 5 2 5 3" xfId="1305"/>
    <cellStyle name="Normal 5 2 6" xfId="1306"/>
    <cellStyle name="Normal 5 2 6 2" xfId="1307"/>
    <cellStyle name="Normal 5 2 7" xfId="1308"/>
    <cellStyle name="Normal 5 3" xfId="1309"/>
    <cellStyle name="Normal 5 3 2" xfId="1310"/>
    <cellStyle name="Normal 5 3 2 2" xfId="1311"/>
    <cellStyle name="Normal 5 3 2 2 2" xfId="1312"/>
    <cellStyle name="Normal 5 3 2 2 2 2" xfId="1313"/>
    <cellStyle name="Normal 5 3 2 2 3" xfId="1314"/>
    <cellStyle name="Normal 5 3 2 3" xfId="1315"/>
    <cellStyle name="Normal 5 3 2 3 2" xfId="1316"/>
    <cellStyle name="Normal 5 3 2 4" xfId="1317"/>
    <cellStyle name="Normal 5 3 3" xfId="1318"/>
    <cellStyle name="Normal 5 3 3 2" xfId="1319"/>
    <cellStyle name="Normal 5 3 3 2 2" xfId="1320"/>
    <cellStyle name="Normal 5 3 3 3" xfId="1321"/>
    <cellStyle name="Normal 5 3 4" xfId="1322"/>
    <cellStyle name="Normal 5 3 4 2" xfId="1323"/>
    <cellStyle name="Normal 5 3 5" xfId="1324"/>
    <cellStyle name="Normal 5 4" xfId="1325"/>
    <cellStyle name="Normal 5 4 2" xfId="1326"/>
    <cellStyle name="Normal 5 4 2 2" xfId="1327"/>
    <cellStyle name="Normal 5 4 2 2 2" xfId="1328"/>
    <cellStyle name="Normal 5 4 2 3" xfId="1329"/>
    <cellStyle name="Normal 5 4 3" xfId="1330"/>
    <cellStyle name="Normal 5 4 3 2" xfId="1331"/>
    <cellStyle name="Normal 5 4 4" xfId="1332"/>
    <cellStyle name="Normal 5 5" xfId="1333"/>
    <cellStyle name="Normal 5 5 2" xfId="1334"/>
    <cellStyle name="Normal 5 5 2 2" xfId="1335"/>
    <cellStyle name="Normal 5 5 3" xfId="1336"/>
    <cellStyle name="Normal 5 6" xfId="1337"/>
    <cellStyle name="Normal 5 6 2" xfId="1338"/>
    <cellStyle name="Normal 5 7" xfId="1339"/>
    <cellStyle name="Normal 5 7 2" xfId="1340"/>
    <cellStyle name="Normal 5 8" xfId="1341"/>
    <cellStyle name="Normal 5 8 2" xfId="1342"/>
    <cellStyle name="Normal 5 9" xfId="1343"/>
    <cellStyle name="Normal 6" xfId="1344"/>
    <cellStyle name="Normal 6 10" xfId="1345"/>
    <cellStyle name="Normal 6 10 2" xfId="1346"/>
    <cellStyle name="Normal 6 10 2 2" xfId="1347"/>
    <cellStyle name="Normal 6 10 3" xfId="1348"/>
    <cellStyle name="Normal 6 11" xfId="1349"/>
    <cellStyle name="Normal 6 11 2" xfId="1350"/>
    <cellStyle name="Normal 6 12" xfId="1351"/>
    <cellStyle name="Normal 6 2" xfId="1352"/>
    <cellStyle name="Normal 6 2 2" xfId="1353"/>
    <cellStyle name="Normal 6 2 2 2" xfId="1354"/>
    <cellStyle name="Normal 6 2 2 2 2" xfId="1355"/>
    <cellStyle name="Normal 6 2 2 2 2 2" xfId="1356"/>
    <cellStyle name="Normal 6 2 2 2 2 2 2" xfId="1357"/>
    <cellStyle name="Normal 6 2 2 2 2 3" xfId="1358"/>
    <cellStyle name="Normal 6 2 2 2 3" xfId="1359"/>
    <cellStyle name="Normal 6 2 2 2 3 2" xfId="1360"/>
    <cellStyle name="Normal 6 2 2 2 4" xfId="1361"/>
    <cellStyle name="Normal 6 2 2 3" xfId="1362"/>
    <cellStyle name="Normal 6 2 2 3 2" xfId="1363"/>
    <cellStyle name="Normal 6 2 2 3 2 2" xfId="1364"/>
    <cellStyle name="Normal 6 2 2 3 3" xfId="1365"/>
    <cellStyle name="Normal 6 2 2 4" xfId="1366"/>
    <cellStyle name="Normal 6 2 2 4 2" xfId="1367"/>
    <cellStyle name="Normal 6 2 2 5" xfId="1368"/>
    <cellStyle name="Normal 6 2 3" xfId="1369"/>
    <cellStyle name="Normal 6 2 3 2" xfId="1370"/>
    <cellStyle name="Normal 6 2 3 2 2" xfId="1371"/>
    <cellStyle name="Normal 6 2 3 2 2 2" xfId="1372"/>
    <cellStyle name="Normal 6 2 3 2 3" xfId="1373"/>
    <cellStyle name="Normal 6 2 3 3" xfId="1374"/>
    <cellStyle name="Normal 6 2 3 3 2" xfId="1375"/>
    <cellStyle name="Normal 6 2 3 4" xfId="1376"/>
    <cellStyle name="Normal 6 2 4" xfId="1377"/>
    <cellStyle name="Normal 6 2 4 2" xfId="1378"/>
    <cellStyle name="Normal 6 2 4 2 2" xfId="1379"/>
    <cellStyle name="Normal 6 2 4 3" xfId="1380"/>
    <cellStyle name="Normal 6 2 5" xfId="1381"/>
    <cellStyle name="Normal 6 2 5 2" xfId="1382"/>
    <cellStyle name="Normal 6 2 5 2 2" xfId="1383"/>
    <cellStyle name="Normal 6 2 5 3" xfId="1384"/>
    <cellStyle name="Normal 6 2 6" xfId="1385"/>
    <cellStyle name="Normal 6 2 6 2" xfId="1386"/>
    <cellStyle name="Normal 6 2 7" xfId="1387"/>
    <cellStyle name="Normal 6 3" xfId="1388"/>
    <cellStyle name="Normal 6 3 2" xfId="1389"/>
    <cellStyle name="Normal 6 3 2 2" xfId="1390"/>
    <cellStyle name="Normal 6 3 2 2 2" xfId="1391"/>
    <cellStyle name="Normal 6 3 2 2 2 2" xfId="1392"/>
    <cellStyle name="Normal 6 3 2 2 2 2 2" xfId="1393"/>
    <cellStyle name="Normal 6 3 2 2 2 3" xfId="1394"/>
    <cellStyle name="Normal 6 3 2 2 3" xfId="1395"/>
    <cellStyle name="Normal 6 3 2 2 3 2" xfId="1396"/>
    <cellStyle name="Normal 6 3 2 2 4" xfId="1397"/>
    <cellStyle name="Normal 6 3 2 3" xfId="1398"/>
    <cellStyle name="Normal 6 3 2 3 2" xfId="1399"/>
    <cellStyle name="Normal 6 3 2 3 2 2" xfId="1400"/>
    <cellStyle name="Normal 6 3 2 3 3" xfId="1401"/>
    <cellStyle name="Normal 6 3 2 4" xfId="1402"/>
    <cellStyle name="Normal 6 3 2 4 2" xfId="1403"/>
    <cellStyle name="Normal 6 3 2 5" xfId="1404"/>
    <cellStyle name="Normal 6 3 3" xfId="1405"/>
    <cellStyle name="Normal 6 3 3 2" xfId="1406"/>
    <cellStyle name="Normal 6 3 3 2 2" xfId="1407"/>
    <cellStyle name="Normal 6 3 3 2 2 2" xfId="1408"/>
    <cellStyle name="Normal 6 3 3 2 3" xfId="1409"/>
    <cellStyle name="Normal 6 3 3 3" xfId="1410"/>
    <cellStyle name="Normal 6 3 3 3 2" xfId="1411"/>
    <cellStyle name="Normal 6 3 3 4" xfId="1412"/>
    <cellStyle name="Normal 6 3 4" xfId="1413"/>
    <cellStyle name="Normal 6 3 4 2" xfId="1414"/>
    <cellStyle name="Normal 6 3 4 2 2" xfId="1415"/>
    <cellStyle name="Normal 6 3 4 3" xfId="1416"/>
    <cellStyle name="Normal 6 3 5" xfId="1417"/>
    <cellStyle name="Normal 6 3 5 2" xfId="1418"/>
    <cellStyle name="Normal 6 3 6" xfId="1419"/>
    <cellStyle name="Normal 6 4" xfId="1420"/>
    <cellStyle name="Normal 6 4 2" xfId="1421"/>
    <cellStyle name="Normal 6 4 2 2" xfId="1422"/>
    <cellStyle name="Normal 6 4 2 2 2" xfId="1423"/>
    <cellStyle name="Normal 6 4 2 2 2 2" xfId="1424"/>
    <cellStyle name="Normal 6 4 2 2 3" xfId="1425"/>
    <cellStyle name="Normal 6 4 2 3" xfId="1426"/>
    <cellStyle name="Normal 6 4 2 3 2" xfId="1427"/>
    <cellStyle name="Normal 6 4 2 4" xfId="1428"/>
    <cellStyle name="Normal 6 4 3" xfId="1429"/>
    <cellStyle name="Normal 6 4 3 2" xfId="1430"/>
    <cellStyle name="Normal 6 4 3 2 2" xfId="1431"/>
    <cellStyle name="Normal 6 4 3 3" xfId="1432"/>
    <cellStyle name="Normal 6 4 4" xfId="1433"/>
    <cellStyle name="Normal 6 4 4 2" xfId="1434"/>
    <cellStyle name="Normal 6 4 5" xfId="1435"/>
    <cellStyle name="Normal 6 5" xfId="1436"/>
    <cellStyle name="Normal 6 5 2" xfId="1437"/>
    <cellStyle name="Normal 6 5 2 2" xfId="1438"/>
    <cellStyle name="Normal 6 5 2 2 2" xfId="1439"/>
    <cellStyle name="Normal 6 5 2 3" xfId="1440"/>
    <cellStyle name="Normal 6 5 3" xfId="1441"/>
    <cellStyle name="Normal 6 5 3 2" xfId="1442"/>
    <cellStyle name="Normal 6 5 4" xfId="1443"/>
    <cellStyle name="Normal 6 6" xfId="1444"/>
    <cellStyle name="Normal 6 6 2" xfId="1445"/>
    <cellStyle name="Normal 6 6 2 2" xfId="1446"/>
    <cellStyle name="Normal 6 6 3" xfId="1447"/>
    <cellStyle name="Normal 6 7" xfId="1448"/>
    <cellStyle name="Normal 6 7 2" xfId="1449"/>
    <cellStyle name="Normal 6 7 2 2" xfId="1450"/>
    <cellStyle name="Normal 6 7 3" xfId="1451"/>
    <cellStyle name="Normal 6 8" xfId="1452"/>
    <cellStyle name="Normal 6 8 2" xfId="1453"/>
    <cellStyle name="Normal 6 8 2 2" xfId="1454"/>
    <cellStyle name="Normal 6 8 3" xfId="1455"/>
    <cellStyle name="Normal 6 9" xfId="1456"/>
    <cellStyle name="Normal 6 9 2" xfId="1457"/>
    <cellStyle name="Normal 6 9 2 2" xfId="1458"/>
    <cellStyle name="Normal 6 9 3" xfId="1459"/>
    <cellStyle name="Normal 7" xfId="1460"/>
    <cellStyle name="Normal 7 2" xfId="1461"/>
    <cellStyle name="Normal 7 2 2" xfId="1462"/>
    <cellStyle name="Normal 7 2 2 2" xfId="1463"/>
    <cellStyle name="Normal 7 2 2 2 2" xfId="1464"/>
    <cellStyle name="Normal 7 2 2 2 2 2" xfId="1465"/>
    <cellStyle name="Normal 7 2 2 2 2 2 2" xfId="1466"/>
    <cellStyle name="Normal 7 2 2 2 2 3" xfId="1467"/>
    <cellStyle name="Normal 7 2 2 2 3" xfId="1468"/>
    <cellStyle name="Normal 7 2 2 2 3 2" xfId="1469"/>
    <cellStyle name="Normal 7 2 2 2 4" xfId="1470"/>
    <cellStyle name="Normal 7 2 2 3" xfId="1471"/>
    <cellStyle name="Normal 7 2 2 3 2" xfId="1472"/>
    <cellStyle name="Normal 7 2 2 3 2 2" xfId="1473"/>
    <cellStyle name="Normal 7 2 2 3 3" xfId="1474"/>
    <cellStyle name="Normal 7 2 2 4" xfId="1475"/>
    <cellStyle name="Normal 7 2 2 4 2" xfId="1476"/>
    <cellStyle name="Normal 7 2 2 5" xfId="1477"/>
    <cellStyle name="Normal 7 2 3" xfId="1478"/>
    <cellStyle name="Normal 7 2 3 2" xfId="1479"/>
    <cellStyle name="Normal 7 2 3 2 2" xfId="1480"/>
    <cellStyle name="Normal 7 2 3 2 2 2" xfId="1481"/>
    <cellStyle name="Normal 7 2 3 2 3" xfId="1482"/>
    <cellStyle name="Normal 7 2 3 3" xfId="1483"/>
    <cellStyle name="Normal 7 2 3 3 2" xfId="1484"/>
    <cellStyle name="Normal 7 2 3 4" xfId="1485"/>
    <cellStyle name="Normal 7 2 4" xfId="1486"/>
    <cellStyle name="Normal 7 2 4 2" xfId="1487"/>
    <cellStyle name="Normal 7 2 4 2 2" xfId="1488"/>
    <cellStyle name="Normal 7 2 4 3" xfId="1489"/>
    <cellStyle name="Normal 7 2 5" xfId="1490"/>
    <cellStyle name="Normal 7 2 5 2" xfId="1491"/>
    <cellStyle name="Normal 7 2 5 2 2" xfId="1492"/>
    <cellStyle name="Normal 7 2 5 3" xfId="1493"/>
    <cellStyle name="Normal 7 2 6" xfId="1494"/>
    <cellStyle name="Normal 7 2 6 2" xfId="1495"/>
    <cellStyle name="Normal 7 2 7" xfId="1496"/>
    <cellStyle name="Normal 7 3" xfId="1497"/>
    <cellStyle name="Normal 7 3 2" xfId="1498"/>
    <cellStyle name="Normal 7 3 2 2" xfId="1499"/>
    <cellStyle name="Normal 7 3 2 2 2" xfId="1500"/>
    <cellStyle name="Normal 7 3 2 2 2 2" xfId="1501"/>
    <cellStyle name="Normal 7 3 2 2 3" xfId="1502"/>
    <cellStyle name="Normal 7 3 2 3" xfId="1503"/>
    <cellStyle name="Normal 7 3 2 3 2" xfId="1504"/>
    <cellStyle name="Normal 7 3 2 4" xfId="1505"/>
    <cellStyle name="Normal 7 3 3" xfId="1506"/>
    <cellStyle name="Normal 7 3 3 2" xfId="1507"/>
    <cellStyle name="Normal 7 3 3 2 2" xfId="1508"/>
    <cellStyle name="Normal 7 3 3 3" xfId="1509"/>
    <cellStyle name="Normal 7 3 4" xfId="1510"/>
    <cellStyle name="Normal 7 3 4 2" xfId="1511"/>
    <cellStyle name="Normal 7 3 5" xfId="1512"/>
    <cellStyle name="Normal 7 4" xfId="1513"/>
    <cellStyle name="Normal 7 4 2" xfId="1514"/>
    <cellStyle name="Normal 7 4 2 2" xfId="1515"/>
    <cellStyle name="Normal 7 4 2 2 2" xfId="1516"/>
    <cellStyle name="Normal 7 4 2 3" xfId="1517"/>
    <cellStyle name="Normal 7 4 3" xfId="1518"/>
    <cellStyle name="Normal 7 4 3 2" xfId="1519"/>
    <cellStyle name="Normal 7 4 4" xfId="1520"/>
    <cellStyle name="Normal 7 5" xfId="1521"/>
    <cellStyle name="Normal 7 5 2" xfId="1522"/>
    <cellStyle name="Normal 7 5 2 2" xfId="1523"/>
    <cellStyle name="Normal 7 5 3" xfId="1524"/>
    <cellStyle name="Normal 7 6" xfId="1525"/>
    <cellStyle name="Normal 7 6 2" xfId="1526"/>
    <cellStyle name="Normal 7 7" xfId="1527"/>
    <cellStyle name="Normal 7 7 2" xfId="1528"/>
    <cellStyle name="Normal 7 8" xfId="1529"/>
    <cellStyle name="Normal 7 8 2" xfId="1530"/>
    <cellStyle name="Normal 7 9" xfId="1531"/>
    <cellStyle name="Normal 8" xfId="1532"/>
    <cellStyle name="Normal 8 2" xfId="1533"/>
    <cellStyle name="Normal 8 2 2" xfId="1534"/>
    <cellStyle name="Normal 8 3" xfId="1535"/>
    <cellStyle name="Normal 8 3 2" xfId="1536"/>
    <cellStyle name="Normal 8 4" xfId="1537"/>
    <cellStyle name="Normal 9" xfId="1538"/>
    <cellStyle name="Normal 9 2" xfId="1539"/>
    <cellStyle name="Normal 9 2 2" xfId="1540"/>
    <cellStyle name="Normal 9 3" xfId="1541"/>
    <cellStyle name="Normal GHG Numbers (0.00)" xfId="1542"/>
    <cellStyle name="Normal GHG Numbers (0.00) 2" xfId="1543"/>
    <cellStyle name="Normal GHG Numbers (0.00) 2 2" xfId="1544"/>
    <cellStyle name="Normal GHG Numbers (0.00) 3" xfId="1545"/>
    <cellStyle name="Normal GHG Numbers (0.00) 3 2" xfId="1546"/>
    <cellStyle name="Normal GHG Numbers (0.00) 3 2 2" xfId="1547"/>
    <cellStyle name="Normal GHG Numbers (0.00) 3 2 2 2" xfId="1548"/>
    <cellStyle name="Normal GHG Numbers (0.00) 3 2 2 2 2" xfId="1549"/>
    <cellStyle name="Normal GHG Numbers (0.00) 3 2 2 3" xfId="1550"/>
    <cellStyle name="Normal GHG Numbers (0.00) 3 2 3" xfId="1551"/>
    <cellStyle name="Normal GHG Numbers (0.00) 3 2 3 2" xfId="1552"/>
    <cellStyle name="Normal GHG Numbers (0.00) 3 2 4" xfId="1553"/>
    <cellStyle name="Normal GHG Numbers (0.00) 3 3" xfId="1554"/>
    <cellStyle name="Normal GHG Numbers (0.00) 3 3 2" xfId="1555"/>
    <cellStyle name="Normal GHG Numbers (0.00) 3 3 2 2" xfId="1556"/>
    <cellStyle name="Normal GHG Numbers (0.00) 3 3 2 2 2" xfId="1557"/>
    <cellStyle name="Normal GHG Numbers (0.00) 3 3 2 3" xfId="1558"/>
    <cellStyle name="Normal GHG Numbers (0.00) 3 3 3" xfId="1559"/>
    <cellStyle name="Normal GHG Numbers (0.00) 3 3 3 2" xfId="1560"/>
    <cellStyle name="Normal GHG Numbers (0.00) 3 3 3 2 2" xfId="1561"/>
    <cellStyle name="Normal GHG Numbers (0.00) 3 3 3 3" xfId="1562"/>
    <cellStyle name="Normal GHG Numbers (0.00) 3 3 4" xfId="1563"/>
    <cellStyle name="Normal GHG Numbers (0.00) 3 3 4 2" xfId="1564"/>
    <cellStyle name="Normal GHG Numbers (0.00) 3 3 4 2 2" xfId="1565"/>
    <cellStyle name="Normal GHG Numbers (0.00) 3 3 4 3" xfId="1566"/>
    <cellStyle name="Normal GHG Numbers (0.00) 3 3 5" xfId="1567"/>
    <cellStyle name="Normal GHG Numbers (0.00) 3 4" xfId="1568"/>
    <cellStyle name="Normal GHG Numbers (0.00) 3 4 2" xfId="1569"/>
    <cellStyle name="Normal GHG Numbers (0.00) 3 5" xfId="1570"/>
    <cellStyle name="Normal GHG Numbers (0.00) 4" xfId="1571"/>
    <cellStyle name="Normal GHG Textfiels Bold" xfId="1572"/>
    <cellStyle name="Normal GHG Textfiels Bold 2" xfId="1573"/>
    <cellStyle name="Normal GHG Textfiels Bold 2 2" xfId="1574"/>
    <cellStyle name="Normal GHG Textfiels Bold 3" xfId="1575"/>
    <cellStyle name="Normal GHG Textfiels Bold 3 2" xfId="1576"/>
    <cellStyle name="Normal GHG Textfiels Bold 3 2 2" xfId="1577"/>
    <cellStyle name="Normal GHG Textfiels Bold 3 2 2 2" xfId="1578"/>
    <cellStyle name="Normal GHG Textfiels Bold 3 2 2 2 2" xfId="1579"/>
    <cellStyle name="Normal GHG Textfiels Bold 3 2 2 3" xfId="1580"/>
    <cellStyle name="Normal GHG Textfiels Bold 3 2 3" xfId="1581"/>
    <cellStyle name="Normal GHG Textfiels Bold 3 2 3 2" xfId="1582"/>
    <cellStyle name="Normal GHG Textfiels Bold 3 2 4" xfId="1583"/>
    <cellStyle name="Normal GHG Textfiels Bold 3 3" xfId="1584"/>
    <cellStyle name="Normal GHG Textfiels Bold 3 3 2" xfId="1585"/>
    <cellStyle name="Normal GHG Textfiels Bold 3 3 2 2" xfId="1586"/>
    <cellStyle name="Normal GHG Textfiels Bold 3 3 2 2 2" xfId="1587"/>
    <cellStyle name="Normal GHG Textfiels Bold 3 3 2 3" xfId="1588"/>
    <cellStyle name="Normal GHG Textfiels Bold 3 3 3" xfId="1589"/>
    <cellStyle name="Normal GHG Textfiels Bold 3 3 3 2" xfId="1590"/>
    <cellStyle name="Normal GHG Textfiels Bold 3 3 3 2 2" xfId="1591"/>
    <cellStyle name="Normal GHG Textfiels Bold 3 3 3 3" xfId="1592"/>
    <cellStyle name="Normal GHG Textfiels Bold 3 3 4" xfId="1593"/>
    <cellStyle name="Normal GHG Textfiels Bold 3 3 4 2" xfId="1594"/>
    <cellStyle name="Normal GHG Textfiels Bold 3 3 4 2 2" xfId="1595"/>
    <cellStyle name="Normal GHG Textfiels Bold 3 3 4 3" xfId="1596"/>
    <cellStyle name="Normal GHG Textfiels Bold 3 3 5" xfId="1597"/>
    <cellStyle name="Normal GHG Textfiels Bold 3 4" xfId="1598"/>
    <cellStyle name="Normal GHG Textfiels Bold 4" xfId="1599"/>
    <cellStyle name="Normal GHG whole table" xfId="1600"/>
    <cellStyle name="Normal GHG whole table 2" xfId="1601"/>
    <cellStyle name="Normal GHG whole table 2 2" xfId="1602"/>
    <cellStyle name="Normal GHG whole table 2 2 2" xfId="1603"/>
    <cellStyle name="Normal GHG whole table 2 2 2 2" xfId="1604"/>
    <cellStyle name="Normal GHG whole table 2 2 3" xfId="1605"/>
    <cellStyle name="Normal GHG whole table 2 3" xfId="1606"/>
    <cellStyle name="Normal GHG whole table 2 3 2" xfId="1607"/>
    <cellStyle name="Normal GHG whole table 2 4" xfId="1608"/>
    <cellStyle name="Normal GHG whole table 3" xfId="1609"/>
    <cellStyle name="Normal GHG whole table 3 2" xfId="1610"/>
    <cellStyle name="Normal GHG whole table 3 2 2" xfId="1611"/>
    <cellStyle name="Normal GHG whole table 3 2 2 2" xfId="1612"/>
    <cellStyle name="Normal GHG whole table 3 2 3" xfId="1613"/>
    <cellStyle name="Normal GHG whole table 3 3" xfId="1614"/>
    <cellStyle name="Normal GHG whole table 3 3 2" xfId="1615"/>
    <cellStyle name="Normal GHG whole table 3 3 2 2" xfId="1616"/>
    <cellStyle name="Normal GHG whole table 3 3 3" xfId="1617"/>
    <cellStyle name="Normal GHG whole table 3 4" xfId="1618"/>
    <cellStyle name="Normal GHG whole table 3 4 2" xfId="1619"/>
    <cellStyle name="Normal GHG whole table 3 4 2 2" xfId="1620"/>
    <cellStyle name="Normal GHG whole table 3 4 3" xfId="1621"/>
    <cellStyle name="Normal GHG whole table 3 5" xfId="1622"/>
    <cellStyle name="Normal GHG whole table 4" xfId="1623"/>
    <cellStyle name="Normal GHG whole table 4 2" xfId="1624"/>
    <cellStyle name="Normal GHG whole table 5" xfId="1625"/>
    <cellStyle name="Normal GHG-Shade" xfId="1626"/>
    <cellStyle name="Normal GHG-Shade 2" xfId="1627"/>
    <cellStyle name="Normal GHG-Shade 2 2" xfId="1628"/>
    <cellStyle name="Normal GHG-Shade 2 2 2" xfId="1629"/>
    <cellStyle name="Normal GHG-Shade 2 2 3" xfId="1630"/>
    <cellStyle name="Normal GHG-Shade 2 3" xfId="1631"/>
    <cellStyle name="Normal GHG-Shade 2 3 2" xfId="1632"/>
    <cellStyle name="Normal GHG-Shade 2 3 3" xfId="1633"/>
    <cellStyle name="Normal GHG-Shade 2 4" xfId="1634"/>
    <cellStyle name="Normal GHG-Shade 2 4 2" xfId="1635"/>
    <cellStyle name="Normal GHG-Shade 2 4 3" xfId="1636"/>
    <cellStyle name="Normal GHG-Shade 2 5" xfId="1637"/>
    <cellStyle name="Normal GHG-Shade 2 5 2" xfId="1638"/>
    <cellStyle name="Normal GHG-Shade 2 5 3" xfId="1639"/>
    <cellStyle name="Normal GHG-Shade 2 6" xfId="1640"/>
    <cellStyle name="Normal GHG-Shade 2 7" xfId="1641"/>
    <cellStyle name="Normal GHG-Shade 3" xfId="1642"/>
    <cellStyle name="Normal GHG-Shade 3 2" xfId="1643"/>
    <cellStyle name="Normal GHG-Shade 3 2 2" xfId="1644"/>
    <cellStyle name="Normal GHG-Shade 3 2 3" xfId="1645"/>
    <cellStyle name="Normal GHG-Shade 3 3" xfId="1646"/>
    <cellStyle name="Normal GHG-Shade 3 4" xfId="1647"/>
    <cellStyle name="Normal GHG-Shade 4" xfId="1648"/>
    <cellStyle name="Normal GHG-Shade 4 2" xfId="1649"/>
    <cellStyle name="Normal GHG-Shade 4 2 2" xfId="1650"/>
    <cellStyle name="Normal GHG-Shade 4 3" xfId="1651"/>
    <cellStyle name="Normal GHG-Shade 5" xfId="1652"/>
    <cellStyle name="Normal GHG-Shade 6" xfId="1653"/>
    <cellStyle name="Normál_Munka1" xfId="1654"/>
    <cellStyle name="Normal_restitutions" xfId="1655"/>
    <cellStyle name="Note 1" xfId="1656"/>
    <cellStyle name="Note 1 2" xfId="1657"/>
    <cellStyle name="Note 17" xfId="1658"/>
    <cellStyle name="Note 2" xfId="1659"/>
    <cellStyle name="Note 2 2" xfId="1660"/>
    <cellStyle name="Note 2 2 2" xfId="1661"/>
    <cellStyle name="Note 2 2 2 2" xfId="1662"/>
    <cellStyle name="Note 2 2 3" xfId="1663"/>
    <cellStyle name="Note 2 3" xfId="1664"/>
    <cellStyle name="Note 2 3 2" xfId="1665"/>
    <cellStyle name="Note 2 3 2 2" xfId="1666"/>
    <cellStyle name="Note 2 3 3" xfId="1667"/>
    <cellStyle name="Note 2 4" xfId="1668"/>
    <cellStyle name="Note 2 4 2" xfId="1669"/>
    <cellStyle name="Note 2 4 2 2" xfId="1670"/>
    <cellStyle name="Note 2 4 3" xfId="1671"/>
    <cellStyle name="Note 2 5" xfId="1672"/>
    <cellStyle name="Note 2 5 2" xfId="1673"/>
    <cellStyle name="Note 2 6" xfId="1674"/>
    <cellStyle name="Note 3" xfId="1675"/>
    <cellStyle name="Note 3 2" xfId="1676"/>
    <cellStyle name="Note 3 2 2" xfId="1677"/>
    <cellStyle name="Note 3 2 2 2" xfId="1678"/>
    <cellStyle name="Note 3 2 3" xfId="1679"/>
    <cellStyle name="Note 3 3" xfId="1680"/>
    <cellStyle name="Note 3 3 2" xfId="1681"/>
    <cellStyle name="Note 3 3 2 2" xfId="1682"/>
    <cellStyle name="Note 3 3 3" xfId="1683"/>
    <cellStyle name="Note 3 4" xfId="1684"/>
    <cellStyle name="Note 3 4 2" xfId="1685"/>
    <cellStyle name="Note 3 4 2 2" xfId="1686"/>
    <cellStyle name="Note 3 4 3" xfId="1687"/>
    <cellStyle name="Note 3 5" xfId="1688"/>
    <cellStyle name="Note 3 5 2" xfId="1689"/>
    <cellStyle name="Note 3 6" xfId="1690"/>
    <cellStyle name="Notiz" xfId="1691"/>
    <cellStyle name="Notiz 2" xfId="1692"/>
    <cellStyle name="Notiz 2 2" xfId="1693"/>
    <cellStyle name="Notiz 2 2 2" xfId="1694"/>
    <cellStyle name="Notiz 2 3" xfId="1695"/>
    <cellStyle name="Notiz 3" xfId="1696"/>
    <cellStyle name="Notiz 3 2" xfId="1697"/>
    <cellStyle name="Notiz 3 2 2" xfId="1698"/>
    <cellStyle name="Notiz 3 3" xfId="1699"/>
    <cellStyle name="Notiz 4" xfId="1700"/>
    <cellStyle name="Notiz 4 2" xfId="1701"/>
    <cellStyle name="Notiz 4 2 2" xfId="1702"/>
    <cellStyle name="Notiz 4 3" xfId="1703"/>
    <cellStyle name="Notiz 5" xfId="1704"/>
    <cellStyle name="Notiz 5 2" xfId="1705"/>
    <cellStyle name="Notiz 6" xfId="1706"/>
    <cellStyle name="Output 2" xfId="1707"/>
    <cellStyle name="Output 2 2" xfId="1708"/>
    <cellStyle name="Output 2 2 2" xfId="1709"/>
    <cellStyle name="Output 2 2 2 2" xfId="1710"/>
    <cellStyle name="Output 2 2 3" xfId="1711"/>
    <cellStyle name="Output 2 3" xfId="1712"/>
    <cellStyle name="Output 2 3 2" xfId="1713"/>
    <cellStyle name="Output 2 3 2 2" xfId="1714"/>
    <cellStyle name="Output 2 3 3" xfId="1715"/>
    <cellStyle name="Output 2 4" xfId="1716"/>
    <cellStyle name="Output 2 4 2" xfId="1717"/>
    <cellStyle name="Output 2 5" xfId="1718"/>
    <cellStyle name="Output 3" xfId="1719"/>
    <cellStyle name="Output 3 2" xfId="1720"/>
    <cellStyle name="Output 3 2 2" xfId="1721"/>
    <cellStyle name="Output 3 2 2 2" xfId="1722"/>
    <cellStyle name="Output 3 2 3" xfId="1723"/>
    <cellStyle name="Output 3 3" xfId="1724"/>
    <cellStyle name="Output 3 3 2" xfId="1725"/>
    <cellStyle name="Output 3 3 2 2" xfId="1726"/>
    <cellStyle name="Output 3 3 3" xfId="1727"/>
    <cellStyle name="Output 3 4" xfId="1728"/>
    <cellStyle name="Output 3 4 2" xfId="1729"/>
    <cellStyle name="Output 3 5" xfId="1730"/>
    <cellStyle name="Pattern" xfId="1731"/>
    <cellStyle name="Pattern 2" xfId="1732"/>
    <cellStyle name="Pattern 2 2" xfId="1733"/>
    <cellStyle name="Pattern 2 2 2" xfId="1734"/>
    <cellStyle name="Pattern 2 2 2 2" xfId="1735"/>
    <cellStyle name="Pattern 2 2 3" xfId="1736"/>
    <cellStyle name="Pattern 2 3" xfId="1737"/>
    <cellStyle name="Pattern 2 3 2" xfId="1738"/>
    <cellStyle name="Pattern 2 4" xfId="1739"/>
    <cellStyle name="Pattern 3" xfId="1740"/>
    <cellStyle name="Pattern 3 2" xfId="1741"/>
    <cellStyle name="Pattern 3 2 2" xfId="1742"/>
    <cellStyle name="Pattern 3 2 2 2" xfId="1743"/>
    <cellStyle name="Pattern 3 2 3" xfId="1744"/>
    <cellStyle name="Pattern 3 3" xfId="1745"/>
    <cellStyle name="Pattern 3 3 2" xfId="1746"/>
    <cellStyle name="Pattern 3 3 2 2" xfId="1747"/>
    <cellStyle name="Pattern 3 3 3" xfId="1748"/>
    <cellStyle name="Pattern 3 4" xfId="1749"/>
    <cellStyle name="Pattern 3 4 2" xfId="1750"/>
    <cellStyle name="Pattern 3 4 2 2" xfId="1751"/>
    <cellStyle name="Pattern 3 4 3" xfId="1752"/>
    <cellStyle name="Pattern 3 5" xfId="1753"/>
    <cellStyle name="Pattern 4" xfId="1754"/>
    <cellStyle name="Percent 2" xfId="1755"/>
    <cellStyle name="Percent 2 2" xfId="1756"/>
    <cellStyle name="Percent 2 2 2" xfId="1757"/>
    <cellStyle name="Percent 2 3" xfId="1758"/>
    <cellStyle name="Pourcentage" xfId="1759" builtinId="5"/>
    <cellStyle name="Pourcentage 2" xfId="1760"/>
    <cellStyle name="Pourcentage 2 2" xfId="1761"/>
    <cellStyle name="Pourcentage 2 2 2" xfId="1762"/>
    <cellStyle name="Pourcentage 2 3" xfId="1763"/>
    <cellStyle name="Pourcentage 3" xfId="1764"/>
    <cellStyle name="Pourcentage 3 2" xfId="1765"/>
    <cellStyle name="Pourcentage 4" xfId="1766"/>
    <cellStyle name="Pourcentage 4 2" xfId="1767"/>
    <cellStyle name="Pourcentage 5" xfId="1768"/>
    <cellStyle name="RowLevel_1 2" xfId="1769"/>
    <cellStyle name="Schlecht" xfId="1770"/>
    <cellStyle name="Schlecht 2" xfId="1771"/>
    <cellStyle name="Shade" xfId="1772"/>
    <cellStyle name="Shade 2" xfId="1773"/>
    <cellStyle name="Shade 2 2" xfId="1774"/>
    <cellStyle name="Shade 2 2 2" xfId="1775"/>
    <cellStyle name="Shade 2 2 2 2" xfId="1776"/>
    <cellStyle name="Shade 2 2 2 2 2" xfId="1777"/>
    <cellStyle name="Shade 2 2 2 3" xfId="1778"/>
    <cellStyle name="Shade 2 2 3" xfId="1779"/>
    <cellStyle name="Shade 2 2 3 2" xfId="1780"/>
    <cellStyle name="Shade 2 2 4" xfId="1781"/>
    <cellStyle name="Shade 2 3" xfId="1782"/>
    <cellStyle name="Shade 2 3 2" xfId="1783"/>
    <cellStyle name="Shade 2 3 2 2" xfId="1784"/>
    <cellStyle name="Shade 2 3 2 2 2" xfId="1785"/>
    <cellStyle name="Shade 2 3 2 3" xfId="1786"/>
    <cellStyle name="Shade 2 3 3" xfId="1787"/>
    <cellStyle name="Shade 2 3 3 2" xfId="1788"/>
    <cellStyle name="Shade 2 3 3 2 2" xfId="1789"/>
    <cellStyle name="Shade 2 3 3 3" xfId="1790"/>
    <cellStyle name="Shade 2 3 4" xfId="1791"/>
    <cellStyle name="Shade 2 3 4 2" xfId="1792"/>
    <cellStyle name="Shade 2 3 4 2 2" xfId="1793"/>
    <cellStyle name="Shade 2 3 4 3" xfId="1794"/>
    <cellStyle name="Shade 2 3 5" xfId="1795"/>
    <cellStyle name="Shade 2 4" xfId="1796"/>
    <cellStyle name="Shade 3" xfId="1797"/>
    <cellStyle name="Shade 3 2" xfId="1798"/>
    <cellStyle name="Shade 3 2 2" xfId="1799"/>
    <cellStyle name="Shade 3 2 2 2" xfId="1800"/>
    <cellStyle name="Shade 3 2 3" xfId="1801"/>
    <cellStyle name="Shade 3 3" xfId="1802"/>
    <cellStyle name="Shade 3 3 2" xfId="1803"/>
    <cellStyle name="Shade 3 4" xfId="1804"/>
    <cellStyle name="Shade 4" xfId="1805"/>
    <cellStyle name="Shade 4 2" xfId="1806"/>
    <cellStyle name="Shade 4 2 2" xfId="1807"/>
    <cellStyle name="Shade 4 2 2 2" xfId="1808"/>
    <cellStyle name="Shade 4 2 3" xfId="1809"/>
    <cellStyle name="Shade 4 2 3 2" xfId="1810"/>
    <cellStyle name="Shade 4 2 4" xfId="1811"/>
    <cellStyle name="Shade 4 3" xfId="1812"/>
    <cellStyle name="Shade 4 3 2" xfId="1813"/>
    <cellStyle name="Shade 4 3 2 2" xfId="1814"/>
    <cellStyle name="Shade 4 3 3" xfId="1815"/>
    <cellStyle name="Shade 4 4" xfId="1816"/>
    <cellStyle name="Shade 4 4 2" xfId="1817"/>
    <cellStyle name="Shade 4 4 2 2" xfId="1818"/>
    <cellStyle name="Shade 4 4 3" xfId="1819"/>
    <cellStyle name="Shade 4 5" xfId="1820"/>
    <cellStyle name="Shade 5" xfId="1821"/>
    <cellStyle name="Shade 5 2" xfId="1822"/>
    <cellStyle name="Shade 6" xfId="1823"/>
    <cellStyle name="Shade_B_border2" xfId="1824"/>
    <cellStyle name="Standard 2" xfId="1825"/>
    <cellStyle name="Standard 2 2" xfId="1826"/>
    <cellStyle name="Standard 2 2 2" xfId="1827"/>
    <cellStyle name="Standard 2 2 2 2" xfId="1828"/>
    <cellStyle name="Standard 2 2 3" xfId="1829"/>
    <cellStyle name="Standard 2 3" xfId="1830"/>
    <cellStyle name="Standard 2 3 2" xfId="1831"/>
    <cellStyle name="Standard 2 4" xfId="1832"/>
    <cellStyle name="Status 1" xfId="1833"/>
    <cellStyle name="Status 1 2" xfId="1834"/>
    <cellStyle name="Status 18" xfId="1835"/>
    <cellStyle name="Text 1" xfId="1836"/>
    <cellStyle name="Text 1 2" xfId="1837"/>
    <cellStyle name="Text 19" xfId="1838"/>
    <cellStyle name="Texte explicatif 2" xfId="1839"/>
    <cellStyle name="Texte explicatif 2 2" xfId="1840"/>
    <cellStyle name="Title 2" xfId="1841"/>
    <cellStyle name="Title 2 2" xfId="1842"/>
    <cellStyle name="Title 3" xfId="1843"/>
    <cellStyle name="Title 3 2" xfId="1844"/>
    <cellStyle name="Total 2" xfId="1845"/>
    <cellStyle name="Total 2 2" xfId="1846"/>
    <cellStyle name="Total 2 2 2" xfId="1847"/>
    <cellStyle name="Total 2 2 2 2" xfId="1848"/>
    <cellStyle name="Total 2 2 3" xfId="1849"/>
    <cellStyle name="Total 2 3" xfId="1850"/>
    <cellStyle name="Total 2 3 2" xfId="1851"/>
    <cellStyle name="Total 2 3 2 2" xfId="1852"/>
    <cellStyle name="Total 2 3 3" xfId="1853"/>
    <cellStyle name="Total 2 4" xfId="1854"/>
    <cellStyle name="Total 2 4 2" xfId="1855"/>
    <cellStyle name="Total 2 4 2 2" xfId="1856"/>
    <cellStyle name="Total 2 4 3" xfId="1857"/>
    <cellStyle name="Total 2 5" xfId="1858"/>
    <cellStyle name="Total 2 5 2" xfId="1859"/>
    <cellStyle name="Total 2 6" xfId="1860"/>
    <cellStyle name="Total 3" xfId="1861"/>
    <cellStyle name="Total 3 2" xfId="1862"/>
    <cellStyle name="Total 3 2 2" xfId="1863"/>
    <cellStyle name="Total 3 2 2 2" xfId="1864"/>
    <cellStyle name="Total 3 2 3" xfId="1865"/>
    <cellStyle name="Total 3 3" xfId="1866"/>
    <cellStyle name="Total 3 3 2" xfId="1867"/>
    <cellStyle name="Total 3 3 2 2" xfId="1868"/>
    <cellStyle name="Total 3 3 3" xfId="1869"/>
    <cellStyle name="Total 3 4" xfId="1870"/>
    <cellStyle name="Total 3 4 2" xfId="1871"/>
    <cellStyle name="Total 3 4 2 2" xfId="1872"/>
    <cellStyle name="Total 3 4 3" xfId="1873"/>
    <cellStyle name="Total 3 5" xfId="1874"/>
    <cellStyle name="Total 3 5 2" xfId="1875"/>
    <cellStyle name="Total 3 6" xfId="1876"/>
    <cellStyle name="Überschrift" xfId="1877"/>
    <cellStyle name="Überschrift 1" xfId="1878"/>
    <cellStyle name="Überschrift 1 2" xfId="1879"/>
    <cellStyle name="Überschrift 2" xfId="1880"/>
    <cellStyle name="Überschrift 2 2" xfId="1881"/>
    <cellStyle name="Überschrift 3" xfId="1882"/>
    <cellStyle name="Überschrift 3 2" xfId="1883"/>
    <cellStyle name="Überschrift 4" xfId="1884"/>
    <cellStyle name="Überschrift 4 2" xfId="1885"/>
    <cellStyle name="Überschrift 5" xfId="1886"/>
    <cellStyle name="Variable1" xfId="1887"/>
    <cellStyle name="VariableG_3" xfId="1888"/>
    <cellStyle name="VariableW_3" xfId="1889"/>
    <cellStyle name="Verknüpfte Zelle" xfId="1890"/>
    <cellStyle name="Verknüpfte Zelle 2" xfId="1891"/>
    <cellStyle name="Warnender Text 2" xfId="1892"/>
    <cellStyle name="Warnender Text 2 2" xfId="1893"/>
    <cellStyle name="Warnender Text 3" xfId="1894"/>
    <cellStyle name="Warnender Text 3 2" xfId="1895"/>
    <cellStyle name="Warning 1" xfId="1896"/>
    <cellStyle name="Warning 1 2" xfId="1897"/>
    <cellStyle name="Warning 20" xfId="1898"/>
    <cellStyle name="Warning Text 2" xfId="1899"/>
    <cellStyle name="Warning Text 2 2" xfId="1900"/>
    <cellStyle name="Warning Text 3" xfId="1901"/>
    <cellStyle name="Warning Text 3 2" xfId="1902"/>
    <cellStyle name="Zelle überprüfen" xfId="1903"/>
    <cellStyle name="Zelle überprüfen 2" xfId="1904"/>
    <cellStyle name="Гиперссылка" xfId="1905"/>
    <cellStyle name="Гиперссылка 2" xfId="1906"/>
    <cellStyle name="Гиперссылка 2 2" xfId="1907"/>
    <cellStyle name="Гиперссылка 3" xfId="1908"/>
    <cellStyle name="Гиперссылка 3 2" xfId="1909"/>
    <cellStyle name="Гиперссылка 4" xfId="1910"/>
    <cellStyle name="Гиперссылка 4 2" xfId="1911"/>
    <cellStyle name="Гиперссылка 5" xfId="1912"/>
    <cellStyle name="Обычный_2++" xfId="19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1.xml"/><Relationship  Id="rId11" Type="http://schemas.openxmlformats.org/officeDocument/2006/relationships/worksheet" Target="worksheets/sheet9.xml"/><Relationship  Id="rId10" Type="http://schemas.openxmlformats.org/officeDocument/2006/relationships/worksheet" Target="worksheets/sheet8.xml"/><Relationship  Id="rId15" Type="http://schemas.openxmlformats.org/officeDocument/2006/relationships/sharedStrings" Target="sharedStrings.xml"/><Relationship  Id="rId9" Type="http://schemas.openxmlformats.org/officeDocument/2006/relationships/worksheet" Target="worksheets/sheet7.xml"/><Relationship  Id="rId8" Type="http://schemas.openxmlformats.org/officeDocument/2006/relationships/worksheet" Target="worksheets/sheet6.xml"/><Relationship  Id="rId7" Type="http://schemas.openxmlformats.org/officeDocument/2006/relationships/worksheet" Target="worksheets/sheet5.xml"/><Relationship  Id="rId14" Type="http://schemas.openxmlformats.org/officeDocument/2006/relationships/theme" Target="theme/theme1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16" Type="http://schemas.openxmlformats.org/officeDocument/2006/relationships/styles" Target="styles.xml"/><Relationship  Id="rId4" Type="http://schemas.openxmlformats.org/officeDocument/2006/relationships/worksheet" Target="worksheets/sheet2.xml"/><Relationship  Id="rId12" Type="http://schemas.openxmlformats.org/officeDocument/2006/relationships/worksheet" Target="worksheets/sheet10.xml"/><Relationship  Id="rId3" Type="http://schemas.openxmlformats.org/officeDocument/2006/relationships/worksheet" Target="worksheets/sheet1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Evolution des niveaux de production (indice 2019)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16323296355006"/>
          <c:y val="0.139281970649895"/>
          <c:w val="0.87847860538827305"/>
          <c:h val="0.661163522012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IGCE!$B$99</c:f>
              <c:strCache>
                <c:ptCount val="1"/>
                <c:pt idx="0">
                  <c:v xml:space="preserve">IGCE AME</c:v>
                </c:pt>
              </c:strCache>
            </c:strRef>
          </c:tx>
          <c:spPr bwMode="auto">
            <a:prstGeom prst="rect">
              <a:avLst/>
            </a:prstGeom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5B9BD5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IGCE!$C$77:$J$77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IGCE!$C$93:$J$93</c:f>
              <c:numCache>
                <c:formatCode>0.00</c:formatCode>
                <c:ptCount val="8"/>
                <c:pt idx="0">
                  <c:v>1</c:v>
                </c:pt>
                <c:pt idx="1">
                  <c:v>0.8574902021959638</c:v>
                </c:pt>
                <c:pt idx="2">
                  <c:v>0.9974844456520985</c:v>
                </c:pt>
                <c:pt idx="3">
                  <c:v>0.9953881503621805</c:v>
                </c:pt>
                <c:pt idx="4">
                  <c:v>0.9901374097039686</c:v>
                </c:pt>
                <c:pt idx="5">
                  <c:v>0.9848866690457564</c:v>
                </c:pt>
                <c:pt idx="6">
                  <c:v>0.9796359283875442</c:v>
                </c:pt>
                <c:pt idx="7">
                  <c:v>0.9743851877293322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IGCE!$B$101</c:f>
              <c:strCache>
                <c:ptCount val="1"/>
                <c:pt idx="0">
                  <c:v xml:space="preserve">Diffus AME</c:v>
                </c:pt>
              </c:strCache>
            </c:strRef>
          </c:tx>
          <c:spPr bwMode="auto">
            <a:prstGeom prst="rect">
              <a:avLst/>
            </a:prstGeom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ED7D31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Diffus!$C$62:$J$62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Diffus!$C$73:$J$73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0.8534692491397942</c:v>
                </c:pt>
                <c:pt idx="2">
                  <c:v>0.8602317343222535</c:v>
                </c:pt>
                <c:pt idx="3">
                  <c:v>0.8503204311470851</c:v>
                </c:pt>
                <c:pt idx="4">
                  <c:v>0.849460493623195</c:v>
                </c:pt>
                <c:pt idx="5">
                  <c:v>0.8651110370560713</c:v>
                </c:pt>
                <c:pt idx="6">
                  <c:v>0.8848194175014588</c:v>
                </c:pt>
                <c:pt idx="7">
                  <c:v>0.897947968428444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9026547"/>
        <c:axId val="99032504"/>
      </c:scatterChart>
      <c:valAx>
        <c:axId val="3902654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9032504"/>
        <c:crosses val="autoZero"/>
        <c:crossBetween val="midCat"/>
      </c:valAx>
      <c:valAx>
        <c:axId val="99032504"/>
        <c:scaling>
          <c:orientation val="minMax"/>
          <c:min val="0.5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9026547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1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Ethylène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areaChart>
        <c:grouping val="standard"/>
        <c:varyColors val="1"/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2721353"/>
        <c:axId val="66207493"/>
      </c:areaChart>
      <c:catAx>
        <c:axId val="327213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207493"/>
        <c:crosses val="autoZero"/>
        <c:auto val="1"/>
        <c:lblAlgn val="ctr"/>
        <c:lblOffset val="100"/>
        <c:noMultiLvlLbl val="1"/>
      </c:catAx>
      <c:valAx>
        <c:axId val="6620749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Mt consommation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272135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1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Papier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areaChart>
        <c:grouping val="standard"/>
        <c:varyColors val="1"/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6112783"/>
        <c:axId val="22983944"/>
      </c:areaChart>
      <c:catAx>
        <c:axId val="16112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2983944"/>
        <c:crosses val="autoZero"/>
        <c:auto val="1"/>
        <c:lblAlgn val="ctr"/>
        <c:lblOffset val="100"/>
        <c:noMultiLvlLbl val="1"/>
      </c:catAx>
      <c:valAx>
        <c:axId val="229839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Mt consommation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611278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1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Sucre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areaChart>
        <c:grouping val="standard"/>
        <c:varyColors val="1"/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7670140"/>
        <c:axId val="85409923"/>
      </c:areaChart>
      <c:catAx>
        <c:axId val="676701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5409923"/>
        <c:crosses val="autoZero"/>
        <c:auto val="1"/>
        <c:lblAlgn val="ctr"/>
        <c:lblOffset val="100"/>
        <c:noMultiLvlLbl val="1"/>
      </c:catAx>
      <c:valAx>
        <c:axId val="8540992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Mt consommation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767014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CCS en AME</a:t>
            </a:r>
            <a:endParaRPr/>
          </a:p>
        </c:rich>
      </c:tx>
      <c:layout>
        <c:manualLayout>
          <c:xMode val="edge"/>
          <c:yMode val="edge"/>
          <c:x val="0.39672003123779798"/>
          <c:y val="0.051006590232012303"/>
        </c:manualLayout>
      </c:layout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97210910917"/>
          <c:y val="0.051006590232012303"/>
          <c:w val="0.80772019858314303"/>
          <c:h val="0.586891757696127"/>
        </c:manualLayout>
      </c:layout>
      <c:areaChart>
        <c:grouping val="stacked"/>
        <c:varyColors val="1"/>
        <c:ser>
          <c:idx val="0"/>
          <c:order val="0"/>
          <c:tx>
            <c:strRef>
              <c:f xml:space="preserve">'6. CCUS'!$B$7</c:f>
              <c:strCache>
                <c:ptCount val="1"/>
                <c:pt idx="0">
                  <c:v xml:space="preserve">Métaux primaires</c:v>
                </c:pt>
              </c:strCache>
            </c:strRef>
          </c:tx>
          <c:spPr bwMode="auto">
            <a:prstGeom prst="rect">
              <a:avLst/>
            </a:prstGeom>
            <a:solidFill>
              <a:srgbClr val="5B9BD5"/>
            </a:solidFill>
            <a:ln w="25560">
              <a:noFill/>
            </a:ln>
          </c:spPr>
          <c:dLbls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val>
            <c:numRef>
              <c:f xml:space="preserve">'6. CCUS'!$D$7:$I$7</c:f>
              <c:numCache>
                <c:formatCode xml:space="preserve">#\ ##0.0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 xml:space="preserve">'6. CCUS'!$B$11</c:f>
              <c:strCache>
                <c:ptCount val="1"/>
                <c:pt idx="0">
                  <c:v>Chimie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D7D31"/>
            </a:solidFill>
            <a:ln w="25560">
              <a:noFill/>
            </a:ln>
          </c:spPr>
          <c:dLbls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val>
            <c:numRef>
              <c:f xml:space="preserve">'6. CCUS'!$D$11:$I$11</c:f>
              <c:numCache>
                <c:formatCode xml:space="preserve">#\ ##0.0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</c:numCache>
            </c:numRef>
          </c:val>
        </c:ser>
        <c:ser>
          <c:idx val="2"/>
          <c:order val="2"/>
          <c:tx>
            <c:strRef>
              <c:f xml:space="preserve">'6. CCUS'!$B$15</c:f>
              <c:strCache>
                <c:ptCount val="1"/>
                <c:pt idx="0">
                  <c:v>Non-métalliques</c:v>
                </c:pt>
              </c:strCache>
            </c:strRef>
          </c:tx>
          <c:spPr bwMode="auto">
            <a:prstGeom prst="rect">
              <a:avLst/>
            </a:prstGeom>
            <a:solidFill>
              <a:srgbClr val="A5A5A5"/>
            </a:solidFill>
            <a:ln w="25560">
              <a:noFill/>
            </a:ln>
          </c:spPr>
          <c:dLbls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val>
            <c:numRef>
              <c:f xml:space="preserve">'6. CCUS'!$D$15:$I$15</c:f>
              <c:numCache>
                <c:formatCode xml:space="preserve">#\ ##0.0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9118024"/>
        <c:axId val="22376809"/>
      </c:areaChart>
      <c:catAx>
        <c:axId val="4911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2376809"/>
        <c:crosses val="autoZero"/>
        <c:auto val="1"/>
        <c:lblAlgn val="ctr"/>
        <c:lblOffset val="100"/>
        <c:noMultiLvlLbl val="1"/>
      </c:catAx>
      <c:valAx>
        <c:axId val="2237680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MtCO2 évité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#\ ##0.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911802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47728579643473303"/>
          <c:y val="0.74555349084151801"/>
          <c:w val="0.88785737758790695"/>
          <c:h val="0.22647019779636299"/>
        </c:manualLayout>
      </c:layout>
      <c:overlay val="1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Sorties Pepit0 corrigées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5B9BD5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1</c:f>
              <c:numCache>
                <c:formatCode>General</c:formatCode>
                <c:ptCount val="5"/>
                <c:pt idx="0">
                  <c:v>2014</c:v>
                </c:pt>
                <c:pt idx="1">
                  <c:v>2019</c:v>
                </c:pt>
                <c:pt idx="2">
                  <c:v>2030</c:v>
                </c:pt>
                <c:pt idx="3">
                  <c:v>2049</c:v>
                </c:pt>
                <c:pt idx="4">
                  <c:v>2050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12.4527173934811</c:v>
                </c:pt>
                <c:pt idx="1">
                  <c:v>12.2408839708569</c:v>
                </c:pt>
                <c:pt idx="2">
                  <c:v>12.2044491410871</c:v>
                </c:pt>
                <c:pt idx="3">
                  <c:v>12.8300796468782</c:v>
                </c:pt>
                <c:pt idx="4">
                  <c:v>12.8736511463258</c:v>
                </c:pt>
              </c:numCache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ED7D31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3</c:f>
              <c:numCache>
                <c:formatCode>General</c:formatCode>
                <c:ptCount val="5"/>
                <c:pt idx="0">
                  <c:v>2014</c:v>
                </c:pt>
                <c:pt idx="1">
                  <c:v>2019</c:v>
                </c:pt>
                <c:pt idx="2">
                  <c:v>2030</c:v>
                </c:pt>
                <c:pt idx="3">
                  <c:v>2049</c:v>
                </c:pt>
                <c:pt idx="4">
                  <c:v>2050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"/>
                <c:pt idx="0">
                  <c:v>1.36665209900678</c:v>
                </c:pt>
                <c:pt idx="1">
                  <c:v>1.44198859471018</c:v>
                </c:pt>
                <c:pt idx="2">
                  <c:v>1.66683448560948</c:v>
                </c:pt>
                <c:pt idx="3">
                  <c:v>2.17546638036441</c:v>
                </c:pt>
                <c:pt idx="4">
                  <c:v>2.1982920991902</c:v>
                </c:pt>
              </c:numCache>
            </c:numRef>
          </c:yVal>
          <c:smooth val="1"/>
        </c:ser>
        <c:ser>
          <c:idx val="2"/>
          <c:order val="2"/>
          <c:spPr bwMode="auto">
            <a:prstGeom prst="rect">
              <a:avLst/>
            </a:prstGeom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A5A5A5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5</c:f>
              <c:numCache>
                <c:formatCode>General</c:formatCode>
                <c:ptCount val="5"/>
                <c:pt idx="0">
                  <c:v>2014</c:v>
                </c:pt>
                <c:pt idx="1">
                  <c:v>2019</c:v>
                </c:pt>
                <c:pt idx="2">
                  <c:v>2030</c:v>
                </c:pt>
                <c:pt idx="3">
                  <c:v>2049</c:v>
                </c:pt>
                <c:pt idx="4">
                  <c:v>2050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"/>
                <c:pt idx="0">
                  <c:v>4.930893985492</c:v>
                </c:pt>
                <c:pt idx="1">
                  <c:v>4.87707639308892</c:v>
                </c:pt>
                <c:pt idx="2">
                  <c:v>4.84508187945277</c:v>
                </c:pt>
                <c:pt idx="3">
                  <c:v>4.2149945500939</c:v>
                </c:pt>
                <c:pt idx="4">
                  <c:v>4.17107339889946</c:v>
                </c:pt>
              </c:numCache>
            </c:numRef>
          </c:yVal>
          <c:smooth val="1"/>
        </c:ser>
        <c:ser>
          <c:idx val="3"/>
          <c:order val="3"/>
          <c:spPr bwMode="auto">
            <a:prstGeom prst="rect">
              <a:avLst/>
            </a:prstGeom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C000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7</c:f>
              <c:numCache>
                <c:formatCode>General</c:formatCode>
                <c:ptCount val="5"/>
                <c:pt idx="0">
                  <c:v>2014</c:v>
                </c:pt>
                <c:pt idx="1">
                  <c:v>2019</c:v>
                </c:pt>
                <c:pt idx="2">
                  <c:v>2030</c:v>
                </c:pt>
                <c:pt idx="3">
                  <c:v>2049</c:v>
                </c:pt>
                <c:pt idx="4">
                  <c:v>2050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5"/>
                <c:pt idx="0">
                  <c:v>13.3075467951616</c:v>
                </c:pt>
                <c:pt idx="1">
                  <c:v>12.3783057421263</c:v>
                </c:pt>
                <c:pt idx="2">
                  <c:v>11.5361680072023</c:v>
                </c:pt>
                <c:pt idx="3">
                  <c:v>9.04295694971836</c:v>
                </c:pt>
                <c:pt idx="4">
                  <c:v>8.90453761332428</c:v>
                </c:pt>
              </c:numCache>
            </c:numRef>
          </c:yVal>
          <c:smooth val="1"/>
        </c:ser>
        <c:ser>
          <c:idx val="4"/>
          <c:order val="4"/>
          <c:spPr bwMode="auto">
            <a:prstGeom prst="rect">
              <a:avLst/>
            </a:prstGeom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4472C4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9</c:f>
              <c:numCache>
                <c:formatCode>General</c:formatCode>
                <c:ptCount val="5"/>
                <c:pt idx="0">
                  <c:v>2014</c:v>
                </c:pt>
                <c:pt idx="1">
                  <c:v>2019</c:v>
                </c:pt>
                <c:pt idx="2">
                  <c:v>2030</c:v>
                </c:pt>
                <c:pt idx="3">
                  <c:v>2049</c:v>
                </c:pt>
                <c:pt idx="4">
                  <c:v>2050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5"/>
                <c:pt idx="0">
                  <c:v>2.15476227413165</c:v>
                </c:pt>
                <c:pt idx="1">
                  <c:v>2.09748049504575</c:v>
                </c:pt>
                <c:pt idx="2">
                  <c:v>2.10426748385997</c:v>
                </c:pt>
                <c:pt idx="3">
                  <c:v>2.02719770135226</c:v>
                </c:pt>
                <c:pt idx="4">
                  <c:v>1.99452863378453</c:v>
                </c:pt>
              </c:numCache>
            </c:numRef>
          </c:yVal>
          <c:smooth val="1"/>
        </c:ser>
        <c:ser>
          <c:idx val="5"/>
          <c:order val="5"/>
          <c:spPr bwMode="auto">
            <a:prstGeom prst="rect">
              <a:avLst/>
            </a:prstGeom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70AD47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11</c:f>
              <c:numCache>
                <c:formatCode>General</c:formatCode>
                <c:ptCount val="5"/>
                <c:pt idx="0">
                  <c:v>2014</c:v>
                </c:pt>
                <c:pt idx="1">
                  <c:v>2019</c:v>
                </c:pt>
                <c:pt idx="2">
                  <c:v>2030</c:v>
                </c:pt>
                <c:pt idx="3">
                  <c:v>2049</c:v>
                </c:pt>
                <c:pt idx="4">
                  <c:v>2050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5"/>
                <c:pt idx="0">
                  <c:v>1.12758378603706</c:v>
                </c:pt>
                <c:pt idx="1">
                  <c:v>1.10705175708877</c:v>
                </c:pt>
                <c:pt idx="2">
                  <c:v>1.09601591079652</c:v>
                </c:pt>
                <c:pt idx="3">
                  <c:v>1.03196539431882</c:v>
                </c:pt>
                <c:pt idx="4">
                  <c:v>1.03723403419358</c:v>
                </c:pt>
              </c:numCache>
            </c:numRef>
          </c:yVal>
          <c:smooth val="1"/>
        </c:ser>
        <c:ser>
          <c:idx val="6"/>
          <c:order val="6"/>
          <c:spPr bwMode="auto">
            <a:prstGeom prst="rect">
              <a:avLst/>
            </a:prstGeom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255E91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13</c:f>
              <c:numCache>
                <c:formatCode>General</c:formatCode>
                <c:ptCount val="5"/>
                <c:pt idx="0">
                  <c:v>2014</c:v>
                </c:pt>
                <c:pt idx="1">
                  <c:v>2019</c:v>
                </c:pt>
                <c:pt idx="2">
                  <c:v>2030</c:v>
                </c:pt>
                <c:pt idx="3">
                  <c:v>2049</c:v>
                </c:pt>
                <c:pt idx="4">
                  <c:v>2050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5"/>
                <c:pt idx="0">
                  <c:v>3.20181831480176</c:v>
                </c:pt>
                <c:pt idx="1">
                  <c:v>3.1799100639803</c:v>
                </c:pt>
                <c:pt idx="2">
                  <c:v>2.65914483030662</c:v>
                </c:pt>
                <c:pt idx="3">
                  <c:v>1.80539366213277</c:v>
                </c:pt>
                <c:pt idx="4">
                  <c:v>1.78352147372043</c:v>
                </c:pt>
              </c:numCache>
            </c:numRef>
          </c:yVal>
          <c:smooth val="1"/>
        </c:ser>
        <c:ser>
          <c:idx val="7"/>
          <c:order val="7"/>
          <c:spPr bwMode="auto">
            <a:prstGeom prst="rect">
              <a:avLst/>
            </a:prstGeom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9E480E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15</c:f>
              <c:numCache>
                <c:formatCode>General</c:formatCode>
                <c:ptCount val="5"/>
                <c:pt idx="0">
                  <c:v>2014</c:v>
                </c:pt>
                <c:pt idx="1">
                  <c:v>2019</c:v>
                </c:pt>
                <c:pt idx="2">
                  <c:v>2030</c:v>
                </c:pt>
                <c:pt idx="3">
                  <c:v>2049</c:v>
                </c:pt>
                <c:pt idx="4">
                  <c:v>2050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5"/>
                <c:pt idx="0">
                  <c:v>8.346785</c:v>
                </c:pt>
                <c:pt idx="1">
                  <c:v>8.70201444020688</c:v>
                </c:pt>
                <c:pt idx="2">
                  <c:v>9.69057548004334</c:v>
                </c:pt>
                <c:pt idx="3">
                  <c:v>11.8869397245083</c:v>
                </c:pt>
                <c:pt idx="4">
                  <c:v>11.9739473610109</c:v>
                </c:pt>
              </c:numCache>
            </c:numRef>
          </c:yVal>
          <c:smooth val="1"/>
        </c:ser>
        <c:ser>
          <c:idx val="8"/>
          <c:order val="8"/>
          <c:spPr bwMode="auto">
            <a:prstGeom prst="rect">
              <a:avLst/>
            </a:prstGeom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636363"/>
              </a:solidFill>
            </c:spPr>
          </c:marker>
          <c:dLbls>
            <c:dLblPos val="r"/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</c:dLbls>
          <c:xVal>
            <c:numRef>
              <c:f>17</c:f>
              <c:numCache>
                <c:formatCode>General</c:formatCode>
                <c:ptCount val="5"/>
                <c:pt idx="0">
                  <c:v>2014</c:v>
                </c:pt>
                <c:pt idx="1">
                  <c:v>2019</c:v>
                </c:pt>
                <c:pt idx="2">
                  <c:v>2030</c:v>
                </c:pt>
                <c:pt idx="3">
                  <c:v>2049</c:v>
                </c:pt>
                <c:pt idx="4">
                  <c:v>2050</c:v>
                </c:pt>
              </c:numCache>
            </c:numRef>
          </c:xVal>
          <c:yVal>
            <c:numRef>
              <c:f>16</c:f>
              <c:numCache>
                <c:formatCode>General</c:formatCode>
                <c:ptCount val="5"/>
                <c:pt idx="0">
                  <c:v>3.75976923076923</c:v>
                </c:pt>
                <c:pt idx="1">
                  <c:v>3.77152220596044</c:v>
                </c:pt>
                <c:pt idx="2">
                  <c:v>3.88205635140168</c:v>
                </c:pt>
                <c:pt idx="3">
                  <c:v>4.00884414714758</c:v>
                </c:pt>
                <c:pt idx="4">
                  <c:v>4.01549445127256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88271340"/>
        <c:axId val="25125603"/>
      </c:scatterChart>
      <c:valAx>
        <c:axId val="882713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5125603"/>
        <c:crosses val="autoZero"/>
        <c:crossBetween val="midCat"/>
      </c:valAx>
      <c:valAx>
        <c:axId val="2512560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Mt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827134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1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ACIER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areaChart>
        <c:grouping val="standard"/>
        <c:varyColors val="1"/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9382066"/>
        <c:axId val="75212325"/>
      </c:areaChart>
      <c:catAx>
        <c:axId val="993820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5212325"/>
        <c:crosses val="autoZero"/>
        <c:auto val="1"/>
        <c:lblAlgn val="ctr"/>
        <c:lblOffset val="100"/>
        <c:noMultiLvlLbl val="1"/>
      </c:catAx>
      <c:valAx>
        <c:axId val="7521232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Mt consommation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938206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1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ALUMINIUM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areaChart>
        <c:grouping val="standard"/>
        <c:varyColors val="1"/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7853463"/>
        <c:axId val="61759995"/>
      </c:areaChart>
      <c:catAx>
        <c:axId val="67853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759995"/>
        <c:crosses val="autoZero"/>
        <c:auto val="1"/>
        <c:lblAlgn val="ctr"/>
        <c:lblOffset val="100"/>
        <c:noMultiLvlLbl val="1"/>
      </c:catAx>
      <c:valAx>
        <c:axId val="6175999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Mt consommation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785346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1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VERRE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areaChart>
        <c:grouping val="standard"/>
        <c:varyColors val="1"/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2450866"/>
        <c:axId val="52890474"/>
      </c:areaChart>
      <c:catAx>
        <c:axId val="624508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2890474"/>
        <c:crosses val="autoZero"/>
        <c:auto val="1"/>
        <c:lblAlgn val="ctr"/>
        <c:lblOffset val="100"/>
        <c:noMultiLvlLbl val="1"/>
      </c:catAx>
      <c:valAx>
        <c:axId val="528904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Mt consommation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245086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1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CLINKER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areaChart>
        <c:grouping val="standard"/>
        <c:varyColors val="1"/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77106618"/>
        <c:axId val="50993141"/>
      </c:areaChart>
      <c:catAx>
        <c:axId val="771066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0993141"/>
        <c:crosses val="autoZero"/>
        <c:auto val="1"/>
        <c:lblAlgn val="ctr"/>
        <c:lblOffset val="100"/>
        <c:noMultiLvlLbl val="1"/>
      </c:catAx>
      <c:valAx>
        <c:axId val="5099314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Mt consommation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710661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1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AMMONIAC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areaChart>
        <c:grouping val="standard"/>
        <c:varyColors val="1"/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9826095"/>
        <c:axId val="60772009"/>
      </c:areaChart>
      <c:catAx>
        <c:axId val="6982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0772009"/>
        <c:crosses val="autoZero"/>
        <c:auto val="1"/>
        <c:lblAlgn val="ctr"/>
        <c:lblOffset val="100"/>
        <c:noMultiLvlLbl val="1"/>
      </c:catAx>
      <c:valAx>
        <c:axId val="6077200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Mt consommation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9826095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1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DICHLORE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areaChart>
        <c:grouping val="standard"/>
        <c:varyColors val="1"/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9601034"/>
        <c:axId val="84813062"/>
      </c:areaChart>
      <c:catAx>
        <c:axId val="496010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4813062"/>
        <c:crosses val="autoZero"/>
        <c:auto val="1"/>
        <c:lblAlgn val="ctr"/>
        <c:lblOffset val="100"/>
        <c:noMultiLvlLbl val="1"/>
      </c:catAx>
      <c:valAx>
        <c:axId val="848130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Mt consommation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960103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chart" Target="../charts/chart4.xml" /><Relationship Id="rId3" Type="http://schemas.openxmlformats.org/officeDocument/2006/relationships/chart" Target="../charts/chart5.xml" /><Relationship Id="rId4" Type="http://schemas.openxmlformats.org/officeDocument/2006/relationships/chart" Target="../charts/chart6.xml" /><Relationship Id="rId5" Type="http://schemas.openxmlformats.org/officeDocument/2006/relationships/chart" Target="../charts/chart7.xml" /><Relationship Id="rId6" Type="http://schemas.openxmlformats.org/officeDocument/2006/relationships/chart" Target="../charts/chart8.xml" /><Relationship Id="rId7" Type="http://schemas.openxmlformats.org/officeDocument/2006/relationships/chart" Target="../charts/chart9.xml" /><Relationship Id="rId8" Type="http://schemas.openxmlformats.org/officeDocument/2006/relationships/chart" Target="../charts/chart10.xml" /><Relationship Id="rId9" Type="http://schemas.openxmlformats.org/officeDocument/2006/relationships/chart" Target="../charts/chart11.xml" /><Relationship Id="rId10" Type="http://schemas.openxmlformats.org/officeDocument/2006/relationships/chart" Target="../charts/chart1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669599</xdr:colOff>
      <xdr:row>94</xdr:row>
      <xdr:rowOff>165599</xdr:rowOff>
    </xdr:from>
    <xdr:to>
      <xdr:col>7</xdr:col>
      <xdr:colOff>12240</xdr:colOff>
      <xdr:row>109</xdr:row>
      <xdr:rowOff>169560</xdr:rowOff>
    </xdr:to>
    <xdr:graphicFrame>
      <xdr:nvGraphicFramePr>
        <xdr:cNvPr id="2" name="Graphique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703080</xdr:colOff>
      <xdr:row>73</xdr:row>
      <xdr:rowOff>27000</xdr:rowOff>
    </xdr:from>
    <xdr:to>
      <xdr:col>6</xdr:col>
      <xdr:colOff>663840</xdr:colOff>
      <xdr:row>94</xdr:row>
      <xdr:rowOff>173880</xdr:rowOff>
    </xdr:to>
    <xdr:graphicFrame>
      <xdr:nvGraphicFramePr>
        <xdr:cNvPr id="16" name="Graphique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42</xdr:col>
      <xdr:colOff>255240</xdr:colOff>
      <xdr:row>3</xdr:row>
      <xdr:rowOff>130320</xdr:rowOff>
    </xdr:from>
    <xdr:to>
      <xdr:col>57</xdr:col>
      <xdr:colOff>656640</xdr:colOff>
      <xdr:row>35</xdr:row>
      <xdr:rowOff>106199</xdr:rowOff>
    </xdr:to>
    <xdr:graphicFrame>
      <xdr:nvGraphicFramePr>
        <xdr:cNvPr id="17" name="Graphique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110880</xdr:colOff>
      <xdr:row>56</xdr:row>
      <xdr:rowOff>27000</xdr:rowOff>
    </xdr:from>
    <xdr:to>
      <xdr:col>13</xdr:col>
      <xdr:colOff>75239</xdr:colOff>
      <xdr:row>92</xdr:row>
      <xdr:rowOff>13680</xdr:rowOff>
    </xdr:to>
    <xdr:graphicFrame>
      <xdr:nvGraphicFramePr>
        <xdr:cNvPr id="18" name="Graphique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166320</xdr:colOff>
      <xdr:row>56</xdr:row>
      <xdr:rowOff>15119</xdr:rowOff>
    </xdr:from>
    <xdr:to>
      <xdr:col>25</xdr:col>
      <xdr:colOff>130680</xdr:colOff>
      <xdr:row>92</xdr:row>
      <xdr:rowOff>1800</xdr:rowOff>
    </xdr:to>
    <xdr:graphicFrame>
      <xdr:nvGraphicFramePr>
        <xdr:cNvPr id="19" name="Graphique 4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348120</xdr:colOff>
      <xdr:row>56</xdr:row>
      <xdr:rowOff>15119</xdr:rowOff>
    </xdr:from>
    <xdr:to>
      <xdr:col>37</xdr:col>
      <xdr:colOff>312480</xdr:colOff>
      <xdr:row>92</xdr:row>
      <xdr:rowOff>1800</xdr:rowOff>
    </xdr:to>
    <xdr:graphicFrame>
      <xdr:nvGraphicFramePr>
        <xdr:cNvPr id="20" name="Graphique 5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544320</xdr:colOff>
      <xdr:row>56</xdr:row>
      <xdr:rowOff>45360</xdr:rowOff>
    </xdr:from>
    <xdr:to>
      <xdr:col>43</xdr:col>
      <xdr:colOff>508680</xdr:colOff>
      <xdr:row>92</xdr:row>
      <xdr:rowOff>32039</xdr:rowOff>
    </xdr:to>
    <xdr:graphicFrame>
      <xdr:nvGraphicFramePr>
        <xdr:cNvPr id="21" name="Graphique 6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665280</xdr:colOff>
      <xdr:row>56</xdr:row>
      <xdr:rowOff>30239</xdr:rowOff>
    </xdr:from>
    <xdr:to>
      <xdr:col>43</xdr:col>
      <xdr:colOff>630000</xdr:colOff>
      <xdr:row>92</xdr:row>
      <xdr:rowOff>16919</xdr:rowOff>
    </xdr:to>
    <xdr:graphicFrame>
      <xdr:nvGraphicFramePr>
        <xdr:cNvPr id="22" name="Graphique 7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106199</xdr:colOff>
      <xdr:row>91</xdr:row>
      <xdr:rowOff>0</xdr:rowOff>
    </xdr:from>
    <xdr:to>
      <xdr:col>13</xdr:col>
      <xdr:colOff>70560</xdr:colOff>
      <xdr:row>126</xdr:row>
      <xdr:rowOff>161999</xdr:rowOff>
    </xdr:to>
    <xdr:graphicFrame>
      <xdr:nvGraphicFramePr>
        <xdr:cNvPr id="23" name="Graphique 8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13</xdr:col>
      <xdr:colOff>105840</xdr:colOff>
      <xdr:row>91</xdr:row>
      <xdr:rowOff>0</xdr:rowOff>
    </xdr:from>
    <xdr:to>
      <xdr:col>25</xdr:col>
      <xdr:colOff>70200</xdr:colOff>
      <xdr:row>126</xdr:row>
      <xdr:rowOff>161999</xdr:rowOff>
    </xdr:to>
    <xdr:graphicFrame>
      <xdr:nvGraphicFramePr>
        <xdr:cNvPr id="24" name="Graphique 9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332999</xdr:colOff>
      <xdr:row>90</xdr:row>
      <xdr:rowOff>136440</xdr:rowOff>
    </xdr:from>
    <xdr:to>
      <xdr:col>37</xdr:col>
      <xdr:colOff>297360</xdr:colOff>
      <xdr:row>126</xdr:row>
      <xdr:rowOff>124560</xdr:rowOff>
    </xdr:to>
    <xdr:graphicFrame>
      <xdr:nvGraphicFramePr>
        <xdr:cNvPr id="25" name="Graphique 10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31</xdr:col>
      <xdr:colOff>529200</xdr:colOff>
      <xdr:row>91</xdr:row>
      <xdr:rowOff>60479</xdr:rowOff>
    </xdr:from>
    <xdr:to>
      <xdr:col>43</xdr:col>
      <xdr:colOff>493559</xdr:colOff>
      <xdr:row>127</xdr:row>
      <xdr:rowOff>47160</xdr:rowOff>
    </xdr:to>
    <xdr:graphicFrame>
      <xdr:nvGraphicFramePr>
        <xdr:cNvPr id="26" name="Graphique 1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C:/Users/gwenael.podesta/Downloads/Donnees_historiques_industries_v2.xlsm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423_Mod&#233;lisations/4237_PEPIT0%20Ademe/Outil%20PEPIT0_production%20industrielle_ADEME_AM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ypothèses de calcul"/>
      <sheetName val="Dataset"/>
      <sheetName val="Dataset yearly"/>
      <sheetName val="Sheet3"/>
      <sheetName val="Calculs_intermediaires"/>
      <sheetName val="Segmentation retenue"/>
      <sheetName val="DGEC Conso"/>
      <sheetName val="Odyssee"/>
      <sheetName val="Odyssee data"/>
      <sheetName val="Intro"/>
      <sheetName val="Bilan ENG"/>
      <sheetName val="Calcul_hypothe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sp_Evolution Imp ExpNEW"/>
      <sheetName val="Trsp_ParamètresNEW"/>
      <sheetName val="MENU"/>
      <sheetName val="Biblio"/>
      <sheetName val="TDB"/>
      <sheetName val="Liste scenarios"/>
      <sheetName val="Hypo"/>
      <sheetName val="Scenarios"/>
      <sheetName val="TCD résultats"/>
      <sheetName val="Res_bdd"/>
      <sheetName val="Tables_Res_bdd"/>
      <sheetName val="Calcul_hypotheses"/>
      <sheetName val="Carto_2014 "/>
      <sheetName val="Carto 2014 (%)"/>
      <sheetName val="DIF"/>
      <sheetName val="Simul"/>
      <sheetName val="Graphiques_globaux"/>
      <sheetName val="Graphique_par_materiau"/>
      <sheetName val="Graphique_par_usage"/>
      <sheetName val="RES_annuels"/>
      <sheetName val="MatBat"/>
      <sheetName val="MatTP"/>
      <sheetName val="PAP"/>
      <sheetName val="Emballage_Resultats"/>
      <sheetName val="NRJ_Resultats"/>
      <sheetName val="Trsp_Resultats"/>
      <sheetName val="BTP_Resultats"/>
      <sheetName val="NH3"/>
      <sheetName val="Cl2"/>
      <sheetName val="SUC"/>
      <sheetName val="Etat carto"/>
      <sheetName val="Matrice cartographie 2014 (MR)"/>
      <sheetName val="NRJ_RAW ecoinvent"/>
      <sheetName val="NRJ_Bilan matiere"/>
      <sheetName val="Trsp_Evolution Imp Exp"/>
      <sheetName val="Trsp_Bilan matiere"/>
      <sheetName val="Trsp_Bilan Imp Exp"/>
      <sheetName val="Trsp_EUROSTAT 2014"/>
      <sheetName val="Trsp_RAW ecoinvent"/>
      <sheetName val="Listes"/>
      <sheetName val="SnW"/>
      <sheetName val="SourcesAutre"/>
      <sheetName val="Clinker"/>
      <sheetName val="Vérif Clinker"/>
      <sheetName val="SourcesBat"/>
      <sheetName val="Sources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2" Type="http://schemas.openxmlformats.org/officeDocument/2006/relationships/drawing" Target="../drawings/drawing2.xml"/><Relationship  Id="rId1" Type="http://schemas.openxmlformats.org/officeDocument/2006/relationships/hyperlink" Target="https://www.legifrance.gouv.fr/jorf/id/JORFTEXT000044319595" TargetMode="Externa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dpi.com/1996-1073/14/16/5152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dpi.com/1996-1073/14/16/51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2A6099"/>
    <outlinePr applyStyles="0" summaryBelow="1" summaryRight="1" showOutlineSymbols="1"/>
    <pageSetUpPr autoPageBreaks="1" fitToPage="0"/>
  </sheetPr>
  <sheetViews>
    <sheetView zoomScale="95" workbookViewId="0">
      <selection activeCell="R8" activeCellId="0" sqref="R8"/>
    </sheetView>
  </sheetViews>
  <sheetFormatPr baseColWidth="10" defaultColWidth="8.88671875" defaultRowHeight="14"/>
  <cols>
    <col customWidth="1" min="1" max="1" style="1" width="8.44140625"/>
    <col customWidth="1" min="2" max="2" style="1" width="27.88671875"/>
    <col customWidth="1" min="3" max="1018" style="1" width="8.44140625"/>
    <col customWidth="1" min="1019" max="1025" width="8.88671875"/>
  </cols>
  <sheetData>
    <row r="2">
      <c r="B2" s="2" t="s">
        <v>0</v>
      </c>
      <c r="C2" s="2"/>
      <c r="D2" s="2"/>
      <c r="E2" s="2"/>
      <c r="F2" s="2"/>
      <c r="G2" s="2"/>
    </row>
    <row r="4">
      <c r="B4" s="3" t="s">
        <v>1</v>
      </c>
      <c r="C4" s="3"/>
    </row>
    <row r="5">
      <c r="E5" s="4"/>
      <c r="F5" s="4"/>
      <c r="G5" s="4"/>
      <c r="H5" s="4"/>
      <c r="I5" s="4"/>
    </row>
    <row r="6">
      <c r="C6" s="5" t="s">
        <v>2</v>
      </c>
      <c r="D6" s="5"/>
      <c r="E6" s="5"/>
      <c r="F6" s="5"/>
      <c r="G6" s="5"/>
      <c r="H6" s="5"/>
      <c r="I6" s="5" t="s">
        <v>3</v>
      </c>
      <c r="J6" s="5"/>
      <c r="K6" s="5"/>
      <c r="L6" s="5"/>
      <c r="M6" s="5"/>
      <c r="N6" s="5"/>
      <c r="O6" s="5"/>
    </row>
    <row r="7">
      <c r="B7" s="1" t="s">
        <v>4</v>
      </c>
      <c r="C7" s="6">
        <v>2015</v>
      </c>
      <c r="D7" s="7">
        <v>2016</v>
      </c>
      <c r="E7" s="7">
        <v>2017</v>
      </c>
      <c r="F7" s="7">
        <v>2018</v>
      </c>
      <c r="G7" s="7">
        <v>2019</v>
      </c>
      <c r="H7" s="8">
        <v>2020</v>
      </c>
      <c r="I7" s="6">
        <v>2023</v>
      </c>
      <c r="J7" s="7">
        <v>2025</v>
      </c>
      <c r="K7" s="7">
        <v>2030</v>
      </c>
      <c r="L7" s="7">
        <v>2035</v>
      </c>
      <c r="M7" s="7">
        <v>2040</v>
      </c>
      <c r="N7" s="7">
        <v>2045</v>
      </c>
      <c r="O7" s="8">
        <v>2050</v>
      </c>
    </row>
    <row r="8">
      <c r="B8" s="9" t="s">
        <v>5</v>
      </c>
      <c r="C8" s="6">
        <f>IGCE!C9</f>
        <v>15.09</v>
      </c>
      <c r="D8" s="7">
        <f>IGCE!D9</f>
        <v>14.449999999999999</v>
      </c>
      <c r="E8" s="7">
        <f>IGCE!E9</f>
        <v>15.6</v>
      </c>
      <c r="F8" s="7">
        <f>IGCE!F9</f>
        <v>15.449999999999999</v>
      </c>
      <c r="G8" s="7">
        <f>IGCE!G9</f>
        <v>14.59</v>
      </c>
      <c r="H8" s="10">
        <f>IGCE!H9</f>
        <v>11.59</v>
      </c>
      <c r="I8" s="6">
        <v>14.199999999999999</v>
      </c>
      <c r="J8" s="11">
        <f>IGCE!E78</f>
        <v>14.5663125767295</v>
      </c>
      <c r="K8" s="11">
        <f>IGCE!F78</f>
        <v>14.546573057337417</v>
      </c>
      <c r="L8" s="11">
        <f>IGCE!G78</f>
        <v>14.745979760310806</v>
      </c>
      <c r="M8" s="11">
        <f>IGCE!H78</f>
        <v>14.945386463284192</v>
      </c>
      <c r="N8" s="11">
        <f>IGCE!I78</f>
        <v>15.144793166257578</v>
      </c>
      <c r="O8" s="12">
        <f>IGCE!J78</f>
        <v>15.344199869230966</v>
      </c>
    </row>
    <row r="9">
      <c r="B9" s="9" t="s">
        <v>6</v>
      </c>
      <c r="C9" s="6">
        <f>IGCE!C10</f>
        <v>9.9900000000000002</v>
      </c>
      <c r="D9" s="7">
        <f>IGCE!D10</f>
        <v>9.5899999999999999</v>
      </c>
      <c r="E9" s="7">
        <f>IGCE!E10</f>
        <v>10.73</v>
      </c>
      <c r="F9" s="7">
        <f>IGCE!F10</f>
        <v>10.6</v>
      </c>
      <c r="G9" s="7">
        <f>IGCE!G10</f>
        <v>10.129999999999999</v>
      </c>
      <c r="H9" s="10">
        <f>IGCE!H10</f>
        <v>7.8699999999999992</v>
      </c>
      <c r="I9" s="6">
        <v>9.5999999999999996</v>
      </c>
      <c r="J9" s="11">
        <f>IGCE!E79</f>
        <v>9.652101579685322</v>
      </c>
      <c r="K9" s="11">
        <f>IGCE!F79</f>
        <v>9.1781949052247978</v>
      </c>
      <c r="L9" s="11">
        <f>IGCE!G79</f>
        <v>9.2162373501942554</v>
      </c>
      <c r="M9" s="11">
        <f>IGCE!H79</f>
        <v>9.2519059058425963</v>
      </c>
      <c r="N9" s="11">
        <f>IGCE!I79</f>
        <v>9.2852005721698241</v>
      </c>
      <c r="O9" s="12">
        <f>IGCE!J79</f>
        <v>9.316121349175944</v>
      </c>
    </row>
    <row r="10">
      <c r="B10" s="9" t="s">
        <v>7</v>
      </c>
      <c r="C10" s="6">
        <f>IGCE!C11</f>
        <v>5.0999999999999996</v>
      </c>
      <c r="D10" s="7">
        <f>IGCE!D11</f>
        <v>4.8600000000000003</v>
      </c>
      <c r="E10" s="7">
        <f>IGCE!E11</f>
        <v>4.8700000000000001</v>
      </c>
      <c r="F10" s="7">
        <f>IGCE!F11</f>
        <v>4.8499999999999996</v>
      </c>
      <c r="G10" s="7">
        <f>IGCE!G11</f>
        <v>4.46</v>
      </c>
      <c r="H10" s="10">
        <f>IGCE!H11</f>
        <v>3.7200000000000002</v>
      </c>
      <c r="I10" s="6">
        <v>4.5999999999999996</v>
      </c>
      <c r="J10" s="11">
        <f>IGCE!E80</f>
        <v>4.9142109970441776</v>
      </c>
      <c r="K10" s="11">
        <f>IGCE!F80</f>
        <v>5.3683781521126193</v>
      </c>
      <c r="L10" s="11">
        <f>IGCE!G80</f>
        <v>5.5297424101165511</v>
      </c>
      <c r="M10" s="11">
        <f>IGCE!H80</f>
        <v>5.6934805574415961</v>
      </c>
      <c r="N10" s="11">
        <f>IGCE!I80</f>
        <v>5.8595925940877542</v>
      </c>
      <c r="O10" s="12">
        <f>IGCE!J80</f>
        <v>6.028078520055022</v>
      </c>
    </row>
    <row r="11">
      <c r="B11" s="9" t="s">
        <v>8</v>
      </c>
      <c r="C11" s="6">
        <v>0</v>
      </c>
      <c r="D11" s="7">
        <v>0</v>
      </c>
      <c r="E11" s="7">
        <v>0</v>
      </c>
      <c r="F11" s="7">
        <v>0</v>
      </c>
      <c r="G11" s="7">
        <v>0</v>
      </c>
      <c r="H11" s="8">
        <v>0</v>
      </c>
      <c r="I11" s="6">
        <v>0</v>
      </c>
      <c r="J11" s="11">
        <f>IGCE!E81</f>
        <v>0</v>
      </c>
      <c r="K11" s="11">
        <f>IGCE!F81</f>
        <v>0</v>
      </c>
      <c r="L11" s="11">
        <f>IGCE!G81</f>
        <v>0</v>
      </c>
      <c r="M11" s="11">
        <f>IGCE!H81</f>
        <v>0</v>
      </c>
      <c r="N11" s="11">
        <f>IGCE!I81</f>
        <v>0</v>
      </c>
      <c r="O11" s="12">
        <f>IGCE!J81</f>
        <v>0</v>
      </c>
    </row>
    <row r="12">
      <c r="B12" s="9" t="s">
        <v>9</v>
      </c>
      <c r="C12" s="6">
        <v>0.89300000000000002</v>
      </c>
      <c r="D12" s="7">
        <v>0.91800000000000004</v>
      </c>
      <c r="E12" s="7">
        <v>0.94199999999999995</v>
      </c>
      <c r="F12" s="7">
        <v>0.878</v>
      </c>
      <c r="G12" s="7">
        <v>0.89400000000000002</v>
      </c>
      <c r="H12" s="13">
        <f>G12*0.897402216594645</f>
        <v>0.80227758163561269</v>
      </c>
      <c r="I12" s="6">
        <v>0.90000000000000002</v>
      </c>
      <c r="J12" s="11">
        <f>IGCE!E82</f>
        <v>0.97003599155980125</v>
      </c>
      <c r="K12" s="11">
        <f>IGCE!F82</f>
        <v>1.0333993178596355</v>
      </c>
      <c r="L12" s="11">
        <f>IGCE!G82</f>
        <v>1.1157722139220791</v>
      </c>
      <c r="M12" s="11">
        <f>IGCE!H82</f>
        <v>1.1981451099845226</v>
      </c>
      <c r="N12" s="11">
        <f>IGCE!I82</f>
        <v>1.2805180060469661</v>
      </c>
      <c r="O12" s="12">
        <f>IGCE!J82</f>
        <v>1.3628909021094096</v>
      </c>
    </row>
    <row r="13">
      <c r="B13" s="14" t="s">
        <v>10</v>
      </c>
      <c r="C13" s="15">
        <v>0.47199999999999998</v>
      </c>
      <c r="D13" s="16">
        <v>0.48799999999999999</v>
      </c>
      <c r="E13" s="16">
        <v>0.50800000000000001</v>
      </c>
      <c r="F13" s="16">
        <v>0.496</v>
      </c>
      <c r="G13" s="16">
        <v>0.47599999999999998</v>
      </c>
      <c r="H13" s="10">
        <v>0.40100000000000002</v>
      </c>
      <c r="I13" s="6">
        <v>0.41999999999999998</v>
      </c>
      <c r="J13" s="17">
        <f>IGCE!E83</f>
        <v>0.52133466763393521</v>
      </c>
      <c r="K13" s="17">
        <f>IGCE!F83</f>
        <v>0.56055555391817891</v>
      </c>
      <c r="L13" s="17">
        <f>IGCE!G83</f>
        <v>0.61360607395270794</v>
      </c>
      <c r="M13" s="17">
        <f>IGCE!H83</f>
        <v>0.66789218742817369</v>
      </c>
      <c r="N13" s="17">
        <f>IGCE!I83</f>
        <v>0.72341389434457604</v>
      </c>
      <c r="O13" s="18">
        <f>IGCE!J83</f>
        <v>0.78017119470191487</v>
      </c>
    </row>
    <row r="14">
      <c r="B14" s="9" t="s">
        <v>11</v>
      </c>
      <c r="C14" s="6">
        <v>2.5099999999999998</v>
      </c>
      <c r="D14" s="7">
        <v>2.2400000000000002</v>
      </c>
      <c r="E14" s="7">
        <v>2.5899999999999999</v>
      </c>
      <c r="F14" s="7">
        <v>2.1600000000000001</v>
      </c>
      <c r="G14" s="7">
        <v>2.3399999999999999</v>
      </c>
      <c r="H14" s="8">
        <v>2.27</v>
      </c>
      <c r="I14" s="6">
        <v>2.25</v>
      </c>
      <c r="J14" s="17">
        <f>IGCE!E84</f>
        <v>2.130973394225022</v>
      </c>
      <c r="K14" s="17">
        <f>IGCE!F84</f>
        <v>1.9567845560792068</v>
      </c>
      <c r="L14" s="17">
        <f>IGCE!G84</f>
        <v>1.795698345055442</v>
      </c>
      <c r="M14" s="17">
        <f>IGCE!H84</f>
        <v>1.6346121340316773</v>
      </c>
      <c r="N14" s="17">
        <f>IGCE!I84</f>
        <v>1.4735259230079123</v>
      </c>
      <c r="O14" s="18">
        <f>IGCE!J84</f>
        <v>1.3124397119841478</v>
      </c>
    </row>
    <row r="15">
      <c r="B15" s="9" t="s">
        <v>12</v>
      </c>
      <c r="C15" s="6">
        <v>0.92000000000000004</v>
      </c>
      <c r="D15" s="7">
        <v>0.92000000000000004</v>
      </c>
      <c r="E15" s="7">
        <v>0.96999999999999997</v>
      </c>
      <c r="F15" s="7">
        <v>0.89000000000000001</v>
      </c>
      <c r="G15" s="7">
        <v>0.95999999999999996</v>
      </c>
      <c r="H15" s="8">
        <v>0.89000000000000001</v>
      </c>
      <c r="I15" s="6">
        <v>0.94999999999999996</v>
      </c>
      <c r="J15" s="11">
        <f>IGCE!E85</f>
        <v>0.95478003590606753</v>
      </c>
      <c r="K15" s="11">
        <f>IGCE!F85</f>
        <v>0.95043006582779055</v>
      </c>
      <c r="L15" s="11">
        <f>IGCE!G85</f>
        <v>0.93768662335152997</v>
      </c>
      <c r="M15" s="11">
        <f>IGCE!H85</f>
        <v>0.92494318087526939</v>
      </c>
      <c r="N15" s="11">
        <f>IGCE!I85</f>
        <v>0.91219973839900892</v>
      </c>
      <c r="O15" s="12">
        <f>IGCE!J85</f>
        <v>0.89945629592274834</v>
      </c>
    </row>
    <row r="16">
      <c r="B16" s="9" t="s">
        <v>13</v>
      </c>
      <c r="C16" s="6">
        <v>1.0700000000000001</v>
      </c>
      <c r="D16" s="7">
        <v>1.1000000000000001</v>
      </c>
      <c r="E16" s="7">
        <v>0.91000000000000003</v>
      </c>
      <c r="F16" s="7">
        <v>1.1100000000000001</v>
      </c>
      <c r="G16" s="7">
        <v>1.0700000000000001</v>
      </c>
      <c r="H16" s="8">
        <v>1</v>
      </c>
      <c r="I16" s="6">
        <v>1.05</v>
      </c>
      <c r="J16" s="11">
        <f>IGCE!E86</f>
        <v>1.0718885198126653</v>
      </c>
      <c r="K16" s="11">
        <f>IGCE!F86</f>
        <v>1.0734622863232199</v>
      </c>
      <c r="L16" s="11">
        <f>IGCE!G86</f>
        <v>1.0594668558701033</v>
      </c>
      <c r="M16" s="11">
        <f>IGCE!H86</f>
        <v>1.0454714254169863</v>
      </c>
      <c r="N16" s="11">
        <f>IGCE!I86</f>
        <v>1.0314759949638694</v>
      </c>
      <c r="O16" s="12">
        <f>IGCE!J86</f>
        <v>1.017480564510753</v>
      </c>
    </row>
    <row r="17">
      <c r="B17" s="9" t="s">
        <v>14</v>
      </c>
      <c r="C17" s="6">
        <v>12.539999999999999</v>
      </c>
      <c r="D17" s="7">
        <v>12.67</v>
      </c>
      <c r="E17" s="7">
        <v>12.359999999999999</v>
      </c>
      <c r="F17" s="7">
        <v>12.84</v>
      </c>
      <c r="G17" s="7">
        <v>12.94</v>
      </c>
      <c r="H17" s="8">
        <v>11.77</v>
      </c>
      <c r="I17" s="6">
        <v>12.4</v>
      </c>
      <c r="J17" s="11">
        <f>IGCE!E87</f>
        <v>12.459808173034819</v>
      </c>
      <c r="K17" s="11">
        <f>IGCE!F87</f>
        <v>12.059648317230501</v>
      </c>
      <c r="L17" s="11">
        <f>IGCE!G87</f>
        <v>11.371886639538003</v>
      </c>
      <c r="M17" s="11">
        <f>IGCE!H87</f>
        <v>10.684124961845503</v>
      </c>
      <c r="N17" s="11">
        <f>IGCE!I87</f>
        <v>9.9963632841530039</v>
      </c>
      <c r="O17" s="12">
        <f>IGCE!J87</f>
        <v>9.3086016064605062</v>
      </c>
    </row>
    <row r="18">
      <c r="B18" s="9" t="s">
        <v>15</v>
      </c>
      <c r="C18" s="19">
        <v>5.4624895107140601</v>
      </c>
      <c r="D18" s="20">
        <v>5.1683689900000003</v>
      </c>
      <c r="E18" s="20">
        <v>5.5996366200000001</v>
      </c>
      <c r="F18" s="20">
        <v>5.66565545</v>
      </c>
      <c r="G18" s="20">
        <v>5.6971323500000004</v>
      </c>
      <c r="H18" s="21">
        <v>5.0235558500000002</v>
      </c>
      <c r="I18" s="6">
        <v>5.2999999999999998</v>
      </c>
      <c r="J18" s="11">
        <f>IGCE!E88</f>
        <v>5.6767464059368393</v>
      </c>
      <c r="K18" s="11">
        <f>IGCE!F88</f>
        <v>5.6597581192175381</v>
      </c>
      <c r="L18" s="11">
        <f>IGCE!G88</f>
        <v>5.4629232119267668</v>
      </c>
      <c r="M18" s="11">
        <f>IGCE!H88</f>
        <v>5.2660883046359972</v>
      </c>
      <c r="N18" s="11">
        <f>IGCE!I88</f>
        <v>5.0692533973452276</v>
      </c>
      <c r="O18" s="12">
        <f>IGCE!J88</f>
        <v>4.8724184900544563</v>
      </c>
    </row>
    <row r="19">
      <c r="B19" s="9" t="s">
        <v>16</v>
      </c>
      <c r="C19" s="6">
        <v>7.9900000000000002</v>
      </c>
      <c r="D19" s="7">
        <v>9.9800000000000004</v>
      </c>
      <c r="E19" s="7">
        <v>8.0199999999999996</v>
      </c>
      <c r="F19" s="7">
        <v>7.8700000000000001</v>
      </c>
      <c r="G19" s="7">
        <v>7.3200000000000003</v>
      </c>
      <c r="H19" s="21">
        <f>G19*0.930316272251903</f>
        <v>6.8099151128839308</v>
      </c>
      <c r="I19" s="6">
        <v>7.9000000000000004</v>
      </c>
      <c r="J19" s="11">
        <f>IGCE!E89</f>
        <v>7.7735794156205591</v>
      </c>
      <c r="K19" s="11">
        <f>IGCE!F89</f>
        <v>8.1515622619710264</v>
      </c>
      <c r="L19" s="11">
        <f>IGCE!G89</f>
        <v>8.6317465423904949</v>
      </c>
      <c r="M19" s="11">
        <f>IGCE!H89</f>
        <v>9.1119308228099634</v>
      </c>
      <c r="N19" s="11">
        <f>IGCE!I89</f>
        <v>9.5921151032294318</v>
      </c>
      <c r="O19" s="12">
        <f>IGCE!J89</f>
        <v>10.0722993836489</v>
      </c>
    </row>
    <row r="20">
      <c r="B20" s="9" t="s">
        <v>17</v>
      </c>
      <c r="C20" s="22">
        <v>4.5199999999999996</v>
      </c>
      <c r="D20" s="23">
        <v>4.6799999999999997</v>
      </c>
      <c r="E20" s="23">
        <v>6.2400000000000002</v>
      </c>
      <c r="F20" s="23">
        <v>5.0899999999999999</v>
      </c>
      <c r="G20" s="23">
        <v>4.96</v>
      </c>
      <c r="H20" s="24">
        <v>3.3799999999999999</v>
      </c>
      <c r="I20" s="22">
        <v>4.9000000000000004</v>
      </c>
      <c r="J20" s="25">
        <f>IGCE!E90</f>
        <v>5.0392902944438003</v>
      </c>
      <c r="K20" s="25">
        <f>IGCE!F90</f>
        <v>5.1053655398136346</v>
      </c>
      <c r="L20" s="25">
        <f>IGCE!G90</f>
        <v>5.1492372804011337</v>
      </c>
      <c r="M20" s="25">
        <f>IGCE!H90</f>
        <v>5.1931090209886337</v>
      </c>
      <c r="N20" s="25">
        <f>IGCE!I90</f>
        <v>5.2369807615761346</v>
      </c>
      <c r="O20" s="26">
        <f>IGCE!J90</f>
        <v>5.2808525021636337</v>
      </c>
    </row>
    <row r="22">
      <c r="B22" s="3" t="s">
        <v>18</v>
      </c>
      <c r="C22" s="3"/>
      <c r="D22" s="3"/>
      <c r="E22" s="3"/>
      <c r="P22" s="27"/>
    </row>
    <row r="23">
      <c r="N23" s="28"/>
      <c r="O23" s="28"/>
      <c r="P23" s="27"/>
      <c r="Q23" s="27"/>
    </row>
    <row r="24">
      <c r="B24" s="1" t="s">
        <v>19</v>
      </c>
      <c r="C24" s="5" t="s">
        <v>2</v>
      </c>
      <c r="D24" s="5"/>
      <c r="E24" s="5"/>
      <c r="F24" s="5"/>
      <c r="G24" s="5"/>
      <c r="H24" s="5"/>
      <c r="I24" s="5" t="s">
        <v>20</v>
      </c>
      <c r="J24" s="5"/>
      <c r="K24" s="5"/>
      <c r="L24" s="5"/>
      <c r="M24" s="5"/>
      <c r="N24" s="5"/>
      <c r="O24" s="5"/>
    </row>
    <row r="25">
      <c r="B25" s="1" t="s">
        <v>21</v>
      </c>
      <c r="C25" s="6">
        <v>2015</v>
      </c>
      <c r="D25" s="7">
        <v>2016</v>
      </c>
      <c r="E25" s="7">
        <v>2017</v>
      </c>
      <c r="F25" s="7">
        <v>2018</v>
      </c>
      <c r="G25" s="7">
        <v>2019</v>
      </c>
      <c r="H25" s="8">
        <v>2020</v>
      </c>
      <c r="I25" s="7">
        <v>2023</v>
      </c>
      <c r="J25" s="7">
        <v>2025</v>
      </c>
      <c r="K25" s="7">
        <v>2030</v>
      </c>
      <c r="L25" s="7">
        <v>2035</v>
      </c>
      <c r="M25" s="7">
        <v>2040</v>
      </c>
      <c r="N25" s="7">
        <v>2045</v>
      </c>
      <c r="O25" s="8">
        <v>2050</v>
      </c>
    </row>
    <row r="26">
      <c r="B26" s="29" t="s">
        <v>22</v>
      </c>
      <c r="C26" s="30">
        <f>'VA historique'!R5</f>
        <v>25.624379000000001</v>
      </c>
      <c r="D26" s="31">
        <f>'VA historique'!S5</f>
        <v>26.013804</v>
      </c>
      <c r="E26" s="31">
        <f>'VA historique'!T5</f>
        <v>26.657764</v>
      </c>
      <c r="F26" s="31">
        <f>'VA historique'!U5</f>
        <v>25.460822</v>
      </c>
      <c r="G26" s="31">
        <f>'VA historique'!V5</f>
        <v>25.805907999999999</v>
      </c>
      <c r="H26" s="32">
        <f>G26*0.905</f>
        <v>23.35434674</v>
      </c>
      <c r="I26" s="11">
        <v>24</v>
      </c>
      <c r="J26" s="11">
        <f>Diffus!E32</f>
        <v>21.983015573875107</v>
      </c>
      <c r="K26" s="11">
        <f>Diffus!F32</f>
        <v>21.706668682417142</v>
      </c>
      <c r="L26" s="11">
        <f>Diffus!G32</f>
        <v>21.570030368452567</v>
      </c>
      <c r="M26" s="11">
        <f>Diffus!H32</f>
        <v>21.745946641973742</v>
      </c>
      <c r="N26" s="11">
        <f>Diffus!I32</f>
        <v>22.018608662784001</v>
      </c>
      <c r="O26" s="12">
        <f>Diffus!J32</f>
        <v>22.244140890665129</v>
      </c>
    </row>
    <row r="27">
      <c r="B27" s="29" t="s">
        <v>23</v>
      </c>
      <c r="C27" s="30">
        <f>'VA historique'!R6</f>
        <v>41.415126000000001</v>
      </c>
      <c r="D27" s="31">
        <f>'VA historique'!S6</f>
        <v>42.558777999999997</v>
      </c>
      <c r="E27" s="31">
        <f>'VA historique'!T6</f>
        <v>43.825743000000003</v>
      </c>
      <c r="F27" s="31">
        <f>'VA historique'!U6</f>
        <v>45.192982999999998</v>
      </c>
      <c r="G27" s="31">
        <f>'VA historique'!V6</f>
        <v>47.173411999999999</v>
      </c>
      <c r="H27" s="32">
        <f>'VA historique'!W6</f>
        <v>34.146974</v>
      </c>
      <c r="I27" s="11">
        <v>40</v>
      </c>
      <c r="J27" s="11">
        <f>Diffus!E33</f>
        <v>33.192144462216227</v>
      </c>
      <c r="K27" s="11">
        <f>Diffus!F33</f>
        <v>33.807261726352067</v>
      </c>
      <c r="L27" s="11">
        <f>Diffus!G33</f>
        <v>34.848290161521028</v>
      </c>
      <c r="M27" s="11">
        <f>Diffus!H33</f>
        <v>36.520214655012147</v>
      </c>
      <c r="N27" s="11">
        <f>Diffus!I33</f>
        <v>38.401750763446501</v>
      </c>
      <c r="O27" s="12">
        <f>Diffus!J33</f>
        <v>40.279350492864651</v>
      </c>
    </row>
    <row r="28">
      <c r="B28" s="29" t="s">
        <v>24</v>
      </c>
      <c r="C28" s="30">
        <f>'VA historique'!R7</f>
        <v>8.0230730000000001</v>
      </c>
      <c r="D28" s="31">
        <f>'VA historique'!S7</f>
        <v>8.0998359999999998</v>
      </c>
      <c r="E28" s="31">
        <f>'VA historique'!T7</f>
        <v>8.2923500000000008</v>
      </c>
      <c r="F28" s="31">
        <f>'VA historique'!U7</f>
        <v>8.2701740000000008</v>
      </c>
      <c r="G28" s="31">
        <f>'VA historique'!V7</f>
        <v>8.3584969999999998</v>
      </c>
      <c r="H28" s="32">
        <f>G28*0.905</f>
        <v>7.5644397850000002</v>
      </c>
      <c r="I28" s="11">
        <v>8</v>
      </c>
      <c r="J28" s="11">
        <f>Diffus!E34</f>
        <v>7.2508670849321009</v>
      </c>
      <c r="K28" s="11">
        <f>Diffus!F34</f>
        <v>7.3449066196317387</v>
      </c>
      <c r="L28" s="11">
        <f>Diffus!G34</f>
        <v>7.423292081189742</v>
      </c>
      <c r="M28" s="11">
        <f>Diffus!H34</f>
        <v>7.5671075580375051</v>
      </c>
      <c r="N28" s="11">
        <f>Diffus!I34</f>
        <v>7.7059148519264173</v>
      </c>
      <c r="O28" s="12">
        <f>Diffus!J34</f>
        <v>7.8080813992454079</v>
      </c>
    </row>
    <row r="29">
      <c r="B29" s="29" t="s">
        <v>25</v>
      </c>
      <c r="C29" s="30">
        <f>'VA historique'!R8</f>
        <v>43.507950999999998</v>
      </c>
      <c r="D29" s="31">
        <f>'VA historique'!S8</f>
        <v>44.673572</v>
      </c>
      <c r="E29" s="31">
        <f>'VA historique'!T8</f>
        <v>45.485210000000002</v>
      </c>
      <c r="F29" s="31">
        <f>'VA historique'!U8</f>
        <v>45.279347999999999</v>
      </c>
      <c r="G29" s="31">
        <f>'VA historique'!V8</f>
        <v>45.598266000000002</v>
      </c>
      <c r="H29" s="32">
        <f>'VA historique'!W8</f>
        <v>44.167665</v>
      </c>
      <c r="I29" s="11">
        <v>45.5</v>
      </c>
      <c r="J29" s="11">
        <f>Diffus!E35</f>
        <v>46.858629517096446</v>
      </c>
      <c r="K29" s="11">
        <f>Diffus!F35</f>
        <v>48.334846968549769</v>
      </c>
      <c r="L29" s="11">
        <f>Diffus!G35</f>
        <v>50.633280036746569</v>
      </c>
      <c r="M29" s="11">
        <f>Diffus!H35</f>
        <v>54.557599470280891</v>
      </c>
      <c r="N29" s="11">
        <f>Diffus!I35</f>
        <v>59.67999604594911</v>
      </c>
      <c r="O29" s="12">
        <f>Diffus!J35</f>
        <v>64.877148097845094</v>
      </c>
    </row>
    <row r="30">
      <c r="B30" s="29" t="s">
        <v>26</v>
      </c>
      <c r="C30" s="30">
        <f>'VA historique'!R9</f>
        <v>60.173127999999998</v>
      </c>
      <c r="D30" s="31">
        <f>'VA historique'!S9</f>
        <v>59.026021</v>
      </c>
      <c r="E30" s="31">
        <f>'VA historique'!T9</f>
        <v>60.473290999999996</v>
      </c>
      <c r="F30" s="31">
        <f>'VA historique'!U9</f>
        <v>63.185553999999996</v>
      </c>
      <c r="G30" s="31">
        <f>'VA historique'!V9</f>
        <v>63.615233999999994</v>
      </c>
      <c r="H30" s="32">
        <f t="shared" ref="H30:H31" si="0">G30*0.905</f>
        <v>57.571786769999996</v>
      </c>
      <c r="I30" s="11">
        <v>62</v>
      </c>
      <c r="J30" s="11">
        <f>Diffus!E36</f>
        <v>61.513769586119651</v>
      </c>
      <c r="K30" s="11">
        <f>Diffus!F36</f>
        <v>63.955895426857346</v>
      </c>
      <c r="L30" s="11">
        <f>Diffus!G36</f>
        <v>67.439236684968236</v>
      </c>
      <c r="M30" s="11">
        <f>Diffus!H36</f>
        <v>73.380180168112176</v>
      </c>
      <c r="N30" s="11">
        <f>Diffus!I36</f>
        <v>80.109357891840958</v>
      </c>
      <c r="O30" s="12">
        <f>Diffus!J36</f>
        <v>86.597973522433165</v>
      </c>
    </row>
    <row r="31">
      <c r="B31" s="29" t="s">
        <v>27</v>
      </c>
      <c r="C31" s="30">
        <f>'VA historique'!R11</f>
        <v>23.294342999999998</v>
      </c>
      <c r="D31" s="31">
        <f>'VA historique'!S11</f>
        <v>23.04682</v>
      </c>
      <c r="E31" s="31">
        <f>'VA historique'!T11</f>
        <v>23.307596</v>
      </c>
      <c r="F31" s="31">
        <f>'VA historique'!U11</f>
        <v>23.241424000000002</v>
      </c>
      <c r="G31" s="31">
        <f>'VA historique'!V11</f>
        <v>23.721858999999998</v>
      </c>
      <c r="H31" s="32">
        <f t="shared" si="0"/>
        <v>21.468282394999999</v>
      </c>
      <c r="I31" s="11">
        <v>23.5</v>
      </c>
      <c r="J31" s="11">
        <f>Diffus!E37</f>
        <v>22.938231566992567</v>
      </c>
      <c r="K31" s="11">
        <f>Diffus!F37</f>
        <v>23.848890244350198</v>
      </c>
      <c r="L31" s="11">
        <f>Diffus!G37</f>
        <v>25.147813866540901</v>
      </c>
      <c r="M31" s="11">
        <f>Diffus!H37</f>
        <v>27.363167246112045</v>
      </c>
      <c r="N31" s="11">
        <f>Diffus!I37</f>
        <v>29.872449930637501</v>
      </c>
      <c r="O31" s="12">
        <f>Diffus!J37</f>
        <v>32.292028000476947</v>
      </c>
    </row>
    <row r="32">
      <c r="B32" s="33" t="s">
        <v>28</v>
      </c>
      <c r="C32" s="34">
        <f t="shared" ref="C32:I32" si="1">SUM(C26:C31)</f>
        <v>202.03799999999998</v>
      </c>
      <c r="D32" s="11">
        <f t="shared" si="1"/>
        <v>203.41883099999998</v>
      </c>
      <c r="E32" s="11">
        <f t="shared" si="1"/>
        <v>208.04195399999998</v>
      </c>
      <c r="F32" s="11">
        <f t="shared" si="1"/>
        <v>210.63030499999999</v>
      </c>
      <c r="G32" s="11">
        <f t="shared" si="1"/>
        <v>214.27317599999998</v>
      </c>
      <c r="H32" s="12">
        <f t="shared" si="1"/>
        <v>188.27349468999998</v>
      </c>
      <c r="I32" s="11">
        <f t="shared" si="1"/>
        <v>203</v>
      </c>
      <c r="J32" s="11">
        <f>Diffus!E38</f>
        <v>193.73665779123209</v>
      </c>
      <c r="K32" s="11">
        <f>Diffus!F38</f>
        <v>198.99846966815826</v>
      </c>
      <c r="L32" s="11">
        <f>Diffus!G38</f>
        <v>207.06194319941903</v>
      </c>
      <c r="M32" s="11">
        <f>Diffus!H38</f>
        <v>221.13421573952851</v>
      </c>
      <c r="N32" s="11">
        <f>Diffus!I38</f>
        <v>237.7880781465845</v>
      </c>
      <c r="O32" s="12">
        <f>Diffus!J38</f>
        <v>254.09872240353036</v>
      </c>
    </row>
    <row r="33">
      <c r="B33" s="35" t="s">
        <v>29</v>
      </c>
      <c r="C33" s="36">
        <f>'VA historique'!R10</f>
        <v>109.505257</v>
      </c>
      <c r="D33" s="37">
        <f>'VA historique'!S10</f>
        <v>108.449133</v>
      </c>
      <c r="E33" s="37">
        <f>'VA historique'!T10</f>
        <v>110.800995</v>
      </c>
      <c r="F33" s="37">
        <f>'VA historique'!U10</f>
        <v>111.94245100000001</v>
      </c>
      <c r="G33" s="37">
        <f>'VA historique'!V10</f>
        <v>114.881552</v>
      </c>
      <c r="H33" s="38">
        <f>'VA historique'!W10</f>
        <v>96.546553000000003</v>
      </c>
      <c r="I33" s="25">
        <v>108</v>
      </c>
      <c r="J33" s="25">
        <f>Diffus!E39</f>
        <v>104.25989581340812</v>
      </c>
      <c r="K33" s="25">
        <f>Diffus!F39</f>
        <v>106.60708616149519</v>
      </c>
      <c r="L33" s="25">
        <f>Diffus!G39</f>
        <v>110.2067375328923</v>
      </c>
      <c r="M33" s="25">
        <f>Diffus!H39</f>
        <v>115.63670922176382</v>
      </c>
      <c r="N33" s="25">
        <f>Diffus!I39</f>
        <v>122.24834664484293</v>
      </c>
      <c r="O33" s="26">
        <f>Diffus!J39</f>
        <v>128.76647766106458</v>
      </c>
    </row>
    <row r="34">
      <c r="B34" s="39"/>
      <c r="D34" s="40"/>
      <c r="E34" s="40"/>
      <c r="F34" s="40"/>
      <c r="G34" s="40"/>
      <c r="H34" s="40"/>
      <c r="I34" s="40"/>
    </row>
    <row r="35">
      <c r="I35" s="41"/>
    </row>
    <row r="36">
      <c r="B36" s="1" t="s">
        <v>30</v>
      </c>
      <c r="C36" s="42" t="s">
        <v>20</v>
      </c>
      <c r="D36" s="43"/>
      <c r="E36" s="43"/>
      <c r="F36" s="43"/>
      <c r="G36" s="43"/>
      <c r="H36" s="43"/>
    </row>
    <row r="37">
      <c r="B37" s="7"/>
      <c r="C37" s="1">
        <v>2019</v>
      </c>
      <c r="D37" s="7">
        <v>2020</v>
      </c>
      <c r="E37" s="7">
        <v>2025</v>
      </c>
      <c r="F37" s="7">
        <v>2030</v>
      </c>
      <c r="G37" s="7">
        <v>2035</v>
      </c>
      <c r="H37" s="7">
        <v>2040</v>
      </c>
      <c r="I37" s="7">
        <v>2045</v>
      </c>
      <c r="J37" s="7">
        <v>2050</v>
      </c>
    </row>
    <row r="38">
      <c r="B38" s="44" t="s">
        <v>22</v>
      </c>
      <c r="C38" s="31">
        <f>Diffus!C63</f>
        <v>25.805907999999999</v>
      </c>
      <c r="D38" s="31">
        <f>Diffus!D63</f>
        <v>22.882878626160409</v>
      </c>
      <c r="E38" s="31">
        <f>Diffus!E63</f>
        <v>19.320310167167275</v>
      </c>
      <c r="F38" s="31">
        <f>Diffus!F63</f>
        <v>16.886408676470115</v>
      </c>
      <c r="G38" s="31">
        <f>Diffus!G63</f>
        <v>15.731355705185473</v>
      </c>
      <c r="H38" s="31">
        <f>Diffus!H63</f>
        <v>14.802343878621684</v>
      </c>
      <c r="I38" s="31">
        <f>Diffus!I63</f>
        <v>13.917376001731848</v>
      </c>
      <c r="J38" s="31">
        <f>Diffus!J63</f>
        <v>12.978395921745507</v>
      </c>
    </row>
    <row r="39">
      <c r="B39" s="44" t="s">
        <v>23</v>
      </c>
      <c r="C39" s="31">
        <f>Diffus!C64</f>
        <v>47.173411999999999</v>
      </c>
      <c r="D39" s="31">
        <f>Diffus!D64</f>
        <v>33.968264491151047</v>
      </c>
      <c r="E39" s="31">
        <f>Diffus!E64</f>
        <v>32.149870232970706</v>
      </c>
      <c r="F39" s="31">
        <f>Diffus!F64</f>
        <v>31.861013999537732</v>
      </c>
      <c r="G39" s="31">
        <f>Diffus!G64</f>
        <v>32.500006217820371</v>
      </c>
      <c r="H39" s="31">
        <f>Diffus!H64</f>
        <v>33.700747953062802</v>
      </c>
      <c r="I39" s="31">
        <f>Diffus!I64</f>
        <v>35.060034388950363</v>
      </c>
      <c r="J39" s="31">
        <f>Diffus!J64</f>
        <v>36.378823588830635</v>
      </c>
    </row>
    <row r="40">
      <c r="B40" s="44" t="s">
        <v>24</v>
      </c>
      <c r="C40" s="31">
        <f>Diffus!C65</f>
        <v>8.3584969999999998</v>
      </c>
      <c r="D40" s="31">
        <f>Diffus!D65</f>
        <v>7.4390038636700204</v>
      </c>
      <c r="E40" s="31">
        <f>Diffus!E65</f>
        <v>6.5294501241864626</v>
      </c>
      <c r="F40" s="31">
        <f>Diffus!F65</f>
        <v>6.0051555334806963</v>
      </c>
      <c r="G40" s="31">
        <f>Diffus!G65</f>
        <v>5.4117417273408828</v>
      </c>
      <c r="H40" s="31">
        <f>Diffus!H65</f>
        <v>4.8463468821766362</v>
      </c>
      <c r="I40" s="31">
        <f>Diffus!I65</f>
        <v>4.2527118773268473</v>
      </c>
      <c r="J40" s="31">
        <f>Diffus!J65</f>
        <v>3.6175119985811888</v>
      </c>
    </row>
    <row r="41">
      <c r="B41" s="44" t="s">
        <v>25</v>
      </c>
      <c r="C41" s="31">
        <f>Diffus!C66</f>
        <v>45.598266000000002</v>
      </c>
      <c r="D41" s="31">
        <f>Diffus!D66</f>
        <v>43.663179888856938</v>
      </c>
      <c r="E41" s="31">
        <f>Diffus!E66</f>
        <v>43.6473009236636</v>
      </c>
      <c r="F41" s="31">
        <f>Diffus!F66</f>
        <v>42.261935550318171</v>
      </c>
      <c r="G41" s="31">
        <f>Diffus!G66</f>
        <v>40.24689792940309</v>
      </c>
      <c r="H41" s="31">
        <f>Diffus!H66</f>
        <v>39.029601124084444</v>
      </c>
      <c r="I41" s="31">
        <f>Diffus!I66</f>
        <v>37.950292101089481</v>
      </c>
      <c r="J41" s="31">
        <f>Diffus!J66</f>
        <v>36.098249390219841</v>
      </c>
    </row>
    <row r="42">
      <c r="B42" s="44" t="s">
        <v>26</v>
      </c>
      <c r="C42" s="31">
        <f>Diffus!C67</f>
        <v>63.615233999999994</v>
      </c>
      <c r="D42" s="31">
        <f>Diffus!D67</f>
        <v>57.01102261314935</v>
      </c>
      <c r="E42" s="31">
        <f>Diffus!E67</f>
        <v>57.918809025891882</v>
      </c>
      <c r="F42" s="31">
        <f>Diffus!F67</f>
        <v>57.103478059694062</v>
      </c>
      <c r="G42" s="31">
        <f>Diffus!G67</f>
        <v>56.400075918083559</v>
      </c>
      <c r="H42" s="31">
        <f>Diffus!H67</f>
        <v>57.219069059658899</v>
      </c>
      <c r="I42" s="31">
        <f>Diffus!I67</f>
        <v>57.936232046777846</v>
      </c>
      <c r="J42" s="31">
        <f>Diffus!J67</f>
        <v>57.731982348288781</v>
      </c>
    </row>
    <row r="43">
      <c r="B43" s="44" t="s">
        <v>27</v>
      </c>
      <c r="C43" s="31">
        <f>Diffus!C68</f>
        <v>23.721858999999998</v>
      </c>
      <c r="D43" s="31">
        <f>Diffus!D68</f>
        <v>21.273116191409088</v>
      </c>
      <c r="E43" s="31">
        <f>Diffus!E68</f>
        <v>21.687055299702063</v>
      </c>
      <c r="F43" s="31">
        <f>Diffus!F68</f>
        <v>21.464001219915176</v>
      </c>
      <c r="G43" s="31">
        <f>Diffus!G68</f>
        <v>20.982707194895063</v>
      </c>
      <c r="H43" s="31">
        <f>Diffus!H68</f>
        <v>21.035434820448632</v>
      </c>
      <c r="I43" s="31">
        <f>Diffus!I68</f>
        <v>21.004066357479491</v>
      </c>
      <c r="J43" s="31">
        <f>Diffus!J68</f>
        <v>20.586167850304051</v>
      </c>
    </row>
    <row r="44">
      <c r="B44" s="44" t="s">
        <v>28</v>
      </c>
      <c r="C44" s="31">
        <f>Diffus!C69</f>
        <v>214.27317599999998</v>
      </c>
      <c r="D44" s="31">
        <f>Diffus!D69</f>
        <v>184.37688555697315</v>
      </c>
      <c r="E44" s="31">
        <f>Diffus!E69</f>
        <v>178.88944671440146</v>
      </c>
      <c r="F44" s="31">
        <f>Diffus!F69</f>
        <v>173.27990406556634</v>
      </c>
      <c r="G44" s="31">
        <f>Diffus!G69</f>
        <v>169.39720019239618</v>
      </c>
      <c r="H44" s="31">
        <f>Diffus!H69</f>
        <v>169.11867887022527</v>
      </c>
      <c r="I44" s="31">
        <f>Diffus!I69</f>
        <v>168.99414805196818</v>
      </c>
      <c r="J44" s="31">
        <f>Diffus!J69</f>
        <v>166.79734164515247</v>
      </c>
    </row>
    <row r="45">
      <c r="B45" s="45" t="s">
        <v>29</v>
      </c>
      <c r="C45" s="31">
        <f>Diffus!C70</f>
        <v>114.881552</v>
      </c>
      <c r="D45" s="31">
        <f>Diffus!D70</f>
        <v>96.546553000000003</v>
      </c>
      <c r="E45" s="31">
        <f>Diffus!E70</f>
        <v>104.25989581340812</v>
      </c>
      <c r="F45" s="31">
        <f>Diffus!F70</f>
        <v>106.60708616149519</v>
      </c>
      <c r="G45" s="31">
        <f>Diffus!G70</f>
        <v>110.2067375328923</v>
      </c>
      <c r="H45" s="31">
        <f>Diffus!H70</f>
        <v>115.63670922176382</v>
      </c>
      <c r="I45" s="31">
        <f>Diffus!I70</f>
        <v>122.24834664484293</v>
      </c>
      <c r="J45" s="31">
        <f>Diffus!J70</f>
        <v>128.76647766106458</v>
      </c>
    </row>
    <row r="46">
      <c r="B46" s="39" t="s">
        <v>31</v>
      </c>
      <c r="C46" s="39"/>
      <c r="D46" s="40"/>
      <c r="E46" s="40"/>
      <c r="F46" s="40"/>
      <c r="G46" s="40"/>
      <c r="H46" s="40"/>
    </row>
    <row r="47">
      <c r="B47" s="39"/>
      <c r="C47" s="39"/>
      <c r="I47" s="41"/>
    </row>
  </sheetData>
  <mergeCells count="7">
    <mergeCell ref="B2:G2"/>
    <mergeCell ref="B4:C4"/>
    <mergeCell ref="C6:H6"/>
    <mergeCell ref="I6:O6"/>
    <mergeCell ref="B22:E22"/>
    <mergeCell ref="C24:H24"/>
    <mergeCell ref="I24:O24"/>
  </mergeCell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2F5597"/>
    <outlinePr applyStyles="0" summaryBelow="1" summaryRight="1" showOutlineSymbols="1"/>
    <pageSetUpPr autoPageBreaks="1" fitToPage="0"/>
  </sheetPr>
  <sheetViews>
    <sheetView zoomScale="70" workbookViewId="0">
      <selection activeCell="J91" activeCellId="0" sqref="J91"/>
    </sheetView>
  </sheetViews>
  <sheetFormatPr baseColWidth="10" defaultColWidth="8.88671875" defaultRowHeight="14.4"/>
  <cols>
    <col customWidth="1" min="1" max="1" width="10.44140625"/>
    <col customWidth="1" min="2" max="2" width="39.77734375"/>
    <col customWidth="1" min="3" max="1025" width="10.44140625"/>
  </cols>
  <sheetData>
    <row r="2">
      <c r="B2" s="65" t="s">
        <v>681</v>
      </c>
      <c r="C2" s="333">
        <v>0.0012600000000000001</v>
      </c>
      <c r="D2" s="65" t="s">
        <v>682</v>
      </c>
      <c r="E2" s="65"/>
    </row>
    <row r="4">
      <c r="B4" s="25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B5" s="245"/>
      <c r="C5" s="1"/>
      <c r="D5" s="334" t="s">
        <v>3</v>
      </c>
      <c r="E5" s="334"/>
      <c r="F5" s="334"/>
      <c r="G5" s="334"/>
      <c r="H5" s="334"/>
      <c r="I5" s="334"/>
      <c r="J5" s="1"/>
      <c r="K5" s="1"/>
      <c r="L5" s="1"/>
      <c r="M5" s="1"/>
      <c r="N5" s="1"/>
    </row>
    <row r="6">
      <c r="B6" s="245"/>
      <c r="C6" s="1"/>
      <c r="D6" s="335">
        <v>2025</v>
      </c>
      <c r="E6" s="336">
        <v>2030</v>
      </c>
      <c r="F6" s="336">
        <v>2035</v>
      </c>
      <c r="G6" s="336">
        <v>2040</v>
      </c>
      <c r="H6" s="336">
        <v>2045</v>
      </c>
      <c r="I6" s="337">
        <v>2050</v>
      </c>
      <c r="J6" s="1"/>
      <c r="K6" s="1"/>
      <c r="L6" s="1"/>
      <c r="M6" s="1"/>
      <c r="N6" s="1"/>
    </row>
    <row r="7">
      <c r="B7" s="205" t="s">
        <v>22</v>
      </c>
      <c r="C7" s="1"/>
      <c r="D7" s="338">
        <v>0.5</v>
      </c>
      <c r="E7" s="339">
        <v>1.5</v>
      </c>
      <c r="F7" s="339">
        <v>2</v>
      </c>
      <c r="G7" s="339">
        <v>3</v>
      </c>
      <c r="H7" s="339">
        <v>4</v>
      </c>
      <c r="I7" s="340">
        <v>5</v>
      </c>
      <c r="J7" s="1"/>
      <c r="K7" s="1" t="s">
        <v>683</v>
      </c>
      <c r="L7" s="1"/>
      <c r="M7" s="1"/>
      <c r="N7" s="1"/>
    </row>
    <row r="8">
      <c r="B8" s="207" t="s">
        <v>684</v>
      </c>
      <c r="C8" s="1"/>
      <c r="D8" s="196">
        <f>E8</f>
        <v>0.029999999999999999</v>
      </c>
      <c r="E8" s="196">
        <v>0.029999999999999999</v>
      </c>
      <c r="F8" s="196">
        <f>(E8+G8)/2</f>
        <v>0.0275</v>
      </c>
      <c r="G8" s="196">
        <f>(E8+I8)/2</f>
        <v>0.025000000000000001</v>
      </c>
      <c r="H8" s="196">
        <f>(G8+I8)/2</f>
        <v>0.022499999999999999</v>
      </c>
      <c r="I8" s="196">
        <v>0.02</v>
      </c>
      <c r="J8" s="1"/>
      <c r="L8" s="1"/>
      <c r="M8" s="1"/>
      <c r="N8" s="1"/>
    </row>
    <row r="9">
      <c r="B9" s="207" t="s">
        <v>685</v>
      </c>
      <c r="C9" s="1"/>
      <c r="D9" s="196">
        <v>0</v>
      </c>
      <c r="E9" s="196">
        <v>0.14999999999999999</v>
      </c>
      <c r="F9" s="196">
        <v>0.29999999999999999</v>
      </c>
      <c r="G9" s="196">
        <v>0.45000000000000001</v>
      </c>
      <c r="H9" s="196">
        <v>0.59999999999999998</v>
      </c>
      <c r="I9" s="196">
        <v>0.75</v>
      </c>
      <c r="J9" s="1"/>
      <c r="L9" s="1"/>
      <c r="M9" s="1"/>
      <c r="N9" s="1"/>
    </row>
    <row r="10">
      <c r="B10" s="207" t="s">
        <v>686</v>
      </c>
      <c r="C10" s="1"/>
      <c r="D10" s="196">
        <f t="shared" ref="D10:I10" si="188">1-D9</f>
        <v>1</v>
      </c>
      <c r="E10" s="196">
        <f t="shared" si="188"/>
        <v>0.84999999999999998</v>
      </c>
      <c r="F10" s="196">
        <f t="shared" si="188"/>
        <v>0.69999999999999996</v>
      </c>
      <c r="G10" s="196">
        <f t="shared" si="188"/>
        <v>0.55000000000000004</v>
      </c>
      <c r="H10" s="196">
        <f t="shared" si="188"/>
        <v>0.40000000000000002</v>
      </c>
      <c r="I10" s="196">
        <f t="shared" si="188"/>
        <v>0.25</v>
      </c>
      <c r="J10" s="1"/>
      <c r="K10" s="1"/>
      <c r="L10" s="1"/>
      <c r="M10" s="1"/>
      <c r="N10" s="1"/>
    </row>
    <row r="11">
      <c r="B11" s="205" t="s">
        <v>23</v>
      </c>
      <c r="C11" s="1"/>
      <c r="D11" s="338">
        <v>0</v>
      </c>
      <c r="E11" s="339">
        <v>0.20000000000000001</v>
      </c>
      <c r="F11" s="339">
        <v>2</v>
      </c>
      <c r="G11" s="339">
        <v>2.25</v>
      </c>
      <c r="H11" s="339">
        <v>2.5</v>
      </c>
      <c r="I11" s="340">
        <v>2.75</v>
      </c>
      <c r="J11" s="1"/>
      <c r="K11" s="1" t="s">
        <v>687</v>
      </c>
      <c r="L11" s="1"/>
      <c r="M11" s="1"/>
      <c r="N11" s="1"/>
    </row>
    <row r="12">
      <c r="B12" s="207" t="s">
        <v>684</v>
      </c>
      <c r="C12" s="1"/>
      <c r="D12" s="196">
        <f>E12</f>
        <v>0.029999999999999999</v>
      </c>
      <c r="E12" s="196">
        <v>0.029999999999999999</v>
      </c>
      <c r="F12" s="196">
        <f>(E12+G12)/2</f>
        <v>0.029999999999999999</v>
      </c>
      <c r="G12" s="196">
        <f>(E12+I12)/2</f>
        <v>0.029999999999999999</v>
      </c>
      <c r="H12" s="196">
        <f>(G12+I12)/2</f>
        <v>0.029999999999999999</v>
      </c>
      <c r="I12" s="196">
        <v>0.029999999999999999</v>
      </c>
      <c r="J12" s="1"/>
      <c r="K12" t="s">
        <v>688</v>
      </c>
      <c r="L12" s="1"/>
      <c r="M12" s="1"/>
      <c r="N12" s="1"/>
    </row>
    <row r="13">
      <c r="B13" s="207" t="s">
        <v>685</v>
      </c>
      <c r="C13" s="1"/>
      <c r="D13" s="196">
        <v>0.80000000000000004</v>
      </c>
      <c r="E13" s="196">
        <v>0.80000000000000004</v>
      </c>
      <c r="F13" s="196">
        <v>0.69999999999999996</v>
      </c>
      <c r="G13" s="196">
        <v>0.66000000000000003</v>
      </c>
      <c r="H13" s="196">
        <v>0.59999999999999998</v>
      </c>
      <c r="I13" s="196">
        <v>0.59999999999999998</v>
      </c>
      <c r="J13" s="1"/>
      <c r="K13" s="1" t="s">
        <v>689</v>
      </c>
      <c r="L13" s="1"/>
      <c r="M13" s="1"/>
      <c r="N13" s="1"/>
    </row>
    <row r="14">
      <c r="B14" s="207" t="s">
        <v>686</v>
      </c>
      <c r="C14" s="1"/>
      <c r="D14" s="196">
        <f t="shared" ref="D14:I14" si="189">1-D13</f>
        <v>0.19999999999999996</v>
      </c>
      <c r="E14" s="196">
        <f t="shared" si="189"/>
        <v>0.19999999999999996</v>
      </c>
      <c r="F14" s="196">
        <f t="shared" si="189"/>
        <v>0.30000000000000004</v>
      </c>
      <c r="G14" s="196">
        <f t="shared" si="189"/>
        <v>0.33999999999999997</v>
      </c>
      <c r="H14" s="196">
        <f t="shared" si="189"/>
        <v>0.40000000000000002</v>
      </c>
      <c r="I14" s="196">
        <f t="shared" si="189"/>
        <v>0.40000000000000002</v>
      </c>
      <c r="J14" s="1"/>
      <c r="K14" s="1"/>
      <c r="L14" s="1"/>
      <c r="M14" s="1"/>
      <c r="N14" s="1"/>
    </row>
    <row r="15">
      <c r="B15" s="205" t="s">
        <v>464</v>
      </c>
      <c r="C15" s="1"/>
      <c r="D15" s="338">
        <v>0.5</v>
      </c>
      <c r="E15" s="338">
        <v>1.5</v>
      </c>
      <c r="F15" s="338">
        <v>2</v>
      </c>
      <c r="G15" s="338">
        <v>2.5</v>
      </c>
      <c r="H15" s="338">
        <v>3</v>
      </c>
      <c r="I15" s="338">
        <v>3</v>
      </c>
      <c r="J15" s="1"/>
      <c r="K15" s="1" t="s">
        <v>690</v>
      </c>
      <c r="L15" s="1"/>
      <c r="M15" s="1"/>
      <c r="N15" s="1"/>
    </row>
    <row r="16">
      <c r="B16" s="207" t="s">
        <v>684</v>
      </c>
      <c r="C16" s="1"/>
      <c r="D16" s="196">
        <f>E16</f>
        <v>0.14999999999999999</v>
      </c>
      <c r="E16" s="196">
        <v>0.14999999999999999</v>
      </c>
      <c r="F16" s="196">
        <f>(E16+G16)/2</f>
        <v>0.14500000000000002</v>
      </c>
      <c r="G16" s="196">
        <f>(E16+I16)/2</f>
        <v>0.14000000000000001</v>
      </c>
      <c r="H16" s="196">
        <f>(G16+I16)/2</f>
        <v>0.13500000000000001</v>
      </c>
      <c r="I16" s="196">
        <v>0.13</v>
      </c>
      <c r="J16" s="1"/>
      <c r="K16" t="s">
        <v>688</v>
      </c>
      <c r="L16" s="1"/>
      <c r="M16" s="1"/>
      <c r="N16" s="1"/>
    </row>
    <row r="17">
      <c r="B17" s="207" t="s">
        <v>685</v>
      </c>
      <c r="C17" s="1"/>
      <c r="D17" s="196">
        <v>0.80000000000000004</v>
      </c>
      <c r="E17" s="196">
        <v>0.80000000000000004</v>
      </c>
      <c r="F17" s="196">
        <v>0.75</v>
      </c>
      <c r="G17" s="196">
        <v>0.69999999999999996</v>
      </c>
      <c r="H17" s="196">
        <v>0.65000000000000002</v>
      </c>
      <c r="I17" s="196">
        <v>0.59999999999999998</v>
      </c>
      <c r="J17" s="1"/>
      <c r="K17" s="1"/>
      <c r="L17" s="1"/>
      <c r="M17" s="1"/>
      <c r="N17" s="1"/>
    </row>
    <row r="18">
      <c r="B18" s="207" t="s">
        <v>686</v>
      </c>
      <c r="C18" s="1"/>
      <c r="D18" s="196">
        <f t="shared" ref="D18:I18" si="190">1-D17</f>
        <v>0.19999999999999996</v>
      </c>
      <c r="E18" s="196">
        <f t="shared" si="190"/>
        <v>0.19999999999999996</v>
      </c>
      <c r="F18" s="196">
        <f t="shared" si="190"/>
        <v>0.25</v>
      </c>
      <c r="G18" s="196">
        <f t="shared" si="190"/>
        <v>0.30000000000000004</v>
      </c>
      <c r="H18" s="196">
        <f t="shared" si="190"/>
        <v>0.34999999999999998</v>
      </c>
      <c r="I18" s="196">
        <f t="shared" si="190"/>
        <v>0.40000000000000002</v>
      </c>
      <c r="J18" s="1"/>
      <c r="K18" s="1"/>
      <c r="L18" s="1"/>
      <c r="M18" s="1"/>
      <c r="N18" s="1"/>
    </row>
    <row r="19">
      <c r="B19" s="205" t="s">
        <v>507</v>
      </c>
      <c r="C19" s="1"/>
      <c r="D19" s="338">
        <v>0</v>
      </c>
      <c r="E19" s="339">
        <v>0</v>
      </c>
      <c r="F19" s="339">
        <v>0</v>
      </c>
      <c r="G19" s="339">
        <v>0</v>
      </c>
      <c r="H19" s="339">
        <v>0</v>
      </c>
      <c r="I19" s="340">
        <v>0</v>
      </c>
      <c r="J19" s="1"/>
      <c r="K19" s="1"/>
      <c r="L19" s="1"/>
      <c r="M19" s="1"/>
      <c r="N19" s="1"/>
    </row>
    <row r="20">
      <c r="B20" s="207" t="s">
        <v>684</v>
      </c>
      <c r="C20" s="1"/>
      <c r="D20" s="196">
        <f>E20</f>
        <v>0.19</v>
      </c>
      <c r="E20" s="196">
        <v>0.19</v>
      </c>
      <c r="F20" s="196">
        <f>(E20+G20)/2</f>
        <v>0.22</v>
      </c>
      <c r="G20" s="196">
        <f>(E20+I20)/2</f>
        <v>0.25</v>
      </c>
      <c r="H20" s="196">
        <f>(G20+I20)/2</f>
        <v>0.28000000000000003</v>
      </c>
      <c r="I20" s="196">
        <v>0.31</v>
      </c>
      <c r="J20" s="1"/>
      <c r="K20" t="s">
        <v>688</v>
      </c>
      <c r="L20" s="1"/>
      <c r="M20" s="1"/>
      <c r="N20" s="1"/>
    </row>
    <row r="21">
      <c r="B21" s="207" t="s">
        <v>685</v>
      </c>
      <c r="C21" s="1"/>
      <c r="D21" s="196">
        <v>0.80000000000000004</v>
      </c>
      <c r="E21" s="196">
        <v>0.80000000000000004</v>
      </c>
      <c r="F21" s="196">
        <v>0.75</v>
      </c>
      <c r="G21" s="196">
        <v>0.69999999999999996</v>
      </c>
      <c r="H21" s="196">
        <v>0.65000000000000002</v>
      </c>
      <c r="I21" s="196">
        <v>0.59999999999999998</v>
      </c>
      <c r="J21" s="1"/>
      <c r="K21" s="1"/>
      <c r="L21" s="1"/>
      <c r="M21" s="1"/>
      <c r="N21" s="1"/>
    </row>
    <row r="22">
      <c r="B22" s="207" t="s">
        <v>686</v>
      </c>
      <c r="C22" s="1"/>
      <c r="D22" s="196">
        <f t="shared" ref="D22:I22" si="191">1-D21</f>
        <v>0.19999999999999996</v>
      </c>
      <c r="E22" s="196">
        <f t="shared" si="191"/>
        <v>0.19999999999999996</v>
      </c>
      <c r="F22" s="196">
        <f t="shared" si="191"/>
        <v>0.25</v>
      </c>
      <c r="G22" s="196">
        <f t="shared" si="191"/>
        <v>0.30000000000000004</v>
      </c>
      <c r="H22" s="196">
        <f t="shared" si="191"/>
        <v>0.34999999999999998</v>
      </c>
      <c r="I22" s="196">
        <f t="shared" si="191"/>
        <v>0.40000000000000002</v>
      </c>
      <c r="J22" s="1"/>
      <c r="K22" s="1"/>
      <c r="L22" s="1"/>
      <c r="M22" s="1"/>
      <c r="N22" s="1"/>
    </row>
    <row r="23">
      <c r="B23" s="205" t="s">
        <v>471</v>
      </c>
      <c r="C23" s="1"/>
      <c r="D23" s="196"/>
      <c r="E23" s="196"/>
      <c r="F23" s="196"/>
      <c r="G23" s="196"/>
      <c r="H23" s="196"/>
      <c r="I23" s="196"/>
      <c r="J23" s="1"/>
      <c r="K23" s="1"/>
      <c r="L23" s="1"/>
      <c r="M23" s="1"/>
      <c r="N23" s="1"/>
    </row>
    <row r="24">
      <c r="B24" s="205" t="s">
        <v>29</v>
      </c>
      <c r="C24" s="1"/>
      <c r="D24" s="196"/>
      <c r="E24" s="196"/>
      <c r="F24" s="196"/>
      <c r="G24" s="196"/>
      <c r="H24" s="196"/>
      <c r="I24" s="196"/>
      <c r="J24" s="1"/>
      <c r="K24" s="1"/>
      <c r="L24" s="1"/>
      <c r="M24" s="1"/>
      <c r="N24" s="1"/>
    </row>
    <row r="25">
      <c r="B25" s="205" t="s">
        <v>472</v>
      </c>
      <c r="C25" s="1"/>
      <c r="D25" s="338">
        <v>0</v>
      </c>
      <c r="E25" s="339">
        <v>0</v>
      </c>
      <c r="F25" s="339">
        <v>0</v>
      </c>
      <c r="G25" s="339">
        <v>0</v>
      </c>
      <c r="H25" s="339">
        <v>0</v>
      </c>
      <c r="I25" s="340">
        <v>0</v>
      </c>
      <c r="J25" s="1"/>
      <c r="K25" s="1"/>
      <c r="L25" s="1"/>
      <c r="M25" s="1"/>
      <c r="N25" s="1"/>
    </row>
    <row r="26">
      <c r="B26" s="207" t="s">
        <v>684</v>
      </c>
      <c r="C26" s="1"/>
      <c r="D26" s="196">
        <f>E26</f>
        <v>0.60999999999999999</v>
      </c>
      <c r="E26" s="196">
        <v>0.60999999999999999</v>
      </c>
      <c r="F26" s="196">
        <f>(E26+G26)/2</f>
        <v>0.60499999999999998</v>
      </c>
      <c r="G26" s="196">
        <f>(E26+I26)/2</f>
        <v>0.59999999999999998</v>
      </c>
      <c r="H26" s="196">
        <f>(G26+I26)/2</f>
        <v>0.59499999999999997</v>
      </c>
      <c r="I26" s="196">
        <v>0.58999999999999997</v>
      </c>
      <c r="J26" s="1"/>
      <c r="K26" t="s">
        <v>688</v>
      </c>
      <c r="L26" s="1"/>
      <c r="M26" s="1"/>
      <c r="N26" s="1"/>
    </row>
    <row r="27">
      <c r="B27" s="207" t="s">
        <v>685</v>
      </c>
      <c r="C27" s="1"/>
      <c r="D27" s="196">
        <v>0.80000000000000004</v>
      </c>
      <c r="E27" s="196">
        <v>0.80000000000000004</v>
      </c>
      <c r="F27" s="196">
        <v>0.75</v>
      </c>
      <c r="G27" s="196">
        <v>0.69999999999999996</v>
      </c>
      <c r="H27" s="196">
        <v>0.65000000000000002</v>
      </c>
      <c r="I27" s="196">
        <v>0.59999999999999998</v>
      </c>
      <c r="J27" s="1"/>
      <c r="K27" s="1"/>
      <c r="L27" s="1"/>
      <c r="M27" s="1"/>
      <c r="N27" s="1"/>
    </row>
    <row r="28">
      <c r="B28" s="207" t="s">
        <v>686</v>
      </c>
      <c r="C28" s="1"/>
      <c r="D28" s="196">
        <f t="shared" ref="D28:I28" si="192">1-D27</f>
        <v>0.19999999999999996</v>
      </c>
      <c r="E28" s="196">
        <f t="shared" si="192"/>
        <v>0.19999999999999996</v>
      </c>
      <c r="F28" s="196">
        <f t="shared" si="192"/>
        <v>0.25</v>
      </c>
      <c r="G28" s="196">
        <f t="shared" si="192"/>
        <v>0.30000000000000004</v>
      </c>
      <c r="H28" s="196">
        <f t="shared" si="192"/>
        <v>0.34999999999999998</v>
      </c>
      <c r="I28" s="196">
        <f t="shared" si="192"/>
        <v>0.40000000000000002</v>
      </c>
      <c r="J28" s="1"/>
      <c r="K28" s="1"/>
      <c r="L28" s="1"/>
      <c r="M28" s="1"/>
      <c r="N28" s="1"/>
    </row>
    <row r="29">
      <c r="B29" s="341" t="s">
        <v>691</v>
      </c>
      <c r="C29" s="1"/>
      <c r="D29" s="342">
        <f t="shared" ref="D29:I29" si="193">D25+D19+D15+D11+D7</f>
        <v>1</v>
      </c>
      <c r="E29" s="342">
        <f t="shared" si="193"/>
        <v>3.2000000000000002</v>
      </c>
      <c r="F29" s="342">
        <f t="shared" si="193"/>
        <v>6</v>
      </c>
      <c r="G29" s="342">
        <f t="shared" si="193"/>
        <v>7.75</v>
      </c>
      <c r="H29" s="342">
        <f t="shared" si="193"/>
        <v>9.5</v>
      </c>
      <c r="I29" s="342">
        <f t="shared" si="193"/>
        <v>10.75</v>
      </c>
      <c r="J29" s="1"/>
      <c r="K29" s="1"/>
      <c r="L29" s="1"/>
      <c r="M29" s="1"/>
      <c r="N29" s="1"/>
    </row>
    <row r="30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B31" s="205" t="s">
        <v>692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B32" s="343" t="s">
        <v>693</v>
      </c>
      <c r="C32" s="1"/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1"/>
      <c r="K32" s="1"/>
      <c r="L32" s="1"/>
      <c r="M32" s="1"/>
      <c r="N32" s="1"/>
    </row>
    <row r="33">
      <c r="B33" s="207" t="s">
        <v>684</v>
      </c>
      <c r="C33" s="1"/>
      <c r="D33" s="344">
        <v>0.027799999999999998</v>
      </c>
      <c r="E33" s="344">
        <v>0.024</v>
      </c>
      <c r="F33" s="344">
        <v>0.023699999999999999</v>
      </c>
      <c r="G33" s="344">
        <v>0.023599999999999999</v>
      </c>
      <c r="H33" s="344">
        <v>0.0235</v>
      </c>
      <c r="I33" s="344">
        <v>0.025000000000000001</v>
      </c>
      <c r="J33" s="1"/>
      <c r="K33" s="1"/>
      <c r="L33" s="1"/>
      <c r="M33" s="1"/>
      <c r="N33" s="1"/>
    </row>
    <row r="34">
      <c r="B34" s="207" t="s">
        <v>685</v>
      </c>
      <c r="C34" s="1"/>
      <c r="D34" s="196">
        <v>0.80000000000000004</v>
      </c>
      <c r="E34" s="196">
        <v>0.80000000000000004</v>
      </c>
      <c r="F34" s="196">
        <v>0.75</v>
      </c>
      <c r="G34" s="196">
        <v>0.69999999999999996</v>
      </c>
      <c r="H34" s="196">
        <v>0.65000000000000002</v>
      </c>
      <c r="I34" s="196">
        <v>0.59999999999999998</v>
      </c>
      <c r="J34" s="1"/>
      <c r="K34" s="1"/>
      <c r="L34" s="1"/>
      <c r="M34" s="1"/>
      <c r="N34" s="1"/>
    </row>
    <row r="35">
      <c r="B35" s="207" t="s">
        <v>686</v>
      </c>
      <c r="C35" s="1"/>
      <c r="D35" s="196">
        <f t="shared" ref="D35:I43" si="194">1-D34</f>
        <v>0.19999999999999996</v>
      </c>
      <c r="E35" s="196">
        <f t="shared" si="194"/>
        <v>0.19999999999999996</v>
      </c>
      <c r="F35" s="196">
        <f t="shared" si="194"/>
        <v>0.25</v>
      </c>
      <c r="G35" s="196">
        <f t="shared" si="194"/>
        <v>0.30000000000000004</v>
      </c>
      <c r="H35" s="196">
        <f t="shared" si="194"/>
        <v>0.34999999999999998</v>
      </c>
      <c r="I35" s="196">
        <f t="shared" si="194"/>
        <v>0.40000000000000002</v>
      </c>
      <c r="J35" s="1"/>
      <c r="K35" s="1"/>
      <c r="L35" s="1"/>
      <c r="M35" s="1"/>
      <c r="N35" s="1"/>
    </row>
    <row r="36">
      <c r="B36" s="343" t="s">
        <v>694</v>
      </c>
      <c r="C36" s="1"/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1"/>
      <c r="K36" s="1"/>
      <c r="L36" s="1"/>
      <c r="M36" s="1"/>
      <c r="N36" s="1"/>
    </row>
    <row r="37">
      <c r="B37" s="207" t="s">
        <v>684</v>
      </c>
      <c r="C37" s="1"/>
      <c r="D37" s="345">
        <v>0.62</v>
      </c>
      <c r="E37" s="345">
        <v>0.62</v>
      </c>
      <c r="F37" s="345">
        <v>0.62</v>
      </c>
      <c r="G37" s="345">
        <v>0.62</v>
      </c>
      <c r="H37" s="345">
        <v>0.62</v>
      </c>
      <c r="I37" s="345">
        <v>0.62</v>
      </c>
      <c r="J37" s="1"/>
      <c r="K37" s="1"/>
      <c r="L37" s="1"/>
      <c r="M37" s="1"/>
      <c r="N37" s="1"/>
    </row>
    <row r="38">
      <c r="B38" s="207" t="s">
        <v>685</v>
      </c>
      <c r="C38" s="1"/>
      <c r="D38" s="196">
        <v>0.80000000000000004</v>
      </c>
      <c r="E38" s="196">
        <v>0.80000000000000004</v>
      </c>
      <c r="F38" s="196">
        <v>0.75</v>
      </c>
      <c r="G38" s="196">
        <v>0.69999999999999996</v>
      </c>
      <c r="H38" s="196">
        <v>0.65000000000000002</v>
      </c>
      <c r="I38" s="196">
        <v>0.59999999999999998</v>
      </c>
      <c r="J38" s="1"/>
      <c r="K38" s="1"/>
      <c r="L38" s="1"/>
      <c r="M38" s="1"/>
      <c r="N38" s="1"/>
    </row>
    <row r="39">
      <c r="B39" s="207" t="s">
        <v>686</v>
      </c>
      <c r="C39" s="1"/>
      <c r="D39" s="196">
        <f t="shared" si="194"/>
        <v>0.19999999999999996</v>
      </c>
      <c r="E39" s="196">
        <f t="shared" si="194"/>
        <v>0.19999999999999996</v>
      </c>
      <c r="F39" s="196">
        <f t="shared" si="194"/>
        <v>0.25</v>
      </c>
      <c r="G39" s="196">
        <f t="shared" si="194"/>
        <v>0.30000000000000004</v>
      </c>
      <c r="H39" s="196">
        <f t="shared" si="194"/>
        <v>0.34999999999999998</v>
      </c>
      <c r="I39" s="196">
        <f t="shared" si="194"/>
        <v>0.40000000000000002</v>
      </c>
      <c r="J39" s="1"/>
      <c r="K39" s="1"/>
      <c r="L39" s="1"/>
      <c r="M39" s="1"/>
      <c r="N39" s="1"/>
    </row>
    <row r="40">
      <c r="B40" s="343" t="s">
        <v>695</v>
      </c>
      <c r="C40" s="1"/>
      <c r="D40" s="7">
        <v>0</v>
      </c>
      <c r="E40" s="7">
        <v>0</v>
      </c>
      <c r="F40" s="7">
        <v>0.5</v>
      </c>
      <c r="G40" s="7">
        <v>0.75</v>
      </c>
      <c r="H40" s="7">
        <v>1</v>
      </c>
      <c r="I40" s="7">
        <v>1.25</v>
      </c>
      <c r="J40" s="1"/>
      <c r="K40" s="1" t="s">
        <v>696</v>
      </c>
      <c r="L40" s="1"/>
      <c r="M40" s="1"/>
      <c r="N40" s="1"/>
    </row>
    <row r="41">
      <c r="B41" s="207" t="s">
        <v>684</v>
      </c>
      <c r="C41" s="1"/>
      <c r="D41" s="346"/>
      <c r="E41" s="346"/>
      <c r="F41" s="346"/>
      <c r="G41" s="346"/>
      <c r="H41" s="346"/>
      <c r="I41" s="346"/>
      <c r="J41" s="1"/>
      <c r="K41" s="1"/>
      <c r="L41" s="1"/>
      <c r="M41" s="1"/>
      <c r="N41" s="1"/>
    </row>
    <row r="42">
      <c r="B42" s="207" t="s">
        <v>685</v>
      </c>
      <c r="C42" s="1"/>
      <c r="D42" s="196">
        <v>0.80000000000000004</v>
      </c>
      <c r="E42" s="196">
        <v>0.80000000000000004</v>
      </c>
      <c r="F42" s="196">
        <v>0.75</v>
      </c>
      <c r="G42" s="196">
        <v>0.69999999999999996</v>
      </c>
      <c r="H42" s="196">
        <v>0.65000000000000002</v>
      </c>
      <c r="I42" s="196">
        <v>0.59999999999999998</v>
      </c>
      <c r="J42" s="1"/>
      <c r="K42" s="1"/>
      <c r="L42" s="1"/>
      <c r="M42" s="1"/>
      <c r="N42" s="1"/>
    </row>
    <row r="43">
      <c r="B43" s="207" t="s">
        <v>686</v>
      </c>
      <c r="C43" s="1"/>
      <c r="D43" s="196">
        <f t="shared" si="194"/>
        <v>0.19999999999999996</v>
      </c>
      <c r="E43" s="196">
        <f t="shared" si="194"/>
        <v>0.19999999999999996</v>
      </c>
      <c r="F43" s="196">
        <f t="shared" si="194"/>
        <v>0.25</v>
      </c>
      <c r="G43" s="196">
        <f t="shared" si="194"/>
        <v>0.30000000000000004</v>
      </c>
      <c r="H43" s="196">
        <f t="shared" si="194"/>
        <v>0.34999999999999998</v>
      </c>
      <c r="I43" s="196">
        <f t="shared" si="194"/>
        <v>0.40000000000000002</v>
      </c>
      <c r="J43" s="1"/>
      <c r="K43" s="1"/>
      <c r="L43" s="1"/>
      <c r="M43" s="1"/>
      <c r="N43" s="1"/>
    </row>
    <row r="44">
      <c r="B44" s="341" t="s">
        <v>697</v>
      </c>
      <c r="C44" s="1"/>
      <c r="D44" s="342">
        <f t="shared" ref="D44:I44" si="195">D32+D36+D40</f>
        <v>0</v>
      </c>
      <c r="E44" s="342">
        <f t="shared" si="195"/>
        <v>0</v>
      </c>
      <c r="F44" s="342">
        <f t="shared" si="195"/>
        <v>0.5</v>
      </c>
      <c r="G44" s="342">
        <f t="shared" si="195"/>
        <v>0.75</v>
      </c>
      <c r="H44" s="342">
        <f t="shared" si="195"/>
        <v>1</v>
      </c>
      <c r="I44" s="342">
        <f t="shared" si="195"/>
        <v>1.25</v>
      </c>
      <c r="J44" s="1"/>
      <c r="K44" s="1"/>
      <c r="L44" s="1"/>
      <c r="M44" s="1"/>
      <c r="N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B46" s="341" t="s">
        <v>698</v>
      </c>
      <c r="C46" s="1"/>
      <c r="D46" s="347">
        <f t="shared" ref="D46:I46" si="196">D44+D29</f>
        <v>1</v>
      </c>
      <c r="E46" s="347">
        <f t="shared" si="196"/>
        <v>3.2000000000000002</v>
      </c>
      <c r="F46" s="347">
        <f t="shared" si="196"/>
        <v>6.5</v>
      </c>
      <c r="G46" s="347">
        <f t="shared" si="196"/>
        <v>8.5</v>
      </c>
      <c r="H46" s="347">
        <f t="shared" si="196"/>
        <v>10.5</v>
      </c>
      <c r="I46" s="347">
        <f t="shared" si="196"/>
        <v>12</v>
      </c>
      <c r="J46" s="1"/>
      <c r="K46" s="1"/>
      <c r="L46" s="1"/>
      <c r="M46" s="1"/>
      <c r="N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B48" s="341" t="s">
        <v>699</v>
      </c>
      <c r="D48" s="347">
        <v>0</v>
      </c>
      <c r="E48" s="347">
        <v>0</v>
      </c>
      <c r="F48" s="347">
        <v>0</v>
      </c>
      <c r="G48" s="347">
        <v>0</v>
      </c>
      <c r="H48" s="347">
        <v>0</v>
      </c>
      <c r="I48" s="347">
        <v>0</v>
      </c>
    </row>
    <row r="49">
      <c r="B49" s="207" t="s">
        <v>685</v>
      </c>
      <c r="D49" s="348">
        <v>0</v>
      </c>
      <c r="E49" s="348">
        <v>0</v>
      </c>
      <c r="F49" s="348">
        <v>0</v>
      </c>
      <c r="G49" s="348">
        <v>0.14999999999999999</v>
      </c>
      <c r="H49" s="348">
        <v>0.34999999999999998</v>
      </c>
      <c r="I49" s="348">
        <v>0.5</v>
      </c>
    </row>
    <row r="50">
      <c r="B50" s="207" t="s">
        <v>686</v>
      </c>
      <c r="D50" s="348">
        <f t="shared" ref="D50:I50" si="197">1-D49</f>
        <v>1</v>
      </c>
      <c r="E50" s="348">
        <f t="shared" si="197"/>
        <v>1</v>
      </c>
      <c r="F50" s="348">
        <f t="shared" si="197"/>
        <v>1</v>
      </c>
      <c r="G50" s="348">
        <f t="shared" si="197"/>
        <v>0.84999999999999998</v>
      </c>
      <c r="H50" s="348">
        <f t="shared" si="197"/>
        <v>0.65000000000000002</v>
      </c>
      <c r="I50" s="348">
        <f t="shared" si="197"/>
        <v>0.5</v>
      </c>
    </row>
    <row r="52">
      <c r="B52" t="s">
        <v>700</v>
      </c>
      <c r="D52" s="126">
        <f t="shared" ref="D52:I52" si="198">D7*(1-D8)*D9+D11*(1-D12)*D13+D15*(1-D16)*D17+D19*(1-D20)*D21+D25*(1-D26)*D27+D32*(1-D33)*D34+D36*(1-D37)*D38+D40*(1-D41)*D42</f>
        <v>0.34000000000000002</v>
      </c>
      <c r="E52" s="126">
        <f t="shared" si="198"/>
        <v>1.3934500000000001</v>
      </c>
      <c r="F52" s="126">
        <f t="shared" si="198"/>
        <v>3.5990000000000002</v>
      </c>
      <c r="G52" s="126">
        <f t="shared" si="198"/>
        <v>4.7866999999999997</v>
      </c>
      <c r="H52" s="126">
        <f t="shared" si="198"/>
        <v>6.1377500000000005</v>
      </c>
      <c r="I52" s="126">
        <f t="shared" si="198"/>
        <v>7.5914999999999999</v>
      </c>
    </row>
    <row r="53">
      <c r="B53" t="s">
        <v>701</v>
      </c>
      <c r="D53" s="126">
        <f t="shared" ref="D53:I53" si="199">D7*(1-D8)*D10+D11*(1-D12)*D14+D15*(1-D16)*D18+D19*(1-D20)*D22+D25*(1-D26)*D28+D32*(1-D33)*D35+D36*(1-D37)*D39+D40*(1-D41)*D43</f>
        <v>0.56999999999999995</v>
      </c>
      <c r="E53" s="126">
        <f t="shared" si="199"/>
        <v>1.5305499999999999</v>
      </c>
      <c r="F53" s="126">
        <f t="shared" si="199"/>
        <v>2.496</v>
      </c>
      <c r="G53" s="126">
        <f t="shared" si="199"/>
        <v>3.2208000000000001</v>
      </c>
      <c r="H53" s="126">
        <f t="shared" si="199"/>
        <v>3.7922499999999997</v>
      </c>
      <c r="I53" s="126">
        <f t="shared" si="199"/>
        <v>3.8359999999999999</v>
      </c>
    </row>
    <row r="54">
      <c r="B54" t="s">
        <v>702</v>
      </c>
      <c r="D54" s="126">
        <f t="shared" ref="D54:I54" si="200">D7*(D8)*D9+D11*(D12)*D13+D15*(D16)*D17+D19*(D20)*D21+D25*(D26)*D27+D32*(D33)*D34+D36*(D37)*D38+D40*(D41)*D42</f>
        <v>0.059999999999999998</v>
      </c>
      <c r="E54" s="126">
        <f t="shared" si="200"/>
        <v>0.19155</v>
      </c>
      <c r="F54" s="126">
        <f t="shared" si="200"/>
        <v>0.27600000000000002</v>
      </c>
      <c r="G54" s="126">
        <f t="shared" si="200"/>
        <v>0.32330000000000003</v>
      </c>
      <c r="H54" s="126">
        <f t="shared" si="200"/>
        <v>0.36225000000000007</v>
      </c>
      <c r="I54" s="126">
        <f t="shared" si="200"/>
        <v>0.35849999999999999</v>
      </c>
    </row>
    <row r="55">
      <c r="B55" t="s">
        <v>703</v>
      </c>
      <c r="D55" s="126">
        <f t="shared" ref="D55:I55" si="201">D7*(D8)*D10+D11*(D12)*D14+D15*(D16)*D18+D19*(D20)*D22+D25*(D26)*D28+D32*(D33)*D35+D36*(D37)*D39+D40*(D41)*D43</f>
        <v>0.029999999999999995</v>
      </c>
      <c r="E55" s="126">
        <f t="shared" si="201"/>
        <v>0.084449999999999983</v>
      </c>
      <c r="F55" s="126">
        <f t="shared" si="201"/>
        <v>0.129</v>
      </c>
      <c r="G55" s="126">
        <f t="shared" si="201"/>
        <v>0.16920000000000002</v>
      </c>
      <c r="H55" s="126">
        <f t="shared" si="201"/>
        <v>0.20774999999999999</v>
      </c>
      <c r="I55" s="126">
        <f t="shared" si="201"/>
        <v>0.21400000000000002</v>
      </c>
    </row>
    <row r="56">
      <c r="B56" t="s">
        <v>704</v>
      </c>
      <c r="D56" s="126">
        <f t="shared" ref="D56:I56" si="202">D48*D49</f>
        <v>0</v>
      </c>
      <c r="E56" s="126">
        <f t="shared" si="202"/>
        <v>0</v>
      </c>
      <c r="F56" s="126">
        <f t="shared" si="202"/>
        <v>0</v>
      </c>
      <c r="G56" s="126">
        <f t="shared" si="202"/>
        <v>0</v>
      </c>
      <c r="H56" s="126">
        <f t="shared" si="202"/>
        <v>0</v>
      </c>
      <c r="I56" s="126">
        <f t="shared" si="202"/>
        <v>0</v>
      </c>
    </row>
    <row r="57">
      <c r="B57" t="s">
        <v>705</v>
      </c>
      <c r="D57" s="126">
        <f t="shared" ref="D57:I57" si="203">D48*D50</f>
        <v>0</v>
      </c>
      <c r="E57" s="126">
        <f t="shared" si="203"/>
        <v>0</v>
      </c>
      <c r="F57" s="126">
        <f t="shared" si="203"/>
        <v>0</v>
      </c>
      <c r="G57" s="126">
        <f t="shared" si="203"/>
        <v>0</v>
      </c>
      <c r="H57" s="126">
        <f t="shared" si="203"/>
        <v>0</v>
      </c>
      <c r="I57" s="126">
        <f t="shared" si="203"/>
        <v>0</v>
      </c>
    </row>
    <row r="58">
      <c r="B58" t="s">
        <v>706</v>
      </c>
    </row>
    <row r="60">
      <c r="B60" s="341" t="s">
        <v>707</v>
      </c>
      <c r="C60" s="1"/>
      <c r="D60" s="347">
        <f t="shared" ref="D60:I60" si="204">D52+D54+D56</f>
        <v>0.40000000000000002</v>
      </c>
      <c r="E60" s="347">
        <f t="shared" si="204"/>
        <v>1.585</v>
      </c>
      <c r="F60" s="347">
        <f t="shared" si="204"/>
        <v>3.875</v>
      </c>
      <c r="G60" s="347">
        <f t="shared" si="204"/>
        <v>5.1099999999999994</v>
      </c>
      <c r="H60" s="347">
        <f t="shared" si="204"/>
        <v>6.5000000000000009</v>
      </c>
      <c r="I60" s="347">
        <f t="shared" si="204"/>
        <v>7.9500000000000002</v>
      </c>
      <c r="J60" s="1"/>
      <c r="K60" s="1"/>
      <c r="L60" s="1"/>
      <c r="M60" s="1"/>
      <c r="N60" s="1"/>
    </row>
    <row r="62">
      <c r="B62" t="s">
        <v>708</v>
      </c>
      <c r="D62" s="126">
        <f t="shared" ref="D62:I62" si="205">D53+D55+D57</f>
        <v>0.59999999999999998</v>
      </c>
      <c r="E62" s="126">
        <f t="shared" si="205"/>
        <v>1.6149999999999998</v>
      </c>
      <c r="F62" s="126">
        <f t="shared" si="205"/>
        <v>2.625</v>
      </c>
      <c r="G62" s="126">
        <f t="shared" si="205"/>
        <v>3.3900000000000001</v>
      </c>
      <c r="H62" s="126">
        <f t="shared" si="205"/>
        <v>3.9999999999999996</v>
      </c>
      <c r="I62" s="126">
        <f t="shared" si="205"/>
        <v>4.0499999999999998</v>
      </c>
    </row>
    <row r="63">
      <c r="B63" t="s">
        <v>709</v>
      </c>
      <c r="D63" s="126">
        <f t="shared" ref="D63:I63" si="206">D52</f>
        <v>0.34000000000000002</v>
      </c>
      <c r="E63" s="126">
        <f t="shared" si="206"/>
        <v>1.3934500000000001</v>
      </c>
      <c r="F63" s="126">
        <f t="shared" si="206"/>
        <v>3.5990000000000002</v>
      </c>
      <c r="G63" s="126">
        <f t="shared" si="206"/>
        <v>4.7866999999999997</v>
      </c>
      <c r="H63" s="126">
        <f t="shared" si="206"/>
        <v>6.1377500000000005</v>
      </c>
      <c r="I63" s="126">
        <f t="shared" si="206"/>
        <v>7.5914999999999999</v>
      </c>
    </row>
    <row r="64">
      <c r="B64" t="s">
        <v>710</v>
      </c>
      <c r="D64" s="126">
        <f t="shared" ref="D64:I64" si="207">D54+D56</f>
        <v>0.059999999999999998</v>
      </c>
      <c r="E64" s="126">
        <f t="shared" si="207"/>
        <v>0.19155</v>
      </c>
      <c r="F64" s="126">
        <f t="shared" si="207"/>
        <v>0.27600000000000002</v>
      </c>
      <c r="G64" s="126">
        <f t="shared" si="207"/>
        <v>0.32330000000000003</v>
      </c>
      <c r="H64" s="126">
        <f t="shared" si="207"/>
        <v>0.36225000000000007</v>
      </c>
      <c r="I64" s="126">
        <f t="shared" si="207"/>
        <v>0.35849999999999999</v>
      </c>
    </row>
    <row r="67">
      <c r="B67" s="1" t="s">
        <v>711</v>
      </c>
    </row>
    <row r="68">
      <c r="B68" s="1" t="s">
        <v>712</v>
      </c>
    </row>
    <row r="69">
      <c r="B69" s="1" t="s">
        <v>713</v>
      </c>
    </row>
    <row r="70">
      <c r="B70" s="1" t="s">
        <v>714</v>
      </c>
    </row>
    <row r="71">
      <c r="B71" s="1" t="s">
        <v>715</v>
      </c>
    </row>
  </sheetData>
  <mergeCells count="2">
    <mergeCell ref="B5:B6"/>
    <mergeCell ref="D5:I5"/>
  </mergeCells>
  <hyperlinks>
    <hyperlink r:id="rId1" ref="B71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A5A5A5"/>
    <outlinePr applyStyles="0" summaryBelow="1" summaryRight="1" showOutlineSymbols="1"/>
    <pageSetUpPr autoPageBreaks="1" fitToPage="0"/>
  </sheetPr>
  <sheetViews>
    <sheetView topLeftCell="V31" zoomScale="65" workbookViewId="0">
      <selection activeCell="AE54" activeCellId="0" sqref="AE54:AM54"/>
    </sheetView>
  </sheetViews>
  <sheetFormatPr baseColWidth="10" defaultColWidth="8.88671875" defaultRowHeight="14.4"/>
  <cols>
    <col customWidth="1" min="1" max="1006" width="10.44140625"/>
    <col min="1007" max="1025" width="11.5546875"/>
  </cols>
  <sheetData>
    <row r="2">
      <c r="B2" t="s">
        <v>3</v>
      </c>
    </row>
    <row r="4" ht="14.550000000000001" customHeight="1">
      <c r="B4" s="349" t="s">
        <v>716</v>
      </c>
      <c r="C4" s="349"/>
      <c r="D4" s="117" t="s">
        <v>717</v>
      </c>
      <c r="E4" s="117"/>
      <c r="F4" s="117"/>
      <c r="G4" s="117"/>
      <c r="H4" s="117"/>
      <c r="I4" s="117"/>
      <c r="J4" s="117"/>
      <c r="K4" s="117"/>
      <c r="L4" s="117"/>
      <c r="M4" s="117" t="s">
        <v>718</v>
      </c>
      <c r="N4" s="117"/>
      <c r="O4" s="117"/>
      <c r="P4" s="117"/>
      <c r="Q4" s="117"/>
      <c r="R4" s="117"/>
      <c r="S4" s="117"/>
      <c r="T4" s="117"/>
      <c r="U4" s="117"/>
      <c r="V4" s="117" t="s">
        <v>719</v>
      </c>
      <c r="W4" s="117"/>
      <c r="X4" s="117"/>
      <c r="Y4" s="117"/>
      <c r="Z4" s="117"/>
      <c r="AA4" s="117"/>
      <c r="AB4" s="117"/>
      <c r="AC4" s="117"/>
      <c r="AD4" s="117"/>
      <c r="AE4" s="117" t="s">
        <v>720</v>
      </c>
      <c r="AF4" s="117"/>
      <c r="AG4" s="117"/>
      <c r="AH4" s="117"/>
      <c r="AI4" s="117"/>
      <c r="AJ4" s="117"/>
      <c r="AK4" s="117"/>
      <c r="AL4" s="117"/>
      <c r="AM4" s="117"/>
    </row>
    <row r="5">
      <c r="B5" s="349"/>
      <c r="C5" s="349"/>
      <c r="D5" s="350" t="s">
        <v>5</v>
      </c>
      <c r="E5" s="350" t="s">
        <v>9</v>
      </c>
      <c r="F5" s="350" t="s">
        <v>15</v>
      </c>
      <c r="G5" s="350" t="s">
        <v>14</v>
      </c>
      <c r="H5" s="350" t="s">
        <v>13</v>
      </c>
      <c r="I5" s="350" t="s">
        <v>721</v>
      </c>
      <c r="J5" s="351" t="s">
        <v>11</v>
      </c>
      <c r="K5" s="351" t="s">
        <v>16</v>
      </c>
      <c r="L5" s="351" t="s">
        <v>17</v>
      </c>
      <c r="M5" s="350" t="s">
        <v>5</v>
      </c>
      <c r="N5" s="350" t="s">
        <v>9</v>
      </c>
      <c r="O5" s="350" t="s">
        <v>15</v>
      </c>
      <c r="P5" s="350" t="s">
        <v>14</v>
      </c>
      <c r="Q5" s="350" t="s">
        <v>13</v>
      </c>
      <c r="R5" s="350" t="s">
        <v>721</v>
      </c>
      <c r="S5" s="351" t="s">
        <v>11</v>
      </c>
      <c r="T5" s="351" t="s">
        <v>16</v>
      </c>
      <c r="U5" s="351" t="s">
        <v>17</v>
      </c>
      <c r="V5" s="350" t="s">
        <v>5</v>
      </c>
      <c r="W5" s="350" t="s">
        <v>9</v>
      </c>
      <c r="X5" s="350" t="s">
        <v>15</v>
      </c>
      <c r="Y5" s="350" t="s">
        <v>14</v>
      </c>
      <c r="Z5" s="350" t="s">
        <v>13</v>
      </c>
      <c r="AA5" s="350" t="s">
        <v>721</v>
      </c>
      <c r="AB5" s="351" t="s">
        <v>11</v>
      </c>
      <c r="AC5" s="351" t="s">
        <v>16</v>
      </c>
      <c r="AD5" s="351" t="s">
        <v>17</v>
      </c>
      <c r="AE5" s="350" t="s">
        <v>5</v>
      </c>
      <c r="AF5" s="350" t="s">
        <v>9</v>
      </c>
      <c r="AG5" s="350" t="s">
        <v>15</v>
      </c>
      <c r="AH5" s="350" t="s">
        <v>14</v>
      </c>
      <c r="AI5" s="350" t="s">
        <v>13</v>
      </c>
      <c r="AJ5" s="350" t="s">
        <v>721</v>
      </c>
      <c r="AK5" s="351" t="s">
        <v>11</v>
      </c>
      <c r="AL5" s="351" t="s">
        <v>16</v>
      </c>
      <c r="AM5" s="351" t="s">
        <v>17</v>
      </c>
    </row>
    <row r="6">
      <c r="B6" s="352" t="s">
        <v>722</v>
      </c>
      <c r="C6" s="130" t="s">
        <v>723</v>
      </c>
      <c r="D6" s="353">
        <v>3.0855467839999999</v>
      </c>
      <c r="E6" s="353">
        <v>0.45881</v>
      </c>
      <c r="F6" s="353">
        <v>0.52264500000000003</v>
      </c>
      <c r="G6" s="353">
        <v>0</v>
      </c>
      <c r="H6" s="353">
        <v>0.48256920961041</v>
      </c>
      <c r="I6" s="353">
        <v>0.27113667699007099</v>
      </c>
      <c r="J6" s="353">
        <v>0.45102890040768601</v>
      </c>
      <c r="K6" s="353">
        <v>0</v>
      </c>
      <c r="L6" s="353">
        <v>0</v>
      </c>
      <c r="M6" s="353">
        <v>3.0840223231969399</v>
      </c>
      <c r="N6" s="353">
        <v>0.46509831930825302</v>
      </c>
      <c r="O6" s="353">
        <v>0.52823776727000904</v>
      </c>
      <c r="P6" s="353">
        <v>0</v>
      </c>
      <c r="Q6" s="353">
        <v>0.493487822033645</v>
      </c>
      <c r="R6" s="353">
        <v>0.27354228134493203</v>
      </c>
      <c r="S6" s="353">
        <v>0.44568883173850898</v>
      </c>
      <c r="T6" s="353">
        <v>0</v>
      </c>
      <c r="U6" s="353">
        <v>0</v>
      </c>
      <c r="V6" s="353">
        <v>3.2205782939236198</v>
      </c>
      <c r="W6" s="353">
        <v>0.50026376914374504</v>
      </c>
      <c r="X6" s="353">
        <v>0.54049410528064501</v>
      </c>
      <c r="Y6" s="353">
        <v>0</v>
      </c>
      <c r="Z6" s="353">
        <v>0.52628421859239105</v>
      </c>
      <c r="AA6" s="353">
        <v>0.28700266853787798</v>
      </c>
      <c r="AB6" s="353">
        <v>0.46045705481474503</v>
      </c>
      <c r="AC6" s="353">
        <v>0</v>
      </c>
      <c r="AD6" s="353">
        <v>0</v>
      </c>
      <c r="AE6" s="353">
        <v>3.3684793111392302</v>
      </c>
      <c r="AF6" s="353">
        <v>0.56133497888224204</v>
      </c>
      <c r="AG6" s="353">
        <v>0.560354624050309</v>
      </c>
      <c r="AH6" s="353">
        <v>0</v>
      </c>
      <c r="AI6" s="353">
        <v>0.59291647134137404</v>
      </c>
      <c r="AJ6" s="353">
        <v>0.30888265269971898</v>
      </c>
      <c r="AK6" s="353">
        <v>0.45764842151836399</v>
      </c>
      <c r="AL6" s="353">
        <v>0</v>
      </c>
      <c r="AM6" s="353">
        <v>0</v>
      </c>
      <c r="AO6" s="81"/>
      <c r="AP6" s="81">
        <f>SUM(AE6:AM6)</f>
        <v>5.8496164596312372</v>
      </c>
    </row>
    <row r="7">
      <c r="B7" s="354" t="s">
        <v>724</v>
      </c>
      <c r="C7" s="130" t="s">
        <v>723</v>
      </c>
      <c r="D7" s="355">
        <v>2.7054697600000002</v>
      </c>
      <c r="E7" s="355">
        <v>0.26743</v>
      </c>
      <c r="F7" s="355">
        <v>0</v>
      </c>
      <c r="G7" s="355">
        <v>0</v>
      </c>
      <c r="H7" s="356">
        <v>0</v>
      </c>
      <c r="I7" s="356">
        <v>0</v>
      </c>
      <c r="J7" s="356">
        <v>0</v>
      </c>
      <c r="K7" s="356">
        <v>0</v>
      </c>
      <c r="L7" s="356">
        <v>0</v>
      </c>
      <c r="M7" s="356">
        <v>2.67450212807378</v>
      </c>
      <c r="N7" s="356">
        <v>0.264368914665219</v>
      </c>
      <c r="O7" s="356">
        <v>0</v>
      </c>
      <c r="P7" s="356">
        <v>0</v>
      </c>
      <c r="Q7" s="356">
        <v>0</v>
      </c>
      <c r="R7" s="356">
        <v>0</v>
      </c>
      <c r="S7" s="356">
        <v>0</v>
      </c>
      <c r="T7" s="356">
        <v>0</v>
      </c>
      <c r="U7" s="356">
        <v>0</v>
      </c>
      <c r="V7" s="355">
        <v>2.7065291866482699</v>
      </c>
      <c r="W7" s="355">
        <v>0.26753472209770501</v>
      </c>
      <c r="X7" s="355">
        <v>0</v>
      </c>
      <c r="Y7" s="355">
        <v>0</v>
      </c>
      <c r="Z7" s="356">
        <v>0</v>
      </c>
      <c r="AA7" s="356">
        <v>0</v>
      </c>
      <c r="AB7" s="356">
        <v>0</v>
      </c>
      <c r="AC7" s="356">
        <v>0</v>
      </c>
      <c r="AD7" s="356">
        <v>0</v>
      </c>
      <c r="AE7" s="355">
        <v>2.6250041282698899</v>
      </c>
      <c r="AF7" s="355">
        <v>0.25947614140888298</v>
      </c>
      <c r="AG7" s="355">
        <v>0</v>
      </c>
      <c r="AH7" s="355">
        <v>0</v>
      </c>
      <c r="AI7" s="356">
        <v>0</v>
      </c>
      <c r="AJ7" s="356">
        <v>0</v>
      </c>
      <c r="AK7" s="356">
        <v>0</v>
      </c>
      <c r="AL7" s="356">
        <v>0</v>
      </c>
      <c r="AM7" s="356">
        <v>0</v>
      </c>
    </row>
    <row r="8">
      <c r="B8" s="354" t="s">
        <v>524</v>
      </c>
      <c r="C8" s="130" t="s">
        <v>723</v>
      </c>
      <c r="D8" s="355">
        <v>0.38007702399999999</v>
      </c>
      <c r="E8" s="355">
        <v>0.10936</v>
      </c>
      <c r="F8" s="355">
        <v>0</v>
      </c>
      <c r="G8" s="355">
        <v>0</v>
      </c>
      <c r="H8" s="356">
        <v>0.085353554350616895</v>
      </c>
      <c r="I8" s="356">
        <v>0.037468890101210003</v>
      </c>
      <c r="J8" s="356">
        <v>0.070715481985624801</v>
      </c>
      <c r="K8" s="356">
        <v>0</v>
      </c>
      <c r="L8" s="356">
        <v>0</v>
      </c>
      <c r="M8" s="356">
        <v>0.40952019512316301</v>
      </c>
      <c r="N8" s="356">
        <v>0.11783171754857</v>
      </c>
      <c r="O8" s="356">
        <v>0</v>
      </c>
      <c r="P8" s="356">
        <v>0</v>
      </c>
      <c r="Q8" s="356">
        <v>0.091992249491242101</v>
      </c>
      <c r="R8" s="356">
        <v>0.040132314977550099</v>
      </c>
      <c r="S8" s="356">
        <v>0.073080860522054494</v>
      </c>
      <c r="T8" s="356">
        <v>0</v>
      </c>
      <c r="U8" s="356">
        <v>0</v>
      </c>
      <c r="V8" s="355">
        <v>0.51404910727535602</v>
      </c>
      <c r="W8" s="355">
        <v>0.14790794186925901</v>
      </c>
      <c r="X8" s="355">
        <v>0</v>
      </c>
      <c r="Y8" s="355">
        <v>0</v>
      </c>
      <c r="Z8" s="356">
        <v>0.115473020110773</v>
      </c>
      <c r="AA8" s="356">
        <v>0.050154898381019102</v>
      </c>
      <c r="AB8" s="356">
        <v>0.088684105425968995</v>
      </c>
      <c r="AC8" s="356">
        <v>0</v>
      </c>
      <c r="AD8" s="356">
        <v>0</v>
      </c>
      <c r="AE8" s="355">
        <v>0.743475182869337</v>
      </c>
      <c r="AF8" s="355">
        <v>0.21392097092033299</v>
      </c>
      <c r="AG8" s="355">
        <v>0</v>
      </c>
      <c r="AH8" s="355">
        <v>0</v>
      </c>
      <c r="AI8" s="356">
        <v>0.16700996758534301</v>
      </c>
      <c r="AJ8" s="356">
        <v>0.071328190509976894</v>
      </c>
      <c r="AK8" s="356">
        <v>0.111447891266963</v>
      </c>
      <c r="AL8" s="356">
        <v>0</v>
      </c>
      <c r="AM8" s="356">
        <v>0</v>
      </c>
    </row>
    <row r="9">
      <c r="B9" s="354" t="s">
        <v>725</v>
      </c>
      <c r="C9" s="130" t="s">
        <v>723</v>
      </c>
      <c r="D9" s="355">
        <v>0</v>
      </c>
      <c r="E9" s="355">
        <v>0</v>
      </c>
      <c r="F9" s="355">
        <v>0</v>
      </c>
      <c r="G9" s="355">
        <v>0</v>
      </c>
      <c r="H9" s="356">
        <v>0</v>
      </c>
      <c r="I9" s="356">
        <v>0</v>
      </c>
      <c r="J9" s="356">
        <v>0</v>
      </c>
      <c r="K9" s="356">
        <v>0</v>
      </c>
      <c r="L9" s="356">
        <v>0</v>
      </c>
      <c r="M9" s="356">
        <v>0</v>
      </c>
      <c r="N9" s="356">
        <v>0</v>
      </c>
      <c r="O9" s="356">
        <v>0</v>
      </c>
      <c r="P9" s="356">
        <v>0</v>
      </c>
      <c r="Q9" s="356">
        <v>0</v>
      </c>
      <c r="R9" s="356">
        <v>0</v>
      </c>
      <c r="S9" s="356">
        <v>0</v>
      </c>
      <c r="T9" s="356">
        <v>0</v>
      </c>
      <c r="U9" s="356">
        <v>0</v>
      </c>
      <c r="V9" s="355">
        <v>0</v>
      </c>
      <c r="W9" s="355">
        <v>0</v>
      </c>
      <c r="X9" s="355">
        <v>0</v>
      </c>
      <c r="Y9" s="355">
        <v>0</v>
      </c>
      <c r="Z9" s="356">
        <v>0</v>
      </c>
      <c r="AA9" s="356">
        <v>0</v>
      </c>
      <c r="AB9" s="356">
        <v>0</v>
      </c>
      <c r="AC9" s="356">
        <v>0</v>
      </c>
      <c r="AD9" s="356">
        <v>0</v>
      </c>
      <c r="AE9" s="355">
        <v>0</v>
      </c>
      <c r="AF9" s="355">
        <v>0</v>
      </c>
      <c r="AG9" s="355">
        <v>0</v>
      </c>
      <c r="AH9" s="355">
        <v>0</v>
      </c>
      <c r="AI9" s="356">
        <v>0</v>
      </c>
      <c r="AJ9" s="356">
        <v>0</v>
      </c>
      <c r="AK9" s="356">
        <v>0</v>
      </c>
      <c r="AL9" s="356">
        <v>0</v>
      </c>
      <c r="AM9" s="356">
        <v>0</v>
      </c>
    </row>
    <row r="10">
      <c r="B10" s="354" t="s">
        <v>726</v>
      </c>
      <c r="C10" s="130" t="s">
        <v>723</v>
      </c>
      <c r="D10" s="355">
        <v>0</v>
      </c>
      <c r="E10" s="355">
        <v>0</v>
      </c>
      <c r="F10" s="355">
        <v>0</v>
      </c>
      <c r="G10" s="355">
        <v>0</v>
      </c>
      <c r="H10" s="356">
        <v>0</v>
      </c>
      <c r="I10" s="356">
        <v>0</v>
      </c>
      <c r="J10" s="356">
        <v>0.073700000000000002</v>
      </c>
      <c r="K10" s="356">
        <v>0</v>
      </c>
      <c r="L10" s="356">
        <v>0</v>
      </c>
      <c r="M10" s="356">
        <v>0</v>
      </c>
      <c r="N10" s="356">
        <v>0</v>
      </c>
      <c r="O10" s="356">
        <v>0</v>
      </c>
      <c r="P10" s="356">
        <v>0</v>
      </c>
      <c r="Q10" s="356">
        <v>0</v>
      </c>
      <c r="R10" s="356">
        <v>0</v>
      </c>
      <c r="S10" s="356">
        <v>0.072730583469592894</v>
      </c>
      <c r="T10" s="356">
        <v>0</v>
      </c>
      <c r="U10" s="356">
        <v>0</v>
      </c>
      <c r="V10" s="355">
        <v>0</v>
      </c>
      <c r="W10" s="355">
        <v>0</v>
      </c>
      <c r="X10" s="355">
        <v>0</v>
      </c>
      <c r="Y10" s="355">
        <v>0</v>
      </c>
      <c r="Z10" s="356">
        <v>0</v>
      </c>
      <c r="AA10" s="356">
        <v>0</v>
      </c>
      <c r="AB10" s="356">
        <v>0.072739172807993094</v>
      </c>
      <c r="AC10" s="356">
        <v>0</v>
      </c>
      <c r="AD10" s="356">
        <v>0</v>
      </c>
      <c r="AE10" s="355">
        <v>0</v>
      </c>
      <c r="AF10" s="355">
        <v>0</v>
      </c>
      <c r="AG10" s="355">
        <v>0</v>
      </c>
      <c r="AH10" s="355">
        <v>0</v>
      </c>
      <c r="AI10" s="356">
        <v>0</v>
      </c>
      <c r="AJ10" s="356">
        <v>0</v>
      </c>
      <c r="AK10" s="356">
        <v>0.067863142507480601</v>
      </c>
      <c r="AL10" s="356">
        <v>0</v>
      </c>
      <c r="AM10" s="356">
        <v>0</v>
      </c>
    </row>
    <row r="11">
      <c r="B11" s="357" t="s">
        <v>727</v>
      </c>
      <c r="C11" s="130" t="s">
        <v>723</v>
      </c>
      <c r="D11" s="355">
        <v>0</v>
      </c>
      <c r="E11" s="355">
        <v>0.082019999999999996</v>
      </c>
      <c r="F11" s="355">
        <v>0.52264500000000003</v>
      </c>
      <c r="G11" s="355">
        <v>0</v>
      </c>
      <c r="H11" s="356">
        <v>0.39721565525979302</v>
      </c>
      <c r="I11" s="356">
        <v>0.233667786888861</v>
      </c>
      <c r="J11" s="356">
        <v>0.30661341842206102</v>
      </c>
      <c r="K11" s="356">
        <v>0</v>
      </c>
      <c r="L11" s="356">
        <v>0</v>
      </c>
      <c r="M11" s="356">
        <v>0</v>
      </c>
      <c r="N11" s="356">
        <v>0.082897687094464101</v>
      </c>
      <c r="O11" s="356">
        <v>0.52823776727000904</v>
      </c>
      <c r="P11" s="356">
        <v>0</v>
      </c>
      <c r="Q11" s="356">
        <v>0.40149557254240298</v>
      </c>
      <c r="R11" s="356">
        <v>0.23340996636738201</v>
      </c>
      <c r="S11" s="356">
        <v>0.29987738774686201</v>
      </c>
      <c r="T11" s="356">
        <v>0</v>
      </c>
      <c r="U11" s="356">
        <v>0</v>
      </c>
      <c r="V11" s="355">
        <v>0</v>
      </c>
      <c r="W11" s="355">
        <v>0.084821105176780695</v>
      </c>
      <c r="X11" s="355">
        <v>0.54049410528064501</v>
      </c>
      <c r="Y11" s="355">
        <v>0</v>
      </c>
      <c r="Z11" s="356">
        <v>0.41081119848161801</v>
      </c>
      <c r="AA11" s="356">
        <v>0.23684777015685901</v>
      </c>
      <c r="AB11" s="356">
        <v>0.29903377658078301</v>
      </c>
      <c r="AC11" s="356">
        <v>0</v>
      </c>
      <c r="AD11" s="356">
        <v>0</v>
      </c>
      <c r="AE11" s="355">
        <v>0</v>
      </c>
      <c r="AF11" s="355">
        <v>0.087937866553026101</v>
      </c>
      <c r="AG11" s="355">
        <v>0.560354624050309</v>
      </c>
      <c r="AH11" s="355">
        <v>0</v>
      </c>
      <c r="AI11" s="356">
        <v>0.42590650375603101</v>
      </c>
      <c r="AJ11" s="356">
        <v>0.23755446218974199</v>
      </c>
      <c r="AK11" s="356">
        <v>0.27833738774391997</v>
      </c>
      <c r="AL11" s="356">
        <v>0</v>
      </c>
      <c r="AM11" s="356">
        <v>0</v>
      </c>
    </row>
    <row r="12">
      <c r="B12" s="358" t="s">
        <v>728</v>
      </c>
      <c r="C12" s="130" t="s">
        <v>723</v>
      </c>
      <c r="D12" s="359">
        <v>0.47199999999999998</v>
      </c>
      <c r="E12" s="359">
        <v>0.129</v>
      </c>
      <c r="F12" s="359">
        <v>3.2250000000000001</v>
      </c>
      <c r="G12" s="359">
        <v>0</v>
      </c>
      <c r="H12" s="359">
        <v>0.0050241974510259</v>
      </c>
      <c r="I12" s="359">
        <v>0.0097934215665656504</v>
      </c>
      <c r="J12" s="359">
        <v>1.0574619742197899</v>
      </c>
      <c r="K12" s="359">
        <v>3.6507849999999999</v>
      </c>
      <c r="L12" s="359">
        <v>0</v>
      </c>
      <c r="M12" s="359">
        <v>0.47229944660151302</v>
      </c>
      <c r="N12" s="359">
        <v>0.121269246678803</v>
      </c>
      <c r="O12" s="359">
        <v>3.1436165524496098</v>
      </c>
      <c r="P12" s="359">
        <v>0</v>
      </c>
      <c r="Q12" s="359">
        <v>0.0047142340369556203</v>
      </c>
      <c r="R12" s="359">
        <v>0.0086925223790535796</v>
      </c>
      <c r="S12" s="359">
        <v>1.09303072578199</v>
      </c>
      <c r="T12" s="359">
        <v>3.8884363513616198</v>
      </c>
      <c r="U12" s="359">
        <v>0</v>
      </c>
      <c r="V12" s="359">
        <v>0.49271964422582298</v>
      </c>
      <c r="W12" s="360">
        <v>0.102785563651352</v>
      </c>
      <c r="X12" s="359">
        <v>3.1094460662600998</v>
      </c>
      <c r="Y12" s="359">
        <v>0</v>
      </c>
      <c r="Z12" s="359">
        <v>0.0030309897682157098</v>
      </c>
      <c r="AA12" s="359">
        <v>0.00536509154803432</v>
      </c>
      <c r="AB12" s="359">
        <v>0.65874266337388998</v>
      </c>
      <c r="AC12" s="359">
        <v>4.5624557158814998</v>
      </c>
      <c r="AD12" s="359">
        <v>0</v>
      </c>
      <c r="AE12" s="359">
        <v>0.48605527621399203</v>
      </c>
      <c r="AF12" s="361">
        <v>0.066000000000000003</v>
      </c>
      <c r="AG12" s="361">
        <v>2.6600000000000001</v>
      </c>
      <c r="AH12" s="359">
        <v>0</v>
      </c>
      <c r="AI12" s="359">
        <v>0.00037108196006756499</v>
      </c>
      <c r="AJ12" s="359">
        <v>0.00055062696202502705</v>
      </c>
      <c r="AK12" s="361">
        <v>0.080000000000000002</v>
      </c>
      <c r="AL12" s="361">
        <v>6.0999999999999996</v>
      </c>
      <c r="AM12" s="359">
        <v>0</v>
      </c>
      <c r="AO12" s="81"/>
      <c r="AP12" s="81">
        <f>SUM(AE12:AM12)</f>
        <v>9.3929769851360838</v>
      </c>
    </row>
    <row r="13">
      <c r="B13" s="362" t="s">
        <v>729</v>
      </c>
      <c r="C13" s="130" t="s">
        <v>723</v>
      </c>
      <c r="D13" s="363">
        <v>0.47199999999999998</v>
      </c>
      <c r="E13" s="363">
        <v>0.129</v>
      </c>
      <c r="F13" s="363">
        <v>3.2250000000000001</v>
      </c>
      <c r="G13" s="363">
        <v>0</v>
      </c>
      <c r="H13" s="364">
        <v>0.0050241974510259</v>
      </c>
      <c r="I13" s="364">
        <v>0.0097934215665656504</v>
      </c>
      <c r="J13" s="364">
        <v>1.0574619742197899</v>
      </c>
      <c r="K13" s="364">
        <v>3.6507849999999999</v>
      </c>
      <c r="L13" s="364">
        <v>0</v>
      </c>
      <c r="M13" s="364">
        <v>0.47229944660151302</v>
      </c>
      <c r="N13" s="364">
        <v>0.121269246678803</v>
      </c>
      <c r="O13" s="364">
        <v>3.1436165524496098</v>
      </c>
      <c r="P13" s="364">
        <v>0</v>
      </c>
      <c r="Q13" s="364">
        <v>0.0047142340369556203</v>
      </c>
      <c r="R13" s="364">
        <v>0.0086925223790535796</v>
      </c>
      <c r="S13" s="364">
        <v>1.09303072578199</v>
      </c>
      <c r="T13" s="364">
        <v>3.8884363513616198</v>
      </c>
      <c r="U13" s="364">
        <v>0</v>
      </c>
      <c r="V13" s="363">
        <v>0.49271964422582298</v>
      </c>
      <c r="W13" s="363">
        <v>0.102785563651352</v>
      </c>
      <c r="X13" s="363">
        <v>3.1094460662600998</v>
      </c>
      <c r="Y13" s="363">
        <v>0</v>
      </c>
      <c r="Z13" s="364">
        <v>0.0030309897682157098</v>
      </c>
      <c r="AA13" s="364">
        <v>0.00536509154803432</v>
      </c>
      <c r="AB13" s="364">
        <v>0.65874266337388998</v>
      </c>
      <c r="AC13" s="364">
        <v>4.5624557158814998</v>
      </c>
      <c r="AD13" s="364">
        <v>0</v>
      </c>
      <c r="AE13" s="363">
        <v>0.48605527621399203</v>
      </c>
      <c r="AF13" s="365">
        <v>0.070000000000000007</v>
      </c>
      <c r="AG13" s="365">
        <v>2.6600000000000001</v>
      </c>
      <c r="AH13" s="363">
        <v>0</v>
      </c>
      <c r="AI13" s="364">
        <v>0.00037108196006756499</v>
      </c>
      <c r="AJ13" s="364">
        <v>0.00055062696202502705</v>
      </c>
      <c r="AK13" s="366">
        <v>0.080000000000000002</v>
      </c>
      <c r="AL13" s="366">
        <v>6.0999999999999996</v>
      </c>
      <c r="AM13" s="364">
        <v>0</v>
      </c>
    </row>
    <row r="14">
      <c r="B14" s="367" t="s">
        <v>730</v>
      </c>
      <c r="C14" s="130" t="s">
        <v>723</v>
      </c>
      <c r="D14" s="368">
        <v>3.0200613631105</v>
      </c>
      <c r="E14" s="368">
        <v>0.44015162419749998</v>
      </c>
      <c r="F14" s="368">
        <v>0.10675770492</v>
      </c>
      <c r="G14" s="368">
        <v>0</v>
      </c>
      <c r="H14" s="368">
        <v>0.17388883742158701</v>
      </c>
      <c r="I14" s="368">
        <v>0.093357908935547199</v>
      </c>
      <c r="J14" s="368">
        <v>0.37326955346134799</v>
      </c>
      <c r="K14" s="368">
        <v>0</v>
      </c>
      <c r="L14" s="368">
        <v>0</v>
      </c>
      <c r="M14" s="368">
        <v>3.2157321595065498</v>
      </c>
      <c r="N14" s="368">
        <v>0.50304478644531303</v>
      </c>
      <c r="O14" s="368">
        <v>0.106131403062222</v>
      </c>
      <c r="P14" s="368">
        <v>0</v>
      </c>
      <c r="Q14" s="368">
        <v>0.18475835603471699</v>
      </c>
      <c r="R14" s="368">
        <v>0.098233477756070095</v>
      </c>
      <c r="S14" s="368">
        <v>0.366153392556894</v>
      </c>
      <c r="T14" s="368">
        <v>0</v>
      </c>
      <c r="U14" s="368">
        <v>0</v>
      </c>
      <c r="V14" s="369">
        <v>3.7067891783198399</v>
      </c>
      <c r="W14" s="368">
        <v>0.673234144938056</v>
      </c>
      <c r="X14" s="368">
        <v>0.110003745138209</v>
      </c>
      <c r="Y14" s="368">
        <v>0</v>
      </c>
      <c r="Z14" s="368">
        <v>0.21959900372148</v>
      </c>
      <c r="AA14" s="368">
        <v>0.115629255305643</v>
      </c>
      <c r="AB14" s="368">
        <v>0.376661387404156</v>
      </c>
      <c r="AC14" s="368">
        <v>0</v>
      </c>
      <c r="AD14" s="368">
        <v>0</v>
      </c>
      <c r="AE14" s="369">
        <v>5.3174400922828804</v>
      </c>
      <c r="AF14" s="368">
        <v>1.11458020841451</v>
      </c>
      <c r="AG14" s="368">
        <v>0.13003586197407499</v>
      </c>
      <c r="AH14" s="368">
        <v>0</v>
      </c>
      <c r="AI14" s="368">
        <v>0.32185724115008202</v>
      </c>
      <c r="AJ14" s="368">
        <v>0.1652714230874</v>
      </c>
      <c r="AK14" s="368">
        <v>0.40563834922070902</v>
      </c>
      <c r="AL14" s="368">
        <v>0</v>
      </c>
      <c r="AM14" s="368">
        <v>0</v>
      </c>
      <c r="AO14" s="81"/>
      <c r="AP14" s="81">
        <f>SUM(AE14:AM14)</f>
        <v>7.4548231761296559</v>
      </c>
    </row>
    <row r="15">
      <c r="B15" s="370" t="s">
        <v>731</v>
      </c>
      <c r="C15" s="130" t="s">
        <v>723</v>
      </c>
      <c r="D15" s="369">
        <v>2.8304276828604999</v>
      </c>
      <c r="E15" s="369">
        <v>0.29845278552249999</v>
      </c>
      <c r="F15" s="369">
        <v>0.10675770492</v>
      </c>
      <c r="G15" s="369">
        <v>0</v>
      </c>
      <c r="H15" s="371">
        <v>0.17313813080340401</v>
      </c>
      <c r="I15" s="371">
        <v>0.0929780919153219</v>
      </c>
      <c r="J15" s="371">
        <v>0.35630325677625502</v>
      </c>
      <c r="K15" s="371">
        <v>0</v>
      </c>
      <c r="L15" s="371">
        <v>0</v>
      </c>
      <c r="M15" s="371">
        <v>3.0203516417702301</v>
      </c>
      <c r="N15" s="371">
        <v>0.34058380006014499</v>
      </c>
      <c r="O15" s="371">
        <v>0.106131403062222</v>
      </c>
      <c r="P15" s="371">
        <v>0</v>
      </c>
      <c r="Q15" s="371">
        <v>0.18389359669835401</v>
      </c>
      <c r="R15" s="371">
        <v>0.097795959162146603</v>
      </c>
      <c r="S15" s="371">
        <v>0.34804660027780199</v>
      </c>
      <c r="T15" s="371">
        <v>0</v>
      </c>
      <c r="U15" s="371">
        <v>0</v>
      </c>
      <c r="V15" s="369">
        <v>3.5442878863053702</v>
      </c>
      <c r="W15" s="369">
        <v>0.45734135193964098</v>
      </c>
      <c r="X15" s="369">
        <v>0.110003745138209</v>
      </c>
      <c r="Y15" s="369">
        <v>0</v>
      </c>
      <c r="Z15" s="371">
        <v>0.218451723892509</v>
      </c>
      <c r="AA15" s="371">
        <v>0.115048797557667</v>
      </c>
      <c r="AB15" s="371">
        <v>0.35447458908213803</v>
      </c>
      <c r="AC15" s="371">
        <v>0</v>
      </c>
      <c r="AD15" s="371">
        <v>0</v>
      </c>
      <c r="AE15" s="369">
        <v>5.1013015921590901</v>
      </c>
      <c r="AF15" s="369">
        <v>0.77888611871016999</v>
      </c>
      <c r="AG15" s="369">
        <v>0.13003586197407499</v>
      </c>
      <c r="AH15" s="369">
        <v>0</v>
      </c>
      <c r="AI15" s="371">
        <v>0.31993218329260498</v>
      </c>
      <c r="AJ15" s="371">
        <v>0.16429745429741299</v>
      </c>
      <c r="AK15" s="371">
        <v>0.37790586269496101</v>
      </c>
      <c r="AL15" s="371">
        <v>0</v>
      </c>
      <c r="AM15" s="371">
        <v>0</v>
      </c>
    </row>
    <row r="16" ht="28.800000000000001">
      <c r="B16" s="372" t="s">
        <v>732</v>
      </c>
      <c r="C16" s="130" t="s">
        <v>723</v>
      </c>
      <c r="D16" s="369">
        <v>0.18963368024999999</v>
      </c>
      <c r="E16" s="369">
        <v>0.14169883867499999</v>
      </c>
      <c r="F16" s="369">
        <v>0</v>
      </c>
      <c r="G16" s="369">
        <v>0</v>
      </c>
      <c r="H16" s="371">
        <v>0.00075070661818359304</v>
      </c>
      <c r="I16" s="371">
        <v>0.00037981702022522499</v>
      </c>
      <c r="J16" s="371">
        <v>0.016966296685092801</v>
      </c>
      <c r="K16" s="371">
        <v>0</v>
      </c>
      <c r="L16" s="371">
        <v>0</v>
      </c>
      <c r="M16" s="371">
        <v>0.19538051773632001</v>
      </c>
      <c r="N16" s="371">
        <v>0.16246098638516701</v>
      </c>
      <c r="O16" s="371">
        <v>0</v>
      </c>
      <c r="P16" s="371">
        <v>0</v>
      </c>
      <c r="Q16" s="371">
        <v>0.00086475933636328401</v>
      </c>
      <c r="R16" s="371">
        <v>0.000437518593923517</v>
      </c>
      <c r="S16" s="371">
        <v>0.018106792279092</v>
      </c>
      <c r="T16" s="371">
        <v>0</v>
      </c>
      <c r="U16" s="371">
        <v>0</v>
      </c>
      <c r="V16" s="369">
        <v>0.162501292014474</v>
      </c>
      <c r="W16" s="369">
        <v>0.21589279299841499</v>
      </c>
      <c r="X16" s="369">
        <v>0</v>
      </c>
      <c r="Y16" s="369">
        <v>0</v>
      </c>
      <c r="Z16" s="371">
        <v>0.0011472798289716599</v>
      </c>
      <c r="AA16" s="371">
        <v>0.00058045774797649296</v>
      </c>
      <c r="AB16" s="371">
        <v>0.022186798322018302</v>
      </c>
      <c r="AC16" s="371">
        <v>0</v>
      </c>
      <c r="AD16" s="371">
        <v>0</v>
      </c>
      <c r="AE16" s="369">
        <v>0.216138500123783</v>
      </c>
      <c r="AF16" s="369">
        <v>0.335694089704342</v>
      </c>
      <c r="AG16" s="369">
        <v>0</v>
      </c>
      <c r="AH16" s="369">
        <v>0</v>
      </c>
      <c r="AI16" s="371">
        <v>0.00192505785747691</v>
      </c>
      <c r="AJ16" s="371">
        <v>0.00097396878998660898</v>
      </c>
      <c r="AK16" s="371">
        <v>0.0277324865257483</v>
      </c>
      <c r="AL16" s="371">
        <v>0</v>
      </c>
      <c r="AM16" s="371">
        <v>0</v>
      </c>
    </row>
    <row r="17">
      <c r="B17" s="373" t="s">
        <v>733</v>
      </c>
      <c r="C17" s="130" t="s">
        <v>723</v>
      </c>
      <c r="D17" s="374">
        <v>5.8579592548119797</v>
      </c>
      <c r="E17" s="375">
        <v>0.33786776018916098</v>
      </c>
      <c r="F17" s="374">
        <v>1.0751321085718999</v>
      </c>
      <c r="G17" s="374">
        <v>13.304506527272199</v>
      </c>
      <c r="H17" s="374">
        <v>0.18352956758981201</v>
      </c>
      <c r="I17" s="374">
        <v>0.34633279205505202</v>
      </c>
      <c r="J17" s="374">
        <v>0.71500585526861804</v>
      </c>
      <c r="K17" s="374">
        <v>0</v>
      </c>
      <c r="L17" s="374">
        <v>0</v>
      </c>
      <c r="M17" s="374">
        <v>5.4357527304441202</v>
      </c>
      <c r="N17" s="374">
        <v>0.340336447074366</v>
      </c>
      <c r="O17" s="374">
        <v>1.0877200210403399</v>
      </c>
      <c r="P17" s="374">
        <v>12.374536818341699</v>
      </c>
      <c r="Q17" s="374">
        <v>0.18160348245223101</v>
      </c>
      <c r="R17" s="374">
        <v>0.31898143577178201</v>
      </c>
      <c r="S17" s="374">
        <v>0.65708549017962503</v>
      </c>
      <c r="T17" s="374">
        <v>0</v>
      </c>
      <c r="U17" s="374">
        <v>0</v>
      </c>
      <c r="V17" s="374">
        <v>4.68287748306241</v>
      </c>
      <c r="W17" s="375">
        <v>0.32645804325622901</v>
      </c>
      <c r="X17" s="374">
        <v>1.03531838677382</v>
      </c>
      <c r="Y17" s="374">
        <v>11.5299133824051</v>
      </c>
      <c r="Z17" s="374">
        <v>0.168102960439653</v>
      </c>
      <c r="AA17" s="374">
        <v>0.282463095173064</v>
      </c>
      <c r="AB17" s="374">
        <v>0.58256373730612399</v>
      </c>
      <c r="AC17" s="374">
        <v>0</v>
      </c>
      <c r="AD17" s="374">
        <v>0</v>
      </c>
      <c r="AE17" s="374">
        <v>3.5065980201845299</v>
      </c>
      <c r="AF17" s="375">
        <v>0.26865290365070099</v>
      </c>
      <c r="AG17" s="374">
        <v>0.65589471287507295</v>
      </c>
      <c r="AH17" s="376">
        <v>8.9000000000000004</v>
      </c>
      <c r="AI17" s="374">
        <v>0.112827927721981</v>
      </c>
      <c r="AJ17" s="374">
        <v>0.15788428640948801</v>
      </c>
      <c r="AK17" s="374">
        <v>0.31655963691592198</v>
      </c>
      <c r="AL17" s="374">
        <v>0</v>
      </c>
      <c r="AM17" s="374">
        <v>0</v>
      </c>
      <c r="AO17" s="81"/>
      <c r="AP17" s="81">
        <f>SUM(AE17:AM17)</f>
        <v>13.918417487757694</v>
      </c>
    </row>
    <row r="18">
      <c r="B18" s="377" t="s">
        <v>734</v>
      </c>
      <c r="C18" s="130" t="s">
        <v>723</v>
      </c>
      <c r="D18" s="378">
        <v>4.54911010836123</v>
      </c>
      <c r="E18" s="378">
        <v>0.16123727018916101</v>
      </c>
      <c r="F18" s="378">
        <v>1.0751321085718999</v>
      </c>
      <c r="G18" s="378">
        <v>8.4159742006043494</v>
      </c>
      <c r="H18" s="378">
        <v>0.18352956758981201</v>
      </c>
      <c r="I18" s="379">
        <v>0.30968679597871002</v>
      </c>
      <c r="J18" s="379">
        <v>0.63639326859890799</v>
      </c>
      <c r="K18" s="379">
        <v>0</v>
      </c>
      <c r="L18" s="379">
        <v>0</v>
      </c>
      <c r="M18" s="379">
        <v>4.1547029745459199</v>
      </c>
      <c r="N18" s="379">
        <v>0.16366230288945</v>
      </c>
      <c r="O18" s="379">
        <v>1.0877200210403399</v>
      </c>
      <c r="P18" s="379">
        <v>7.6216808558845699</v>
      </c>
      <c r="Q18" s="379">
        <v>0.18160348245223101</v>
      </c>
      <c r="R18" s="379">
        <v>0.28806525083953399</v>
      </c>
      <c r="S18" s="379">
        <v>0.590701511825099</v>
      </c>
      <c r="T18" s="379">
        <v>0</v>
      </c>
      <c r="U18" s="379">
        <v>0</v>
      </c>
      <c r="V18" s="379">
        <v>3.4349794421886499</v>
      </c>
      <c r="W18" s="378">
        <v>0.14968785986450001</v>
      </c>
      <c r="X18" s="378">
        <v>1.03531838677382</v>
      </c>
      <c r="Y18" s="378">
        <v>6.7077360276515696</v>
      </c>
      <c r="Z18" s="378">
        <v>0.168102960439653</v>
      </c>
      <c r="AA18" s="379">
        <v>0.257241668505441</v>
      </c>
      <c r="AB18" s="379">
        <v>0.52840053967686695</v>
      </c>
      <c r="AC18" s="379">
        <v>0</v>
      </c>
      <c r="AD18" s="379">
        <v>0</v>
      </c>
      <c r="AE18" s="379">
        <v>2.3163044230390799</v>
      </c>
      <c r="AF18" s="378">
        <v>0.091601536497667294</v>
      </c>
      <c r="AG18" s="378">
        <v>0.65589471287507295</v>
      </c>
      <c r="AH18" s="380">
        <v>4.1900000000000004</v>
      </c>
      <c r="AI18" s="378">
        <v>0.112827927721981</v>
      </c>
      <c r="AJ18" s="379">
        <v>0.143998560959683</v>
      </c>
      <c r="AK18" s="379">
        <v>0.28673748619915801</v>
      </c>
      <c r="AL18" s="379">
        <v>0</v>
      </c>
      <c r="AM18" s="379">
        <v>0</v>
      </c>
      <c r="AN18" s="81"/>
    </row>
    <row r="19">
      <c r="B19" s="381" t="s">
        <v>735</v>
      </c>
      <c r="C19" s="130" t="s">
        <v>723</v>
      </c>
      <c r="D19" s="378">
        <v>0.74507999999999996</v>
      </c>
      <c r="E19" s="378">
        <v>0.075999999999999998</v>
      </c>
      <c r="F19" s="378">
        <v>0</v>
      </c>
      <c r="G19" s="378">
        <v>1.1216235006494</v>
      </c>
      <c r="H19" s="378">
        <v>0</v>
      </c>
      <c r="I19" s="379">
        <v>0</v>
      </c>
      <c r="J19" s="379">
        <v>0</v>
      </c>
      <c r="K19" s="379">
        <v>0</v>
      </c>
      <c r="L19" s="379">
        <v>0</v>
      </c>
      <c r="M19" s="379">
        <v>0.74528552029003903</v>
      </c>
      <c r="N19" s="379">
        <v>0.076039535137296305</v>
      </c>
      <c r="O19" s="379">
        <v>0</v>
      </c>
      <c r="P19" s="379">
        <v>1.12195686642152</v>
      </c>
      <c r="Q19" s="379">
        <v>0</v>
      </c>
      <c r="R19" s="379">
        <v>0</v>
      </c>
      <c r="S19" s="379">
        <v>0</v>
      </c>
      <c r="T19" s="379">
        <v>0</v>
      </c>
      <c r="U19" s="379">
        <v>0</v>
      </c>
      <c r="V19" s="379">
        <v>0.74573766492812599</v>
      </c>
      <c r="W19" s="378">
        <v>0.076126512439347996</v>
      </c>
      <c r="X19" s="378">
        <v>0</v>
      </c>
      <c r="Y19" s="378">
        <v>1.1818415533085</v>
      </c>
      <c r="Z19" s="378">
        <v>0</v>
      </c>
      <c r="AA19" s="379">
        <v>0</v>
      </c>
      <c r="AB19" s="379">
        <v>0</v>
      </c>
      <c r="AC19" s="379">
        <v>0</v>
      </c>
      <c r="AD19" s="379">
        <v>0</v>
      </c>
      <c r="AE19" s="379">
        <v>0.74707399554763998</v>
      </c>
      <c r="AF19" s="378">
        <v>0.076383577153033996</v>
      </c>
      <c r="AG19" s="378">
        <v>0</v>
      </c>
      <c r="AH19" s="380">
        <v>1.25</v>
      </c>
      <c r="AI19" s="378">
        <v>0</v>
      </c>
      <c r="AJ19" s="379">
        <v>0</v>
      </c>
      <c r="AK19" s="379">
        <v>0</v>
      </c>
      <c r="AL19" s="379">
        <v>0</v>
      </c>
      <c r="AM19" s="379">
        <v>0</v>
      </c>
      <c r="AN19" s="81"/>
    </row>
    <row r="20">
      <c r="B20" s="381" t="s">
        <v>736</v>
      </c>
      <c r="C20" s="130" t="s">
        <v>723</v>
      </c>
      <c r="D20" s="378">
        <v>0.057976023913043503</v>
      </c>
      <c r="E20" s="378">
        <v>7.7700000000000005e-05</v>
      </c>
      <c r="F20" s="378">
        <v>0</v>
      </c>
      <c r="G20" s="378">
        <v>0.0439419140499656</v>
      </c>
      <c r="H20" s="378">
        <v>0</v>
      </c>
      <c r="I20" s="379">
        <v>0</v>
      </c>
      <c r="J20" s="379">
        <v>0</v>
      </c>
      <c r="K20" s="379">
        <v>0</v>
      </c>
      <c r="L20" s="379">
        <v>0</v>
      </c>
      <c r="M20" s="379">
        <v>0.060155906521739098</v>
      </c>
      <c r="N20" s="379">
        <v>8.1819047619047605e-05</v>
      </c>
      <c r="O20" s="379">
        <v>0</v>
      </c>
      <c r="P20" s="379">
        <v>0.0450753767658299</v>
      </c>
      <c r="Q20" s="379">
        <v>0</v>
      </c>
      <c r="R20" s="379">
        <v>0</v>
      </c>
      <c r="S20" s="379">
        <v>0</v>
      </c>
      <c r="T20" s="379">
        <v>0</v>
      </c>
      <c r="U20" s="379">
        <v>0</v>
      </c>
      <c r="V20" s="379">
        <v>0.064951648260869493</v>
      </c>
      <c r="W20" s="378">
        <v>9.0880952380952405e-05</v>
      </c>
      <c r="X20" s="378">
        <v>0</v>
      </c>
      <c r="Y20" s="378">
        <v>0.050073418758221598</v>
      </c>
      <c r="Z20" s="378">
        <v>0</v>
      </c>
      <c r="AA20" s="379">
        <v>0</v>
      </c>
      <c r="AB20" s="379">
        <v>0</v>
      </c>
      <c r="AC20" s="379">
        <v>0</v>
      </c>
      <c r="AD20" s="379">
        <v>0</v>
      </c>
      <c r="AE20" s="379">
        <v>0.079309443913043495</v>
      </c>
      <c r="AF20" s="378">
        <v>0.000115</v>
      </c>
      <c r="AG20" s="378">
        <v>0</v>
      </c>
      <c r="AH20" s="380">
        <v>0.051372232440230099</v>
      </c>
      <c r="AI20" s="378">
        <v>0</v>
      </c>
      <c r="AJ20" s="379">
        <v>0</v>
      </c>
      <c r="AK20" s="379">
        <v>0</v>
      </c>
      <c r="AL20" s="379">
        <v>0</v>
      </c>
      <c r="AM20" s="379">
        <v>0</v>
      </c>
      <c r="AN20" s="81"/>
    </row>
    <row r="21">
      <c r="B21" s="381" t="s">
        <v>737</v>
      </c>
      <c r="C21" s="130" t="s">
        <v>723</v>
      </c>
      <c r="D21" s="378">
        <v>0.50579312253770703</v>
      </c>
      <c r="E21" s="378">
        <v>0.10055279</v>
      </c>
      <c r="F21" s="378">
        <v>0</v>
      </c>
      <c r="G21" s="378">
        <v>3.7229669119684998</v>
      </c>
      <c r="H21" s="378">
        <v>0</v>
      </c>
      <c r="I21" s="379">
        <v>0.036645996076342002</v>
      </c>
      <c r="J21" s="379">
        <v>0.0786125866697098</v>
      </c>
      <c r="K21" s="379">
        <v>0</v>
      </c>
      <c r="L21" s="379">
        <v>0</v>
      </c>
      <c r="M21" s="379">
        <v>0.47560832908642098</v>
      </c>
      <c r="N21" s="379">
        <v>0.10055279</v>
      </c>
      <c r="O21" s="379">
        <v>0</v>
      </c>
      <c r="P21" s="379">
        <v>3.5858237192697402</v>
      </c>
      <c r="Q21" s="379">
        <v>0</v>
      </c>
      <c r="R21" s="379">
        <v>0.030916184932247799</v>
      </c>
      <c r="S21" s="379">
        <v>0.066383978354526099</v>
      </c>
      <c r="T21" s="379">
        <v>0</v>
      </c>
      <c r="U21" s="379">
        <v>0</v>
      </c>
      <c r="V21" s="379">
        <v>0.43720872768476599</v>
      </c>
      <c r="W21" s="378">
        <v>0.10055279</v>
      </c>
      <c r="X21" s="378">
        <v>0</v>
      </c>
      <c r="Y21" s="378">
        <v>3.5902623826867499</v>
      </c>
      <c r="Z21" s="378">
        <v>0</v>
      </c>
      <c r="AA21" s="379">
        <v>0.025221426667623299</v>
      </c>
      <c r="AB21" s="379">
        <v>0.054163197629256997</v>
      </c>
      <c r="AC21" s="379">
        <v>0</v>
      </c>
      <c r="AD21" s="379">
        <v>0</v>
      </c>
      <c r="AE21" s="379">
        <v>0.36391015768476598</v>
      </c>
      <c r="AF21" s="378">
        <v>0.10055279</v>
      </c>
      <c r="AG21" s="378">
        <v>0</v>
      </c>
      <c r="AH21" s="380">
        <v>3.4100000000000001</v>
      </c>
      <c r="AI21" s="378">
        <v>0</v>
      </c>
      <c r="AJ21" s="379">
        <v>0.013885725449804801</v>
      </c>
      <c r="AK21" s="379">
        <v>0.0298221507167639</v>
      </c>
      <c r="AL21" s="379">
        <v>0</v>
      </c>
      <c r="AM21" s="379">
        <v>0</v>
      </c>
    </row>
    <row r="22">
      <c r="B22" s="373" t="s">
        <v>738</v>
      </c>
      <c r="C22" s="130" t="s">
        <v>723</v>
      </c>
      <c r="D22" s="374">
        <v>0.0171499915586572</v>
      </c>
      <c r="E22" s="374">
        <v>0.00082271462011564199</v>
      </c>
      <c r="F22" s="374">
        <v>0.0013591720000992</v>
      </c>
      <c r="G22" s="374">
        <v>0.0030402678894089</v>
      </c>
      <c r="H22" s="374">
        <v>0</v>
      </c>
      <c r="I22" s="374">
        <v>3.0046340433633301e-06</v>
      </c>
      <c r="J22" s="374">
        <v>1.3748762325047e-05</v>
      </c>
      <c r="K22" s="374">
        <v>0</v>
      </c>
      <c r="L22" s="374">
        <v>0</v>
      </c>
      <c r="M22" s="374">
        <v>0.033077311107787798</v>
      </c>
      <c r="N22" s="374">
        <v>0.012239795203443701</v>
      </c>
      <c r="O22" s="374">
        <v>0.0113706492667394</v>
      </c>
      <c r="P22" s="374">
        <v>0.0037689237845972001</v>
      </c>
      <c r="Q22" s="374">
        <v>0</v>
      </c>
      <c r="R22" s="374">
        <v>2.8130931972484e-06</v>
      </c>
      <c r="S22" s="374">
        <v>1.33499663401418e-05</v>
      </c>
      <c r="T22" s="374">
        <v>0</v>
      </c>
      <c r="U22" s="374">
        <v>0</v>
      </c>
      <c r="V22" s="374">
        <v>0.101484541555397</v>
      </c>
      <c r="W22" s="374">
        <v>0.064092964620095602</v>
      </c>
      <c r="X22" s="374">
        <v>0.049819575999999997</v>
      </c>
      <c r="Y22" s="374">
        <v>0.0062546247972210603</v>
      </c>
      <c r="Z22" s="374">
        <v>0</v>
      </c>
      <c r="AA22" s="374">
        <v>2.67886145412675e-06</v>
      </c>
      <c r="AB22" s="374">
        <v>1.30043302411082e-05</v>
      </c>
      <c r="AC22" s="374">
        <v>0</v>
      </c>
      <c r="AD22" s="374">
        <v>0</v>
      </c>
      <c r="AE22" s="374">
        <v>0.195078446505211</v>
      </c>
      <c r="AF22" s="374">
        <v>0.18772400824274299</v>
      </c>
      <c r="AG22" s="374">
        <v>0.1647882</v>
      </c>
      <c r="AH22" s="374">
        <v>0.0045376133242774203</v>
      </c>
      <c r="AI22" s="374">
        <v>0</v>
      </c>
      <c r="AJ22" s="374">
        <v>1.10396451412669e-06</v>
      </c>
      <c r="AK22" s="374">
        <v>6.1832691826350799e-06</v>
      </c>
      <c r="AL22" s="374">
        <v>0</v>
      </c>
      <c r="AM22" s="374">
        <v>0</v>
      </c>
      <c r="AO22" s="81"/>
      <c r="AP22" s="81">
        <f>SUM(AE22:AM22)</f>
        <v>0.55213555530592817</v>
      </c>
    </row>
    <row r="23">
      <c r="B23" s="381" t="s">
        <v>739</v>
      </c>
      <c r="C23" s="130" t="s">
        <v>723</v>
      </c>
      <c r="D23" s="378">
        <v>0.01618400000326</v>
      </c>
      <c r="E23" s="378">
        <v>0.00023120000001999999</v>
      </c>
      <c r="F23" s="378">
        <v>0.00078839200009920001</v>
      </c>
      <c r="G23" s="378">
        <v>0.0018338086641478499</v>
      </c>
      <c r="H23" s="379">
        <v>0</v>
      </c>
      <c r="I23" s="379">
        <v>0</v>
      </c>
      <c r="J23" s="379">
        <v>0</v>
      </c>
      <c r="K23" s="379">
        <v>0</v>
      </c>
      <c r="L23" s="379">
        <v>0</v>
      </c>
      <c r="M23" s="379">
        <v>0.021108426669057299</v>
      </c>
      <c r="N23" s="379">
        <v>0.00027242666668133301</v>
      </c>
      <c r="O23" s="379">
        <v>0.00096295093340607798</v>
      </c>
      <c r="P23" s="379">
        <v>0.0024075696607390598</v>
      </c>
      <c r="Q23" s="379">
        <v>0</v>
      </c>
      <c r="R23" s="379">
        <v>0</v>
      </c>
      <c r="S23" s="379">
        <v>0</v>
      </c>
      <c r="T23" s="379">
        <v>0</v>
      </c>
      <c r="U23" s="379">
        <v>0</v>
      </c>
      <c r="V23" s="378">
        <v>0.032661999999999997</v>
      </c>
      <c r="W23" s="378">
        <v>0.00037359999999999997</v>
      </c>
      <c r="X23" s="378">
        <v>0.0013824760000000001</v>
      </c>
      <c r="Y23" s="378">
        <v>0.0039483428721205404</v>
      </c>
      <c r="Z23" s="379">
        <v>0</v>
      </c>
      <c r="AA23" s="379">
        <v>0</v>
      </c>
      <c r="AB23" s="379">
        <v>0</v>
      </c>
      <c r="AC23" s="379">
        <v>0</v>
      </c>
      <c r="AD23" s="379">
        <v>0</v>
      </c>
      <c r="AE23" s="378">
        <v>0.0154</v>
      </c>
      <c r="AF23" s="378">
        <v>0.00022000000000000001</v>
      </c>
      <c r="AG23" s="378">
        <v>0.00075020000000000002</v>
      </c>
      <c r="AH23" s="378">
        <v>0.00161056486156895</v>
      </c>
      <c r="AI23" s="379">
        <v>0</v>
      </c>
      <c r="AJ23" s="379">
        <v>0</v>
      </c>
      <c r="AK23" s="379">
        <v>0</v>
      </c>
      <c r="AL23" s="379">
        <v>0</v>
      </c>
      <c r="AM23" s="379">
        <v>0</v>
      </c>
    </row>
    <row r="24">
      <c r="B24" s="382" t="s">
        <v>740</v>
      </c>
      <c r="C24" s="130" t="s">
        <v>723</v>
      </c>
      <c r="D24" s="378">
        <v>0.00051208500000000001</v>
      </c>
      <c r="E24" s="378">
        <v>0.00059147500000000005</v>
      </c>
      <c r="F24" s="378">
        <v>0.00057078000000000001</v>
      </c>
      <c r="G24" s="378">
        <v>6.96870883948354e-06</v>
      </c>
      <c r="H24" s="379">
        <v>0</v>
      </c>
      <c r="I24" s="379">
        <v>0</v>
      </c>
      <c r="J24" s="379">
        <v>0</v>
      </c>
      <c r="K24" s="379">
        <v>0</v>
      </c>
      <c r="L24" s="379">
        <v>0</v>
      </c>
      <c r="M24" s="379">
        <v>0.0115149778833333</v>
      </c>
      <c r="N24" s="379">
        <v>0.0119673289166667</v>
      </c>
      <c r="O24" s="379">
        <v>0.0104076983333333</v>
      </c>
      <c r="P24" s="379">
        <v>0.00016213093316411401</v>
      </c>
      <c r="Q24" s="379">
        <v>0</v>
      </c>
      <c r="R24" s="379">
        <v>0</v>
      </c>
      <c r="S24" s="379">
        <v>0</v>
      </c>
      <c r="T24" s="379">
        <v>0</v>
      </c>
      <c r="U24" s="379">
        <v>0</v>
      </c>
      <c r="V24" s="378">
        <v>0.068368634999999997</v>
      </c>
      <c r="W24" s="378">
        <v>0.063719324999999993</v>
      </c>
      <c r="X24" s="378">
        <v>0.048437099999999997</v>
      </c>
      <c r="Y24" s="378">
        <v>0.0010444932293596401</v>
      </c>
      <c r="Z24" s="379">
        <v>0</v>
      </c>
      <c r="AA24" s="379">
        <v>0</v>
      </c>
      <c r="AB24" s="379">
        <v>0</v>
      </c>
      <c r="AC24" s="379">
        <v>0</v>
      </c>
      <c r="AD24" s="379">
        <v>0</v>
      </c>
      <c r="AE24" s="378">
        <v>0.17943519999999999</v>
      </c>
      <c r="AF24" s="378">
        <v>0.187504</v>
      </c>
      <c r="AG24" s="378">
        <v>0.16403799999999999</v>
      </c>
      <c r="AH24" s="378">
        <v>0.0023285051210144899</v>
      </c>
      <c r="AI24" s="379">
        <v>0</v>
      </c>
      <c r="AJ24" s="379">
        <v>0</v>
      </c>
      <c r="AK24" s="379">
        <v>0</v>
      </c>
      <c r="AL24" s="379">
        <v>0</v>
      </c>
      <c r="AM24" s="379">
        <v>0</v>
      </c>
    </row>
    <row r="25">
      <c r="B25" s="382" t="s">
        <v>741</v>
      </c>
      <c r="C25" s="130" t="s">
        <v>723</v>
      </c>
      <c r="D25" s="378">
        <v>0.00045390655539714799</v>
      </c>
      <c r="E25" s="378">
        <v>3.9620095641651102e-08</v>
      </c>
      <c r="F25" s="378">
        <v>0</v>
      </c>
      <c r="G25" s="378">
        <v>0.0011994905164215701</v>
      </c>
      <c r="H25" s="379">
        <v>0</v>
      </c>
      <c r="I25" s="379">
        <v>3.0046340433633301e-06</v>
      </c>
      <c r="J25" s="379">
        <v>1.3748762325047e-05</v>
      </c>
      <c r="K25" s="379">
        <v>0</v>
      </c>
      <c r="L25" s="379">
        <v>0</v>
      </c>
      <c r="M25" s="379">
        <v>0.00045390655539714799</v>
      </c>
      <c r="N25" s="379">
        <v>3.9620095641651102e-08</v>
      </c>
      <c r="O25" s="379">
        <v>0</v>
      </c>
      <c r="P25" s="379">
        <v>0.0011992231906940299</v>
      </c>
      <c r="Q25" s="379">
        <v>0</v>
      </c>
      <c r="R25" s="379">
        <v>2.8130931972484e-06</v>
      </c>
      <c r="S25" s="379">
        <v>1.33499663401418e-05</v>
      </c>
      <c r="T25" s="379">
        <v>0</v>
      </c>
      <c r="U25" s="379">
        <v>0</v>
      </c>
      <c r="V25" s="378">
        <v>0.00045390655539714799</v>
      </c>
      <c r="W25" s="378">
        <v>3.9620095641651102e-08</v>
      </c>
      <c r="X25" s="378">
        <v>0</v>
      </c>
      <c r="Y25" s="378">
        <v>0.00126178869574089</v>
      </c>
      <c r="Z25" s="379">
        <v>0</v>
      </c>
      <c r="AA25" s="379">
        <v>2.67886145412675e-06</v>
      </c>
      <c r="AB25" s="379">
        <v>1.30043302411082e-05</v>
      </c>
      <c r="AC25" s="379">
        <v>0</v>
      </c>
      <c r="AD25" s="379">
        <v>0</v>
      </c>
      <c r="AE25" s="378">
        <v>0.000243246505210592</v>
      </c>
      <c r="AF25" s="378">
        <v>8.2427433628318608e-09</v>
      </c>
      <c r="AG25" s="378">
        <v>0</v>
      </c>
      <c r="AH25" s="378">
        <v>0.000598543341693974</v>
      </c>
      <c r="AI25" s="379">
        <v>0</v>
      </c>
      <c r="AJ25" s="379">
        <v>1.10396451412669e-06</v>
      </c>
      <c r="AK25" s="379">
        <v>6.1832691826350799e-06</v>
      </c>
      <c r="AL25" s="379">
        <v>0</v>
      </c>
      <c r="AM25" s="379">
        <v>0</v>
      </c>
    </row>
    <row r="26">
      <c r="B26" s="383" t="s">
        <v>742</v>
      </c>
      <c r="C26" s="130" t="s">
        <v>723</v>
      </c>
      <c r="D26" s="384">
        <v>0</v>
      </c>
      <c r="E26" s="384">
        <v>0</v>
      </c>
      <c r="F26" s="384">
        <v>0</v>
      </c>
      <c r="G26" s="384">
        <v>0</v>
      </c>
      <c r="H26" s="384">
        <v>1.2422142857142899</v>
      </c>
      <c r="I26" s="384">
        <v>0.25816612540944101</v>
      </c>
      <c r="J26" s="384">
        <v>0.23583999999999999</v>
      </c>
      <c r="K26" s="384">
        <v>0</v>
      </c>
      <c r="L26" s="384">
        <v>0</v>
      </c>
      <c r="M26" s="384">
        <v>0</v>
      </c>
      <c r="N26" s="384">
        <v>0</v>
      </c>
      <c r="O26" s="384">
        <v>0</v>
      </c>
      <c r="P26" s="384">
        <v>0</v>
      </c>
      <c r="Q26" s="384">
        <v>1.1704205956385501</v>
      </c>
      <c r="R26" s="384">
        <v>0.26012220719702001</v>
      </c>
      <c r="S26" s="384">
        <v>0.23798141807050299</v>
      </c>
      <c r="T26" s="384">
        <v>0</v>
      </c>
      <c r="U26" s="384">
        <v>0</v>
      </c>
      <c r="V26" s="384">
        <v>0</v>
      </c>
      <c r="W26" s="384">
        <v>0</v>
      </c>
      <c r="X26" s="384">
        <v>0</v>
      </c>
      <c r="Y26" s="384">
        <v>0</v>
      </c>
      <c r="Z26" s="384">
        <v>1.1283185305005701</v>
      </c>
      <c r="AA26" s="384">
        <v>0.26486472392492499</v>
      </c>
      <c r="AB26" s="384">
        <v>0.24296588837663299</v>
      </c>
      <c r="AC26" s="384">
        <v>0</v>
      </c>
      <c r="AD26" s="384">
        <v>0</v>
      </c>
      <c r="AE26" s="384">
        <v>0</v>
      </c>
      <c r="AF26" s="384">
        <v>0</v>
      </c>
      <c r="AG26" s="384">
        <v>0</v>
      </c>
      <c r="AH26" s="384">
        <v>0</v>
      </c>
      <c r="AI26" s="385">
        <v>0.93000000000000005</v>
      </c>
      <c r="AJ26" s="384">
        <v>0.26940878455461997</v>
      </c>
      <c r="AK26" s="384">
        <v>0.24918724887927801</v>
      </c>
      <c r="AL26" s="384">
        <v>0</v>
      </c>
      <c r="AM26" s="384">
        <v>0</v>
      </c>
      <c r="AO26" s="81"/>
      <c r="AP26" s="81">
        <f>SUM(AE26:AM26)</f>
        <v>1.4485960334338981</v>
      </c>
    </row>
    <row r="27">
      <c r="B27" s="386" t="s">
        <v>743</v>
      </c>
      <c r="C27" s="130" t="s">
        <v>723</v>
      </c>
      <c r="D27" s="387">
        <v>0</v>
      </c>
      <c r="E27" s="387">
        <v>0</v>
      </c>
      <c r="F27" s="387">
        <v>0</v>
      </c>
      <c r="G27" s="387">
        <v>0</v>
      </c>
      <c r="H27" s="388">
        <v>1.2422142857142899</v>
      </c>
      <c r="I27" s="388">
        <v>0</v>
      </c>
      <c r="J27" s="388">
        <v>0</v>
      </c>
      <c r="K27" s="388">
        <v>0</v>
      </c>
      <c r="L27" s="388">
        <v>0</v>
      </c>
      <c r="M27" s="388">
        <v>0</v>
      </c>
      <c r="N27" s="388">
        <v>0</v>
      </c>
      <c r="O27" s="388">
        <v>0</v>
      </c>
      <c r="P27" s="388">
        <v>0</v>
      </c>
      <c r="Q27" s="388">
        <v>1.1704205956385501</v>
      </c>
      <c r="R27" s="388">
        <v>0</v>
      </c>
      <c r="S27" s="388">
        <v>0</v>
      </c>
      <c r="T27" s="388">
        <v>0</v>
      </c>
      <c r="U27" s="388">
        <v>0</v>
      </c>
      <c r="V27" s="387">
        <v>0</v>
      </c>
      <c r="W27" s="387">
        <v>0</v>
      </c>
      <c r="X27" s="387">
        <v>0</v>
      </c>
      <c r="Y27" s="387">
        <v>0</v>
      </c>
      <c r="Z27" s="388">
        <v>1.1283185305005701</v>
      </c>
      <c r="AA27" s="388">
        <v>0</v>
      </c>
      <c r="AB27" s="388">
        <v>0</v>
      </c>
      <c r="AC27" s="388">
        <v>0</v>
      </c>
      <c r="AD27" s="388">
        <v>0</v>
      </c>
      <c r="AE27" s="387">
        <v>0</v>
      </c>
      <c r="AF27" s="387">
        <v>0</v>
      </c>
      <c r="AG27" s="387">
        <v>0</v>
      </c>
      <c r="AH27" s="387">
        <v>0</v>
      </c>
      <c r="AI27" s="389">
        <v>0.93000000000000005</v>
      </c>
      <c r="AJ27" s="388">
        <v>0</v>
      </c>
      <c r="AK27" s="388">
        <v>0</v>
      </c>
      <c r="AL27" s="388">
        <v>0</v>
      </c>
      <c r="AM27" s="388">
        <v>0</v>
      </c>
    </row>
    <row r="28">
      <c r="B28" s="386" t="s">
        <v>744</v>
      </c>
      <c r="C28" s="130" t="s">
        <v>723</v>
      </c>
      <c r="D28" s="387">
        <v>0</v>
      </c>
      <c r="E28" s="387">
        <v>0</v>
      </c>
      <c r="F28" s="387">
        <v>0</v>
      </c>
      <c r="G28" s="387">
        <v>0</v>
      </c>
      <c r="H28" s="388">
        <v>0</v>
      </c>
      <c r="I28" s="388">
        <v>0</v>
      </c>
      <c r="J28" s="388">
        <v>0</v>
      </c>
      <c r="K28" s="388">
        <v>0</v>
      </c>
      <c r="L28" s="388">
        <v>0</v>
      </c>
      <c r="M28" s="388">
        <v>0</v>
      </c>
      <c r="N28" s="388">
        <v>0</v>
      </c>
      <c r="O28" s="388">
        <v>0</v>
      </c>
      <c r="P28" s="388">
        <v>0</v>
      </c>
      <c r="Q28" s="388">
        <v>0</v>
      </c>
      <c r="R28" s="388">
        <v>0</v>
      </c>
      <c r="S28" s="388">
        <v>0</v>
      </c>
      <c r="T28" s="388">
        <v>0</v>
      </c>
      <c r="U28" s="388">
        <v>0</v>
      </c>
      <c r="V28" s="387">
        <v>0</v>
      </c>
      <c r="W28" s="387">
        <v>0</v>
      </c>
      <c r="X28" s="387">
        <v>0</v>
      </c>
      <c r="Y28" s="387">
        <v>0</v>
      </c>
      <c r="Z28" s="388">
        <v>0</v>
      </c>
      <c r="AA28" s="388">
        <v>0</v>
      </c>
      <c r="AB28" s="388">
        <v>0</v>
      </c>
      <c r="AC28" s="388">
        <v>0</v>
      </c>
      <c r="AD28" s="388">
        <v>0</v>
      </c>
      <c r="AE28" s="387">
        <v>0</v>
      </c>
      <c r="AF28" s="387">
        <v>0</v>
      </c>
      <c r="AG28" s="387">
        <v>0</v>
      </c>
      <c r="AH28" s="387">
        <v>0</v>
      </c>
      <c r="AI28" s="388">
        <v>0</v>
      </c>
      <c r="AJ28" s="388">
        <v>0</v>
      </c>
      <c r="AK28" s="388">
        <v>0</v>
      </c>
      <c r="AL28" s="388">
        <v>0</v>
      </c>
      <c r="AM28" s="388">
        <v>0</v>
      </c>
    </row>
    <row r="29">
      <c r="B29" s="390" t="s">
        <v>745</v>
      </c>
      <c r="C29" s="130" t="s">
        <v>723</v>
      </c>
      <c r="D29" s="387">
        <v>0</v>
      </c>
      <c r="E29" s="387">
        <v>0</v>
      </c>
      <c r="F29" s="387">
        <v>0</v>
      </c>
      <c r="G29" s="387">
        <v>0</v>
      </c>
      <c r="H29" s="388">
        <v>0</v>
      </c>
      <c r="I29" s="388">
        <v>0.029869846476024298</v>
      </c>
      <c r="J29" s="388">
        <v>0.018425</v>
      </c>
      <c r="K29" s="388">
        <v>0</v>
      </c>
      <c r="L29" s="388">
        <v>0</v>
      </c>
      <c r="M29" s="388">
        <v>0</v>
      </c>
      <c r="N29" s="388">
        <v>0</v>
      </c>
      <c r="O29" s="388">
        <v>0</v>
      </c>
      <c r="P29" s="388">
        <v>0</v>
      </c>
      <c r="Q29" s="388">
        <v>0</v>
      </c>
      <c r="R29" s="388">
        <v>0.029100283007842301</v>
      </c>
      <c r="S29" s="388">
        <v>0.017950300308703201</v>
      </c>
      <c r="T29" s="388">
        <v>0</v>
      </c>
      <c r="U29" s="388">
        <v>0</v>
      </c>
      <c r="V29" s="387">
        <v>0</v>
      </c>
      <c r="W29" s="387">
        <v>0</v>
      </c>
      <c r="X29" s="387">
        <v>0</v>
      </c>
      <c r="Y29" s="387">
        <v>0</v>
      </c>
      <c r="Z29" s="388">
        <v>0</v>
      </c>
      <c r="AA29" s="388">
        <v>0.027844005279974899</v>
      </c>
      <c r="AB29" s="388">
        <v>0.017175374426357699</v>
      </c>
      <c r="AC29" s="388">
        <v>0</v>
      </c>
      <c r="AD29" s="388">
        <v>0</v>
      </c>
      <c r="AE29" s="387">
        <v>0</v>
      </c>
      <c r="AF29" s="387">
        <v>0</v>
      </c>
      <c r="AG29" s="387">
        <v>0</v>
      </c>
      <c r="AH29" s="387">
        <v>0</v>
      </c>
      <c r="AI29" s="388">
        <v>0</v>
      </c>
      <c r="AJ29" s="388">
        <v>0.022466784052097299</v>
      </c>
      <c r="AK29" s="388">
        <v>0.0138584741803798</v>
      </c>
      <c r="AL29" s="388">
        <v>0</v>
      </c>
      <c r="AM29" s="388">
        <v>0</v>
      </c>
    </row>
    <row r="30">
      <c r="B30" s="390" t="s">
        <v>746</v>
      </c>
      <c r="C30" s="130" t="s">
        <v>723</v>
      </c>
      <c r="D30" s="387">
        <v>0</v>
      </c>
      <c r="E30" s="387">
        <v>0</v>
      </c>
      <c r="F30" s="387">
        <v>0</v>
      </c>
      <c r="G30" s="387">
        <v>0</v>
      </c>
      <c r="H30" s="388">
        <v>0</v>
      </c>
      <c r="I30" s="388">
        <v>0.168556585981368</v>
      </c>
      <c r="J30" s="388">
        <v>0.081070000000000003</v>
      </c>
      <c r="K30" s="388">
        <v>0</v>
      </c>
      <c r="L30" s="388">
        <v>0</v>
      </c>
      <c r="M30" s="388">
        <v>0</v>
      </c>
      <c r="N30" s="388">
        <v>0</v>
      </c>
      <c r="O30" s="388">
        <v>0</v>
      </c>
      <c r="P30" s="388">
        <v>0</v>
      </c>
      <c r="Q30" s="388">
        <v>0</v>
      </c>
      <c r="R30" s="388">
        <v>0.17056653922803799</v>
      </c>
      <c r="S30" s="388">
        <v>0.082036719329053806</v>
      </c>
      <c r="T30" s="388">
        <v>0</v>
      </c>
      <c r="U30" s="388">
        <v>0</v>
      </c>
      <c r="V30" s="387">
        <v>0</v>
      </c>
      <c r="W30" s="387">
        <v>0</v>
      </c>
      <c r="X30" s="387">
        <v>0</v>
      </c>
      <c r="Y30" s="387">
        <v>0</v>
      </c>
      <c r="Z30" s="388">
        <v>0</v>
      </c>
      <c r="AA30" s="388">
        <v>0.17498998798455001</v>
      </c>
      <c r="AB30" s="388">
        <v>0.084164248126593899</v>
      </c>
      <c r="AC30" s="388">
        <v>0</v>
      </c>
      <c r="AD30" s="388">
        <v>0</v>
      </c>
      <c r="AE30" s="387">
        <v>0</v>
      </c>
      <c r="AF30" s="387">
        <v>0</v>
      </c>
      <c r="AG30" s="387">
        <v>0</v>
      </c>
      <c r="AH30" s="387">
        <v>0</v>
      </c>
      <c r="AI30" s="388">
        <v>0</v>
      </c>
      <c r="AJ30" s="388">
        <v>0.182304282476623</v>
      </c>
      <c r="AK30" s="388">
        <v>0.087682175658289202</v>
      </c>
      <c r="AL30" s="388">
        <v>0</v>
      </c>
      <c r="AM30" s="388">
        <v>0</v>
      </c>
    </row>
    <row r="31">
      <c r="B31" s="390" t="s">
        <v>747</v>
      </c>
      <c r="C31" s="130" t="s">
        <v>723</v>
      </c>
      <c r="D31" s="387">
        <v>0</v>
      </c>
      <c r="E31" s="387">
        <v>0</v>
      </c>
      <c r="F31" s="387">
        <v>0</v>
      </c>
      <c r="G31" s="387">
        <v>0</v>
      </c>
      <c r="H31" s="388">
        <v>0</v>
      </c>
      <c r="I31" s="388">
        <v>0.029869846476024298</v>
      </c>
      <c r="J31" s="388">
        <v>0.099495</v>
      </c>
      <c r="K31" s="388">
        <v>0</v>
      </c>
      <c r="L31" s="388">
        <v>0</v>
      </c>
      <c r="M31" s="388">
        <v>0</v>
      </c>
      <c r="N31" s="388">
        <v>0</v>
      </c>
      <c r="O31" s="388">
        <v>0</v>
      </c>
      <c r="P31" s="388">
        <v>0</v>
      </c>
      <c r="Q31" s="388">
        <v>0</v>
      </c>
      <c r="R31" s="388">
        <v>0.030235303055622199</v>
      </c>
      <c r="S31" s="388">
        <v>0.10071231802057599</v>
      </c>
      <c r="T31" s="388">
        <v>0</v>
      </c>
      <c r="U31" s="388">
        <v>0</v>
      </c>
      <c r="V31" s="387">
        <v>0</v>
      </c>
      <c r="W31" s="387">
        <v>0</v>
      </c>
      <c r="X31" s="387">
        <v>0</v>
      </c>
      <c r="Y31" s="387">
        <v>0</v>
      </c>
      <c r="Z31" s="388">
        <v>0</v>
      </c>
      <c r="AA31" s="388">
        <v>0.031040344676992598</v>
      </c>
      <c r="AB31" s="388">
        <v>0.103393872349371</v>
      </c>
      <c r="AC31" s="388">
        <v>0</v>
      </c>
      <c r="AD31" s="388">
        <v>0</v>
      </c>
      <c r="AE31" s="387">
        <v>0</v>
      </c>
      <c r="AF31" s="387">
        <v>0</v>
      </c>
      <c r="AG31" s="387">
        <v>0</v>
      </c>
      <c r="AH31" s="387">
        <v>0</v>
      </c>
      <c r="AI31" s="388">
        <v>0</v>
      </c>
      <c r="AJ31" s="388">
        <v>0.032377385853551002</v>
      </c>
      <c r="AK31" s="388">
        <v>0.107847491217766</v>
      </c>
      <c r="AL31" s="388">
        <v>0</v>
      </c>
      <c r="AM31" s="388">
        <v>0</v>
      </c>
    </row>
    <row r="32">
      <c r="B32" s="391" t="s">
        <v>748</v>
      </c>
      <c r="C32" s="130" t="s">
        <v>723</v>
      </c>
      <c r="D32" s="387">
        <v>0</v>
      </c>
      <c r="E32" s="387">
        <v>0</v>
      </c>
      <c r="F32" s="387">
        <v>0</v>
      </c>
      <c r="G32" s="387">
        <v>0</v>
      </c>
      <c r="H32" s="388">
        <v>0</v>
      </c>
      <c r="I32" s="388">
        <v>0.029869846476024298</v>
      </c>
      <c r="J32" s="388">
        <v>0.036850000000000001</v>
      </c>
      <c r="K32" s="388">
        <v>0</v>
      </c>
      <c r="L32" s="388">
        <v>0</v>
      </c>
      <c r="M32" s="388">
        <v>0</v>
      </c>
      <c r="N32" s="388">
        <v>0</v>
      </c>
      <c r="O32" s="388">
        <v>0</v>
      </c>
      <c r="P32" s="388">
        <v>0</v>
      </c>
      <c r="Q32" s="388">
        <v>0</v>
      </c>
      <c r="R32" s="388">
        <v>0.0302200819055174</v>
      </c>
      <c r="S32" s="388">
        <v>0.037282080412170203</v>
      </c>
      <c r="T32" s="388">
        <v>0</v>
      </c>
      <c r="U32" s="388">
        <v>0</v>
      </c>
      <c r="V32" s="387">
        <v>0</v>
      </c>
      <c r="W32" s="387">
        <v>0</v>
      </c>
      <c r="X32" s="387">
        <v>0</v>
      </c>
      <c r="Y32" s="387">
        <v>0</v>
      </c>
      <c r="Z32" s="388">
        <v>0</v>
      </c>
      <c r="AA32" s="388">
        <v>0.030990385983408499</v>
      </c>
      <c r="AB32" s="388">
        <v>0.038232393474310303</v>
      </c>
      <c r="AC32" s="388">
        <v>0</v>
      </c>
      <c r="AD32" s="388">
        <v>0</v>
      </c>
      <c r="AE32" s="387">
        <v>0</v>
      </c>
      <c r="AF32" s="387">
        <v>0</v>
      </c>
      <c r="AG32" s="387">
        <v>0</v>
      </c>
      <c r="AH32" s="387">
        <v>0</v>
      </c>
      <c r="AI32" s="388">
        <v>0</v>
      </c>
      <c r="AJ32" s="388">
        <v>0.0322603321723487</v>
      </c>
      <c r="AK32" s="388">
        <v>0.039799107822842697</v>
      </c>
      <c r="AL32" s="388">
        <v>0</v>
      </c>
      <c r="AM32" s="388">
        <v>0</v>
      </c>
    </row>
    <row r="33">
      <c r="B33" s="392" t="s">
        <v>749</v>
      </c>
      <c r="C33" s="130" t="s">
        <v>723</v>
      </c>
      <c r="D33" s="393">
        <v>0</v>
      </c>
      <c r="E33" s="393">
        <v>0</v>
      </c>
      <c r="F33" s="393">
        <v>0</v>
      </c>
      <c r="G33" s="393">
        <v>0</v>
      </c>
      <c r="H33" s="393">
        <v>0</v>
      </c>
      <c r="I33" s="393">
        <v>0</v>
      </c>
      <c r="J33" s="393">
        <v>0</v>
      </c>
      <c r="K33" s="393">
        <v>3.6230000000000002</v>
      </c>
      <c r="L33" s="393">
        <v>0</v>
      </c>
      <c r="M33" s="393">
        <v>0</v>
      </c>
      <c r="N33" s="393">
        <v>0</v>
      </c>
      <c r="O33" s="393">
        <v>0</v>
      </c>
      <c r="P33" s="393">
        <v>0</v>
      </c>
      <c r="Q33" s="393">
        <v>0</v>
      </c>
      <c r="R33" s="393">
        <v>0</v>
      </c>
      <c r="S33" s="393">
        <v>0</v>
      </c>
      <c r="T33" s="393">
        <v>3.6690673565331302</v>
      </c>
      <c r="U33" s="393">
        <v>0</v>
      </c>
      <c r="V33" s="393">
        <v>0</v>
      </c>
      <c r="W33" s="393">
        <v>0</v>
      </c>
      <c r="X33" s="393">
        <v>0</v>
      </c>
      <c r="Y33" s="393">
        <v>0</v>
      </c>
      <c r="Z33" s="393">
        <v>0</v>
      </c>
      <c r="AA33" s="393">
        <v>0</v>
      </c>
      <c r="AB33" s="393">
        <v>0</v>
      </c>
      <c r="AC33" s="393">
        <v>3.8464244813434401</v>
      </c>
      <c r="AD33" s="393">
        <v>0</v>
      </c>
      <c r="AE33" s="393">
        <v>0</v>
      </c>
      <c r="AF33" s="393">
        <v>0</v>
      </c>
      <c r="AG33" s="393">
        <v>0</v>
      </c>
      <c r="AH33" s="393">
        <v>0</v>
      </c>
      <c r="AI33" s="393">
        <v>0</v>
      </c>
      <c r="AJ33" s="393">
        <v>0</v>
      </c>
      <c r="AK33" s="393">
        <v>0</v>
      </c>
      <c r="AL33" s="393">
        <v>4.2539473610108596</v>
      </c>
      <c r="AM33" s="393">
        <v>0</v>
      </c>
      <c r="AO33" s="81"/>
      <c r="AP33" s="81">
        <f>SUM(AE33:AM33)</f>
        <v>4.2539473610108596</v>
      </c>
    </row>
    <row r="34">
      <c r="B34" s="394" t="s">
        <v>750</v>
      </c>
      <c r="C34" s="130" t="s">
        <v>723</v>
      </c>
      <c r="D34" s="395">
        <v>0</v>
      </c>
      <c r="E34" s="395">
        <v>0</v>
      </c>
      <c r="F34" s="395">
        <v>0</v>
      </c>
      <c r="G34" s="395">
        <v>0</v>
      </c>
      <c r="H34" s="396">
        <v>0</v>
      </c>
      <c r="I34" s="396">
        <v>0</v>
      </c>
      <c r="J34" s="396">
        <v>0</v>
      </c>
      <c r="K34" s="396">
        <v>0.77600000000000002</v>
      </c>
      <c r="L34" s="396">
        <v>0</v>
      </c>
      <c r="M34" s="396">
        <v>0</v>
      </c>
      <c r="N34" s="396">
        <v>0</v>
      </c>
      <c r="O34" s="396">
        <v>0</v>
      </c>
      <c r="P34" s="396">
        <v>0</v>
      </c>
      <c r="Q34" s="396">
        <v>0</v>
      </c>
      <c r="R34" s="396">
        <v>0</v>
      </c>
      <c r="S34" s="396">
        <v>0</v>
      </c>
      <c r="T34" s="396">
        <v>0.762308799080475</v>
      </c>
      <c r="U34" s="396">
        <v>0</v>
      </c>
      <c r="V34" s="395">
        <v>0</v>
      </c>
      <c r="W34" s="395">
        <v>0</v>
      </c>
      <c r="X34" s="395">
        <v>0</v>
      </c>
      <c r="Y34" s="395">
        <v>0</v>
      </c>
      <c r="Z34" s="396">
        <v>0</v>
      </c>
      <c r="AA34" s="396">
        <v>0</v>
      </c>
      <c r="AB34" s="396">
        <v>0</v>
      </c>
      <c r="AC34" s="396">
        <v>0.696586595016499</v>
      </c>
      <c r="AD34" s="396">
        <v>0</v>
      </c>
      <c r="AE34" s="395">
        <v>0</v>
      </c>
      <c r="AF34" s="395">
        <v>0</v>
      </c>
      <c r="AG34" s="395">
        <v>0</v>
      </c>
      <c r="AH34" s="395">
        <v>0</v>
      </c>
      <c r="AI34" s="396">
        <v>0</v>
      </c>
      <c r="AJ34" s="396">
        <v>0</v>
      </c>
      <c r="AK34" s="396">
        <v>0</v>
      </c>
      <c r="AL34" s="396">
        <v>0.54364260295609801</v>
      </c>
      <c r="AM34" s="396">
        <v>0</v>
      </c>
    </row>
    <row r="35">
      <c r="B35" s="394" t="s">
        <v>751</v>
      </c>
      <c r="C35" s="130" t="s">
        <v>723</v>
      </c>
      <c r="D35" s="395">
        <v>0</v>
      </c>
      <c r="E35" s="395">
        <v>0</v>
      </c>
      <c r="F35" s="395">
        <v>0</v>
      </c>
      <c r="G35" s="395">
        <v>0</v>
      </c>
      <c r="H35" s="396">
        <v>0</v>
      </c>
      <c r="I35" s="396">
        <v>0</v>
      </c>
      <c r="J35" s="396">
        <v>0</v>
      </c>
      <c r="K35" s="396">
        <v>2.4489999999999998</v>
      </c>
      <c r="L35" s="396">
        <v>0</v>
      </c>
      <c r="M35" s="396">
        <v>0</v>
      </c>
      <c r="N35" s="396">
        <v>0</v>
      </c>
      <c r="O35" s="396">
        <v>0</v>
      </c>
      <c r="P35" s="396">
        <v>0</v>
      </c>
      <c r="Q35" s="396">
        <v>0</v>
      </c>
      <c r="R35" s="396">
        <v>0</v>
      </c>
      <c r="S35" s="396">
        <v>0</v>
      </c>
      <c r="T35" s="396">
        <v>2.5156477809690401</v>
      </c>
      <c r="U35" s="396">
        <v>0</v>
      </c>
      <c r="V35" s="395">
        <v>0</v>
      </c>
      <c r="W35" s="395">
        <v>0</v>
      </c>
      <c r="X35" s="395">
        <v>0</v>
      </c>
      <c r="Y35" s="395">
        <v>0</v>
      </c>
      <c r="Z35" s="396">
        <v>0</v>
      </c>
      <c r="AA35" s="396">
        <v>0</v>
      </c>
      <c r="AB35" s="396">
        <v>0</v>
      </c>
      <c r="AC35" s="396">
        <v>2.7921792874031701</v>
      </c>
      <c r="AD35" s="396">
        <v>0</v>
      </c>
      <c r="AE35" s="395">
        <v>0</v>
      </c>
      <c r="AF35" s="395">
        <v>0</v>
      </c>
      <c r="AG35" s="395">
        <v>0</v>
      </c>
      <c r="AH35" s="395">
        <v>0</v>
      </c>
      <c r="AI35" s="396">
        <v>0</v>
      </c>
      <c r="AJ35" s="396">
        <v>0</v>
      </c>
      <c r="AK35" s="396">
        <v>0</v>
      </c>
      <c r="AL35" s="396">
        <v>3.43079423402857</v>
      </c>
      <c r="AM35" s="396">
        <v>0</v>
      </c>
    </row>
    <row r="36">
      <c r="B36" s="394" t="s">
        <v>752</v>
      </c>
      <c r="C36" s="130" t="s">
        <v>723</v>
      </c>
      <c r="D36" s="395">
        <v>0</v>
      </c>
      <c r="E36" s="395">
        <v>0</v>
      </c>
      <c r="F36" s="395">
        <v>0</v>
      </c>
      <c r="G36" s="395">
        <v>0</v>
      </c>
      <c r="H36" s="396">
        <v>0</v>
      </c>
      <c r="I36" s="396">
        <v>0</v>
      </c>
      <c r="J36" s="396">
        <v>0</v>
      </c>
      <c r="K36" s="396">
        <v>0.39800000000000002</v>
      </c>
      <c r="L36" s="396">
        <v>0</v>
      </c>
      <c r="M36" s="396">
        <v>0</v>
      </c>
      <c r="N36" s="396">
        <v>0</v>
      </c>
      <c r="O36" s="396">
        <v>0</v>
      </c>
      <c r="P36" s="396">
        <v>0</v>
      </c>
      <c r="Q36" s="396">
        <v>0</v>
      </c>
      <c r="R36" s="396">
        <v>0</v>
      </c>
      <c r="S36" s="396">
        <v>0</v>
      </c>
      <c r="T36" s="396">
        <v>0.39111077648361497</v>
      </c>
      <c r="U36" s="396">
        <v>0</v>
      </c>
      <c r="V36" s="395">
        <v>0</v>
      </c>
      <c r="W36" s="395">
        <v>0</v>
      </c>
      <c r="X36" s="395">
        <v>0</v>
      </c>
      <c r="Y36" s="395">
        <v>0</v>
      </c>
      <c r="Z36" s="396">
        <v>0</v>
      </c>
      <c r="AA36" s="396">
        <v>0</v>
      </c>
      <c r="AB36" s="396">
        <v>0</v>
      </c>
      <c r="AC36" s="396">
        <v>0.357658598923767</v>
      </c>
      <c r="AD36" s="396">
        <v>0</v>
      </c>
      <c r="AE36" s="395">
        <v>0</v>
      </c>
      <c r="AF36" s="395">
        <v>0</v>
      </c>
      <c r="AG36" s="395">
        <v>0</v>
      </c>
      <c r="AH36" s="395">
        <v>0</v>
      </c>
      <c r="AI36" s="396">
        <v>0</v>
      </c>
      <c r="AJ36" s="396">
        <v>0</v>
      </c>
      <c r="AK36" s="396">
        <v>0</v>
      </c>
      <c r="AL36" s="396">
        <v>0.27951052402618998</v>
      </c>
      <c r="AM36" s="396">
        <v>0</v>
      </c>
    </row>
    <row r="37">
      <c r="B37" s="392" t="s">
        <v>753</v>
      </c>
      <c r="C37" s="130" t="s">
        <v>723</v>
      </c>
      <c r="D37" s="393">
        <v>0</v>
      </c>
      <c r="E37" s="393">
        <v>0</v>
      </c>
      <c r="F37" s="393">
        <v>0</v>
      </c>
      <c r="G37" s="393">
        <v>0</v>
      </c>
      <c r="H37" s="393">
        <v>0</v>
      </c>
      <c r="I37" s="393">
        <v>0</v>
      </c>
      <c r="J37" s="393">
        <v>0</v>
      </c>
      <c r="K37" s="393">
        <v>0</v>
      </c>
      <c r="L37" s="393">
        <v>1.9139999999999999</v>
      </c>
      <c r="M37" s="393">
        <v>0</v>
      </c>
      <c r="N37" s="393">
        <v>0</v>
      </c>
      <c r="O37" s="393">
        <v>0</v>
      </c>
      <c r="P37" s="393">
        <v>0</v>
      </c>
      <c r="Q37" s="393">
        <v>0</v>
      </c>
      <c r="R37" s="393">
        <v>0</v>
      </c>
      <c r="S37" s="393">
        <v>0</v>
      </c>
      <c r="T37" s="393">
        <v>0</v>
      </c>
      <c r="U37" s="393">
        <v>1.9131319130859401</v>
      </c>
      <c r="V37" s="393">
        <v>0</v>
      </c>
      <c r="W37" s="393">
        <v>0</v>
      </c>
      <c r="X37" s="393">
        <v>0</v>
      </c>
      <c r="Y37" s="393">
        <v>0</v>
      </c>
      <c r="Z37" s="393">
        <v>0</v>
      </c>
      <c r="AA37" s="393">
        <v>0</v>
      </c>
      <c r="AB37" s="393">
        <v>0</v>
      </c>
      <c r="AC37" s="393">
        <v>0</v>
      </c>
      <c r="AD37" s="393">
        <v>1.9863492</v>
      </c>
      <c r="AE37" s="393">
        <v>0</v>
      </c>
      <c r="AF37" s="393">
        <v>0</v>
      </c>
      <c r="AG37" s="393">
        <v>0</v>
      </c>
      <c r="AH37" s="393">
        <v>0</v>
      </c>
      <c r="AI37" s="393">
        <v>0</v>
      </c>
      <c r="AJ37" s="393">
        <v>0</v>
      </c>
      <c r="AK37" s="393">
        <v>0</v>
      </c>
      <c r="AL37" s="393">
        <v>0</v>
      </c>
      <c r="AM37" s="393">
        <v>2.0684597999999998</v>
      </c>
      <c r="AO37" s="81"/>
      <c r="AP37" s="81">
        <f>SUM(AE37:AM37)</f>
        <v>2.0684597999999998</v>
      </c>
    </row>
    <row r="38">
      <c r="B38" s="394" t="s">
        <v>754</v>
      </c>
      <c r="C38" s="130" t="s">
        <v>723</v>
      </c>
      <c r="D38" s="395">
        <v>0</v>
      </c>
      <c r="E38" s="395">
        <v>0</v>
      </c>
      <c r="F38" s="395">
        <v>0</v>
      </c>
      <c r="G38" s="395">
        <v>0</v>
      </c>
      <c r="H38" s="396">
        <v>0</v>
      </c>
      <c r="I38" s="396">
        <v>0</v>
      </c>
      <c r="J38" s="396">
        <v>0</v>
      </c>
      <c r="K38" s="396">
        <v>0</v>
      </c>
      <c r="L38" s="396">
        <v>1.9139999999999999</v>
      </c>
      <c r="M38" s="396">
        <v>0</v>
      </c>
      <c r="N38" s="396">
        <v>0</v>
      </c>
      <c r="O38" s="396">
        <v>0</v>
      </c>
      <c r="P38" s="396">
        <v>0</v>
      </c>
      <c r="Q38" s="396">
        <v>0</v>
      </c>
      <c r="R38" s="396">
        <v>0</v>
      </c>
      <c r="S38" s="396">
        <v>0</v>
      </c>
      <c r="T38" s="396">
        <v>0</v>
      </c>
      <c r="U38" s="396">
        <v>1.9131319130859401</v>
      </c>
      <c r="V38" s="395">
        <v>0</v>
      </c>
      <c r="W38" s="395">
        <v>0</v>
      </c>
      <c r="X38" s="395">
        <v>0</v>
      </c>
      <c r="Y38" s="395">
        <v>0</v>
      </c>
      <c r="Z38" s="396">
        <v>0</v>
      </c>
      <c r="AA38" s="396">
        <v>0</v>
      </c>
      <c r="AB38" s="396">
        <v>0</v>
      </c>
      <c r="AC38" s="396">
        <v>0</v>
      </c>
      <c r="AD38" s="396">
        <v>1.9863492</v>
      </c>
      <c r="AE38" s="395">
        <v>0</v>
      </c>
      <c r="AF38" s="395">
        <v>0</v>
      </c>
      <c r="AG38" s="395">
        <v>0</v>
      </c>
      <c r="AH38" s="395">
        <v>0</v>
      </c>
      <c r="AI38" s="396">
        <v>0</v>
      </c>
      <c r="AJ38" s="396">
        <v>0</v>
      </c>
      <c r="AK38" s="396">
        <v>0</v>
      </c>
      <c r="AL38" s="396">
        <v>0</v>
      </c>
      <c r="AM38" s="396">
        <v>2.0684597999999998</v>
      </c>
    </row>
    <row r="39">
      <c r="B39" s="397" t="s">
        <v>755</v>
      </c>
      <c r="C39" s="130" t="s">
        <v>723</v>
      </c>
      <c r="D39" s="398">
        <v>0</v>
      </c>
      <c r="E39" s="398">
        <v>0</v>
      </c>
      <c r="F39" s="398">
        <v>0</v>
      </c>
      <c r="G39" s="398">
        <v>0</v>
      </c>
      <c r="H39" s="398">
        <v>0.067536176344524607</v>
      </c>
      <c r="I39" s="398">
        <v>0.148793856446338</v>
      </c>
      <c r="J39" s="398">
        <v>0.369198282681999</v>
      </c>
      <c r="K39" s="398">
        <v>1.073</v>
      </c>
      <c r="L39" s="398">
        <v>1.8457692307692299</v>
      </c>
      <c r="M39" s="398">
        <v>0</v>
      </c>
      <c r="N39" s="398">
        <v>0</v>
      </c>
      <c r="O39" s="398">
        <v>0</v>
      </c>
      <c r="P39" s="398">
        <v>0</v>
      </c>
      <c r="Q39" s="398">
        <v>0.062496004849650198</v>
      </c>
      <c r="R39" s="398">
        <v>0.14747701954671699</v>
      </c>
      <c r="S39" s="398">
        <v>0.379956855686438</v>
      </c>
      <c r="T39" s="398">
        <v>1.14451073231212</v>
      </c>
      <c r="U39" s="398">
        <v>1.8583902928745</v>
      </c>
      <c r="V39" s="398">
        <v>0</v>
      </c>
      <c r="W39" s="398">
        <v>0</v>
      </c>
      <c r="X39" s="398">
        <v>0</v>
      </c>
      <c r="Y39" s="398">
        <v>0</v>
      </c>
      <c r="Z39" s="398">
        <v>0.058931780837660701</v>
      </c>
      <c r="AA39" s="398">
        <v>0.14068839744551501</v>
      </c>
      <c r="AB39" s="398">
        <v>0.33774109470083102</v>
      </c>
      <c r="AC39" s="398">
        <v>1.2816952828184001</v>
      </c>
      <c r="AD39" s="398">
        <v>1.8957071514016799</v>
      </c>
      <c r="AE39" s="398">
        <v>0</v>
      </c>
      <c r="AF39" s="398">
        <v>0</v>
      </c>
      <c r="AG39" s="398">
        <v>0</v>
      </c>
      <c r="AH39" s="398">
        <v>0</v>
      </c>
      <c r="AI39" s="398">
        <v>0.036555911611020502</v>
      </c>
      <c r="AJ39" s="398">
        <v>0.135235156515814</v>
      </c>
      <c r="AK39" s="398">
        <v>0.27448163391697</v>
      </c>
      <c r="AL39" s="399">
        <v>1.6200000000000001</v>
      </c>
      <c r="AM39" s="398">
        <v>1.94703465127256</v>
      </c>
      <c r="AO39" s="81"/>
      <c r="AP39" s="81">
        <f>SUM(AE39:AM39)</f>
        <v>4.0133073533163648</v>
      </c>
    </row>
    <row r="40">
      <c r="B40" s="400" t="s">
        <v>110</v>
      </c>
      <c r="C40" s="130" t="s">
        <v>723</v>
      </c>
      <c r="D40" s="401">
        <v>0</v>
      </c>
      <c r="E40" s="401">
        <v>0</v>
      </c>
      <c r="F40" s="401">
        <v>0</v>
      </c>
      <c r="G40" s="401">
        <v>0</v>
      </c>
      <c r="H40" s="402">
        <v>0</v>
      </c>
      <c r="I40" s="402">
        <v>0</v>
      </c>
      <c r="J40" s="402">
        <v>0</v>
      </c>
      <c r="K40" s="402">
        <v>0</v>
      </c>
      <c r="L40" s="402">
        <v>0</v>
      </c>
      <c r="M40" s="402">
        <v>0</v>
      </c>
      <c r="N40" s="402">
        <v>0</v>
      </c>
      <c r="O40" s="402">
        <v>0</v>
      </c>
      <c r="P40" s="402">
        <v>0</v>
      </c>
      <c r="Q40" s="402">
        <v>0</v>
      </c>
      <c r="R40" s="402">
        <v>0</v>
      </c>
      <c r="S40" s="402">
        <v>0</v>
      </c>
      <c r="T40" s="402">
        <v>0</v>
      </c>
      <c r="U40" s="402">
        <v>0</v>
      </c>
      <c r="V40" s="401">
        <v>0</v>
      </c>
      <c r="W40" s="401">
        <v>0</v>
      </c>
      <c r="X40" s="401">
        <v>0</v>
      </c>
      <c r="Y40" s="401">
        <v>0</v>
      </c>
      <c r="Z40" s="402">
        <v>0</v>
      </c>
      <c r="AA40" s="402">
        <v>0</v>
      </c>
      <c r="AB40" s="402">
        <v>0</v>
      </c>
      <c r="AC40" s="402">
        <v>0</v>
      </c>
      <c r="AD40" s="402">
        <v>0</v>
      </c>
      <c r="AE40" s="401">
        <v>0</v>
      </c>
      <c r="AF40" s="401">
        <v>0</v>
      </c>
      <c r="AG40" s="401">
        <v>0</v>
      </c>
      <c r="AH40" s="401">
        <v>0</v>
      </c>
      <c r="AI40" s="402">
        <v>0</v>
      </c>
      <c r="AJ40" s="402">
        <v>0</v>
      </c>
      <c r="AK40" s="402">
        <v>0</v>
      </c>
      <c r="AL40" s="402">
        <v>0</v>
      </c>
      <c r="AM40" s="402">
        <v>0</v>
      </c>
    </row>
    <row r="41">
      <c r="B41" s="400" t="s">
        <v>48</v>
      </c>
      <c r="C41" s="130" t="s">
        <v>723</v>
      </c>
      <c r="D41" s="401">
        <v>0</v>
      </c>
      <c r="E41" s="401">
        <v>0</v>
      </c>
      <c r="F41" s="401">
        <v>0</v>
      </c>
      <c r="G41" s="401">
        <v>0</v>
      </c>
      <c r="H41" s="402">
        <v>0</v>
      </c>
      <c r="I41" s="402">
        <v>0</v>
      </c>
      <c r="J41" s="402">
        <v>0.036850000000000001</v>
      </c>
      <c r="K41" s="402">
        <v>0</v>
      </c>
      <c r="L41" s="402">
        <v>0</v>
      </c>
      <c r="M41" s="402">
        <v>0</v>
      </c>
      <c r="N41" s="402">
        <v>0</v>
      </c>
      <c r="O41" s="402">
        <v>0</v>
      </c>
      <c r="P41" s="402">
        <v>0</v>
      </c>
      <c r="Q41" s="402">
        <v>0</v>
      </c>
      <c r="R41" s="402">
        <v>0</v>
      </c>
      <c r="S41" s="402">
        <v>0.0364645101661773</v>
      </c>
      <c r="T41" s="402">
        <v>0</v>
      </c>
      <c r="U41" s="402">
        <v>0</v>
      </c>
      <c r="V41" s="401">
        <v>0</v>
      </c>
      <c r="W41" s="401">
        <v>0</v>
      </c>
      <c r="X41" s="401">
        <v>0</v>
      </c>
      <c r="Y41" s="401">
        <v>0</v>
      </c>
      <c r="Z41" s="402">
        <v>0</v>
      </c>
      <c r="AA41" s="402">
        <v>0</v>
      </c>
      <c r="AB41" s="402">
        <v>0.040066906872282301</v>
      </c>
      <c r="AC41" s="402">
        <v>0</v>
      </c>
      <c r="AD41" s="402">
        <v>0</v>
      </c>
      <c r="AE41" s="401">
        <v>0</v>
      </c>
      <c r="AF41" s="401">
        <v>0</v>
      </c>
      <c r="AG41" s="401">
        <v>0</v>
      </c>
      <c r="AH41" s="401">
        <v>0</v>
      </c>
      <c r="AI41" s="402">
        <v>0</v>
      </c>
      <c r="AJ41" s="402">
        <v>0</v>
      </c>
      <c r="AK41" s="402">
        <v>0.0432182334324289</v>
      </c>
      <c r="AL41" s="402">
        <v>0</v>
      </c>
      <c r="AM41" s="402">
        <v>0</v>
      </c>
    </row>
    <row r="42">
      <c r="B42" s="403" t="s">
        <v>657</v>
      </c>
      <c r="C42" s="130" t="s">
        <v>723</v>
      </c>
      <c r="D42" s="401">
        <v>0</v>
      </c>
      <c r="E42" s="401">
        <v>0</v>
      </c>
      <c r="F42" s="401">
        <v>0</v>
      </c>
      <c r="G42" s="401">
        <v>0</v>
      </c>
      <c r="H42" s="402">
        <v>0</v>
      </c>
      <c r="I42" s="402">
        <v>0</v>
      </c>
      <c r="J42" s="402">
        <v>0</v>
      </c>
      <c r="K42" s="402">
        <v>0</v>
      </c>
      <c r="L42" s="402">
        <v>0</v>
      </c>
      <c r="M42" s="402">
        <v>0</v>
      </c>
      <c r="N42" s="402">
        <v>0</v>
      </c>
      <c r="O42" s="402">
        <v>0</v>
      </c>
      <c r="P42" s="402">
        <v>0</v>
      </c>
      <c r="Q42" s="402">
        <v>0</v>
      </c>
      <c r="R42" s="402">
        <v>0</v>
      </c>
      <c r="S42" s="402">
        <v>0</v>
      </c>
      <c r="T42" s="402">
        <v>0</v>
      </c>
      <c r="U42" s="402">
        <v>0</v>
      </c>
      <c r="V42" s="401">
        <v>0</v>
      </c>
      <c r="W42" s="401">
        <v>0</v>
      </c>
      <c r="X42" s="401">
        <v>0</v>
      </c>
      <c r="Y42" s="401">
        <v>0</v>
      </c>
      <c r="Z42" s="402">
        <v>0</v>
      </c>
      <c r="AA42" s="402">
        <v>0</v>
      </c>
      <c r="AB42" s="402">
        <v>0</v>
      </c>
      <c r="AC42" s="402">
        <v>0</v>
      </c>
      <c r="AD42" s="402">
        <v>0</v>
      </c>
      <c r="AE42" s="401">
        <v>0</v>
      </c>
      <c r="AF42" s="401">
        <v>0</v>
      </c>
      <c r="AG42" s="401">
        <v>0</v>
      </c>
      <c r="AH42" s="401">
        <v>0</v>
      </c>
      <c r="AI42" s="402">
        <v>0</v>
      </c>
      <c r="AJ42" s="402">
        <v>0</v>
      </c>
      <c r="AK42" s="402">
        <v>0</v>
      </c>
      <c r="AL42" s="402">
        <v>0</v>
      </c>
      <c r="AM42" s="402">
        <v>0</v>
      </c>
    </row>
    <row r="43">
      <c r="B43" s="403" t="s">
        <v>756</v>
      </c>
      <c r="C43" s="130" t="s">
        <v>723</v>
      </c>
      <c r="D43" s="401">
        <v>0</v>
      </c>
      <c r="E43" s="401">
        <v>0</v>
      </c>
      <c r="F43" s="401">
        <v>0</v>
      </c>
      <c r="G43" s="401">
        <v>0</v>
      </c>
      <c r="H43" s="402">
        <v>0</v>
      </c>
      <c r="I43" s="402">
        <v>0</v>
      </c>
      <c r="J43" s="402">
        <v>0</v>
      </c>
      <c r="K43" s="402">
        <v>0</v>
      </c>
      <c r="L43" s="402">
        <v>0</v>
      </c>
      <c r="M43" s="402">
        <v>0</v>
      </c>
      <c r="N43" s="402">
        <v>0</v>
      </c>
      <c r="O43" s="402">
        <v>0</v>
      </c>
      <c r="P43" s="402">
        <v>0</v>
      </c>
      <c r="Q43" s="402">
        <v>0</v>
      </c>
      <c r="R43" s="402">
        <v>0</v>
      </c>
      <c r="S43" s="402">
        <v>0</v>
      </c>
      <c r="T43" s="402">
        <v>0</v>
      </c>
      <c r="U43" s="402">
        <v>0</v>
      </c>
      <c r="V43" s="401">
        <v>0</v>
      </c>
      <c r="W43" s="401">
        <v>0</v>
      </c>
      <c r="X43" s="401">
        <v>0</v>
      </c>
      <c r="Y43" s="401">
        <v>0</v>
      </c>
      <c r="Z43" s="402">
        <v>0</v>
      </c>
      <c r="AA43" s="402">
        <v>0</v>
      </c>
      <c r="AB43" s="402">
        <v>0</v>
      </c>
      <c r="AC43" s="402">
        <v>0</v>
      </c>
      <c r="AD43" s="402">
        <v>0</v>
      </c>
      <c r="AE43" s="401">
        <v>0</v>
      </c>
      <c r="AF43" s="401">
        <v>0</v>
      </c>
      <c r="AG43" s="401">
        <v>0</v>
      </c>
      <c r="AH43" s="401">
        <v>0</v>
      </c>
      <c r="AI43" s="402">
        <v>0</v>
      </c>
      <c r="AJ43" s="402">
        <v>0</v>
      </c>
      <c r="AK43" s="402">
        <v>0</v>
      </c>
      <c r="AL43" s="402">
        <v>0</v>
      </c>
      <c r="AM43" s="402">
        <v>0</v>
      </c>
    </row>
    <row r="44">
      <c r="B44" s="403" t="s">
        <v>15</v>
      </c>
      <c r="C44" s="130" t="s">
        <v>723</v>
      </c>
      <c r="D44" s="401">
        <v>0</v>
      </c>
      <c r="E44" s="401">
        <v>0</v>
      </c>
      <c r="F44" s="401">
        <v>0</v>
      </c>
      <c r="G44" s="401">
        <v>0</v>
      </c>
      <c r="H44" s="402">
        <v>0</v>
      </c>
      <c r="I44" s="402">
        <v>0</v>
      </c>
      <c r="J44" s="402">
        <v>0</v>
      </c>
      <c r="K44" s="402">
        <v>0</v>
      </c>
      <c r="L44" s="402">
        <v>0</v>
      </c>
      <c r="M44" s="402">
        <v>0</v>
      </c>
      <c r="N44" s="402">
        <v>0</v>
      </c>
      <c r="O44" s="402">
        <v>0</v>
      </c>
      <c r="P44" s="402">
        <v>0</v>
      </c>
      <c r="Q44" s="402">
        <v>0</v>
      </c>
      <c r="R44" s="402">
        <v>0</v>
      </c>
      <c r="S44" s="402">
        <v>0</v>
      </c>
      <c r="T44" s="402">
        <v>0</v>
      </c>
      <c r="U44" s="402">
        <v>0</v>
      </c>
      <c r="V44" s="401">
        <v>0</v>
      </c>
      <c r="W44" s="401">
        <v>0</v>
      </c>
      <c r="X44" s="401">
        <v>0</v>
      </c>
      <c r="Y44" s="401">
        <v>0</v>
      </c>
      <c r="Z44" s="402">
        <v>0</v>
      </c>
      <c r="AA44" s="402">
        <v>0</v>
      </c>
      <c r="AB44" s="402">
        <v>0</v>
      </c>
      <c r="AC44" s="402">
        <v>0</v>
      </c>
      <c r="AD44" s="402">
        <v>0</v>
      </c>
      <c r="AE44" s="401">
        <v>0</v>
      </c>
      <c r="AF44" s="401">
        <v>0</v>
      </c>
      <c r="AG44" s="401">
        <v>0</v>
      </c>
      <c r="AH44" s="401">
        <v>0</v>
      </c>
      <c r="AI44" s="402">
        <v>0</v>
      </c>
      <c r="AJ44" s="402">
        <v>0</v>
      </c>
      <c r="AK44" s="402">
        <v>0</v>
      </c>
      <c r="AL44" s="402">
        <v>0</v>
      </c>
      <c r="AM44" s="402">
        <v>0</v>
      </c>
    </row>
    <row r="45">
      <c r="B45" s="391" t="s">
        <v>757</v>
      </c>
      <c r="C45" s="130" t="s">
        <v>723</v>
      </c>
      <c r="D45" s="401">
        <v>0</v>
      </c>
      <c r="E45" s="401">
        <v>0</v>
      </c>
      <c r="F45" s="401">
        <v>0</v>
      </c>
      <c r="G45" s="401">
        <v>0</v>
      </c>
      <c r="H45" s="402">
        <v>0</v>
      </c>
      <c r="I45" s="402">
        <v>0</v>
      </c>
      <c r="J45" s="402">
        <v>0</v>
      </c>
      <c r="K45" s="402">
        <v>0</v>
      </c>
      <c r="L45" s="402">
        <v>0</v>
      </c>
      <c r="M45" s="402">
        <v>0</v>
      </c>
      <c r="N45" s="402">
        <v>0</v>
      </c>
      <c r="O45" s="402">
        <v>0</v>
      </c>
      <c r="P45" s="402">
        <v>0</v>
      </c>
      <c r="Q45" s="402">
        <v>0</v>
      </c>
      <c r="R45" s="402">
        <v>0</v>
      </c>
      <c r="S45" s="402">
        <v>0</v>
      </c>
      <c r="T45" s="402">
        <v>0</v>
      </c>
      <c r="U45" s="402">
        <v>0</v>
      </c>
      <c r="V45" s="401">
        <v>0</v>
      </c>
      <c r="W45" s="401">
        <v>0</v>
      </c>
      <c r="X45" s="401">
        <v>0</v>
      </c>
      <c r="Y45" s="401">
        <v>0</v>
      </c>
      <c r="Z45" s="402">
        <v>0</v>
      </c>
      <c r="AA45" s="402">
        <v>0</v>
      </c>
      <c r="AB45" s="402">
        <v>0</v>
      </c>
      <c r="AC45" s="402">
        <v>0</v>
      </c>
      <c r="AD45" s="402">
        <v>0</v>
      </c>
      <c r="AE45" s="401">
        <v>0</v>
      </c>
      <c r="AF45" s="401">
        <v>0</v>
      </c>
      <c r="AG45" s="401">
        <v>0</v>
      </c>
      <c r="AH45" s="401">
        <v>0</v>
      </c>
      <c r="AI45" s="402">
        <v>0</v>
      </c>
      <c r="AJ45" s="402">
        <v>0</v>
      </c>
      <c r="AK45" s="402">
        <v>0</v>
      </c>
      <c r="AL45" s="402">
        <v>0</v>
      </c>
      <c r="AM45" s="402">
        <v>0</v>
      </c>
    </row>
    <row r="46">
      <c r="B46" s="391" t="s">
        <v>23</v>
      </c>
      <c r="C46" s="130" t="s">
        <v>723</v>
      </c>
      <c r="D46" s="401">
        <v>0</v>
      </c>
      <c r="E46" s="401">
        <v>0</v>
      </c>
      <c r="F46" s="401">
        <v>0</v>
      </c>
      <c r="G46" s="401">
        <v>0</v>
      </c>
      <c r="H46" s="402">
        <v>0</v>
      </c>
      <c r="I46" s="402">
        <v>0.083559640000000004</v>
      </c>
      <c r="J46" s="402">
        <v>0.040535000000000002</v>
      </c>
      <c r="K46" s="402">
        <v>0</v>
      </c>
      <c r="L46" s="402">
        <v>1.1040116959064299</v>
      </c>
      <c r="M46" s="402">
        <v>0</v>
      </c>
      <c r="N46" s="402">
        <v>0</v>
      </c>
      <c r="O46" s="402">
        <v>0</v>
      </c>
      <c r="P46" s="402">
        <v>0</v>
      </c>
      <c r="Q46" s="402">
        <v>0</v>
      </c>
      <c r="R46" s="402">
        <v>0.084421949591908102</v>
      </c>
      <c r="S46" s="402">
        <v>0.040953308639290399</v>
      </c>
      <c r="T46" s="402">
        <v>0</v>
      </c>
      <c r="U46" s="402">
        <v>1.11540475450457</v>
      </c>
      <c r="V46" s="401">
        <v>0</v>
      </c>
      <c r="W46" s="401">
        <v>0</v>
      </c>
      <c r="X46" s="401">
        <v>0</v>
      </c>
      <c r="Y46" s="401">
        <v>0</v>
      </c>
      <c r="Z46" s="402">
        <v>0</v>
      </c>
      <c r="AA46" s="402">
        <v>0.086372240882482507</v>
      </c>
      <c r="AB46" s="402">
        <v>0.041899400047336603</v>
      </c>
      <c r="AC46" s="402">
        <v>0</v>
      </c>
      <c r="AD46" s="402">
        <v>1.14117251026822</v>
      </c>
      <c r="AE46" s="401">
        <v>0</v>
      </c>
      <c r="AF46" s="401">
        <v>0</v>
      </c>
      <c r="AG46" s="401">
        <v>0</v>
      </c>
      <c r="AH46" s="401">
        <v>0</v>
      </c>
      <c r="AI46" s="402">
        <v>0</v>
      </c>
      <c r="AJ46" s="402">
        <v>0.089201831664066894</v>
      </c>
      <c r="AK46" s="402">
        <v>0.043272041939182</v>
      </c>
      <c r="AL46" s="402">
        <v>0</v>
      </c>
      <c r="AM46" s="402">
        <v>1.17855779959567</v>
      </c>
    </row>
    <row r="47">
      <c r="B47" s="404" t="s">
        <v>613</v>
      </c>
      <c r="C47" s="130" t="s">
        <v>723</v>
      </c>
      <c r="D47" s="401">
        <v>0</v>
      </c>
      <c r="E47" s="401">
        <v>0</v>
      </c>
      <c r="F47" s="401">
        <v>0</v>
      </c>
      <c r="G47" s="401">
        <v>0</v>
      </c>
      <c r="H47" s="402">
        <v>0</v>
      </c>
      <c r="I47" s="402">
        <v>0.074273580146371102</v>
      </c>
      <c r="J47" s="402">
        <v>0.044220000000000002</v>
      </c>
      <c r="K47" s="402">
        <v>0</v>
      </c>
      <c r="L47" s="402">
        <v>0</v>
      </c>
      <c r="M47" s="402">
        <v>0</v>
      </c>
      <c r="N47" s="402">
        <v>0</v>
      </c>
      <c r="O47" s="402">
        <v>0</v>
      </c>
      <c r="P47" s="402">
        <v>0</v>
      </c>
      <c r="Q47" s="402">
        <v>0</v>
      </c>
      <c r="R47" s="402">
        <v>0.072126802815246305</v>
      </c>
      <c r="S47" s="402">
        <v>0.042941880736120999</v>
      </c>
      <c r="T47" s="402">
        <v>0</v>
      </c>
      <c r="U47" s="402">
        <v>0</v>
      </c>
      <c r="V47" s="401">
        <v>0</v>
      </c>
      <c r="W47" s="401">
        <v>0</v>
      </c>
      <c r="X47" s="401">
        <v>0</v>
      </c>
      <c r="Y47" s="401">
        <v>0</v>
      </c>
      <c r="Z47" s="402">
        <v>0</v>
      </c>
      <c r="AA47" s="402">
        <v>0.063680845224670199</v>
      </c>
      <c r="AB47" s="402">
        <v>0.037913440691635998</v>
      </c>
      <c r="AC47" s="402">
        <v>0</v>
      </c>
      <c r="AD47" s="402">
        <v>0</v>
      </c>
      <c r="AE47" s="401">
        <v>0</v>
      </c>
      <c r="AF47" s="401">
        <v>0</v>
      </c>
      <c r="AG47" s="401">
        <v>0</v>
      </c>
      <c r="AH47" s="401">
        <v>0</v>
      </c>
      <c r="AI47" s="402">
        <v>0</v>
      </c>
      <c r="AJ47" s="402">
        <v>0.055827175751109202</v>
      </c>
      <c r="AK47" s="402">
        <v>0.0332376291387734</v>
      </c>
      <c r="AL47" s="402">
        <v>0</v>
      </c>
      <c r="AM47" s="402">
        <v>0</v>
      </c>
    </row>
    <row r="48">
      <c r="B48" s="405" t="s">
        <v>758</v>
      </c>
      <c r="C48" s="130" t="s">
        <v>723</v>
      </c>
      <c r="D48" s="401">
        <v>0</v>
      </c>
      <c r="E48" s="401">
        <v>0</v>
      </c>
      <c r="F48" s="401">
        <v>0</v>
      </c>
      <c r="G48" s="401">
        <v>0</v>
      </c>
      <c r="H48" s="402">
        <v>0</v>
      </c>
      <c r="I48" s="402">
        <v>0</v>
      </c>
      <c r="J48" s="402">
        <v>0</v>
      </c>
      <c r="K48" s="402">
        <v>0</v>
      </c>
      <c r="L48" s="402">
        <v>0.34892000000000001</v>
      </c>
      <c r="M48" s="402">
        <v>0</v>
      </c>
      <c r="N48" s="402">
        <v>0</v>
      </c>
      <c r="O48" s="402">
        <v>0</v>
      </c>
      <c r="P48" s="402">
        <v>0</v>
      </c>
      <c r="Q48" s="402">
        <v>0</v>
      </c>
      <c r="R48" s="402">
        <v>0</v>
      </c>
      <c r="S48" s="402">
        <v>0</v>
      </c>
      <c r="T48" s="402">
        <v>0</v>
      </c>
      <c r="U48" s="402">
        <v>0.34892000000000001</v>
      </c>
      <c r="V48" s="401">
        <v>0</v>
      </c>
      <c r="W48" s="401">
        <v>0</v>
      </c>
      <c r="X48" s="401">
        <v>0</v>
      </c>
      <c r="Y48" s="401">
        <v>0</v>
      </c>
      <c r="Z48" s="402">
        <v>0</v>
      </c>
      <c r="AA48" s="402">
        <v>0</v>
      </c>
      <c r="AB48" s="402">
        <v>0</v>
      </c>
      <c r="AC48" s="402">
        <v>0</v>
      </c>
      <c r="AD48" s="402">
        <v>0.34892000000000001</v>
      </c>
      <c r="AE48" s="401">
        <v>0</v>
      </c>
      <c r="AF48" s="401">
        <v>0</v>
      </c>
      <c r="AG48" s="401">
        <v>0</v>
      </c>
      <c r="AH48" s="401">
        <v>0</v>
      </c>
      <c r="AI48" s="402">
        <v>0</v>
      </c>
      <c r="AJ48" s="402">
        <v>0</v>
      </c>
      <c r="AK48" s="402">
        <v>0</v>
      </c>
      <c r="AL48" s="402">
        <v>0</v>
      </c>
      <c r="AM48" s="402">
        <v>0.34892000000000001</v>
      </c>
    </row>
    <row r="49">
      <c r="B49" s="405" t="s">
        <v>759</v>
      </c>
      <c r="C49" s="130" t="s">
        <v>723</v>
      </c>
      <c r="D49" s="401">
        <v>0</v>
      </c>
      <c r="E49" s="401">
        <v>0</v>
      </c>
      <c r="F49" s="401">
        <v>0</v>
      </c>
      <c r="G49" s="401">
        <v>0</v>
      </c>
      <c r="H49" s="402">
        <v>0</v>
      </c>
      <c r="I49" s="402">
        <v>0</v>
      </c>
      <c r="J49" s="402">
        <v>0</v>
      </c>
      <c r="K49" s="402">
        <v>0</v>
      </c>
      <c r="L49" s="402">
        <v>0</v>
      </c>
      <c r="M49" s="402">
        <v>0</v>
      </c>
      <c r="N49" s="402">
        <v>0</v>
      </c>
      <c r="O49" s="402">
        <v>0</v>
      </c>
      <c r="P49" s="402">
        <v>0</v>
      </c>
      <c r="Q49" s="402">
        <v>0</v>
      </c>
      <c r="R49" s="402">
        <v>0</v>
      </c>
      <c r="S49" s="402">
        <v>0</v>
      </c>
      <c r="T49" s="402">
        <v>0</v>
      </c>
      <c r="U49" s="402">
        <v>0</v>
      </c>
      <c r="V49" s="401">
        <v>0</v>
      </c>
      <c r="W49" s="401">
        <v>0</v>
      </c>
      <c r="X49" s="401">
        <v>0</v>
      </c>
      <c r="Y49" s="401">
        <v>0</v>
      </c>
      <c r="Z49" s="402">
        <v>0</v>
      </c>
      <c r="AA49" s="402">
        <v>0</v>
      </c>
      <c r="AB49" s="402">
        <v>0</v>
      </c>
      <c r="AC49" s="402">
        <v>0</v>
      </c>
      <c r="AD49" s="402">
        <v>0</v>
      </c>
      <c r="AE49" s="401">
        <v>0</v>
      </c>
      <c r="AF49" s="401">
        <v>0</v>
      </c>
      <c r="AG49" s="401">
        <v>0</v>
      </c>
      <c r="AH49" s="401">
        <v>0</v>
      </c>
      <c r="AI49" s="402">
        <v>0</v>
      </c>
      <c r="AJ49" s="402">
        <v>0</v>
      </c>
      <c r="AK49" s="402">
        <v>0</v>
      </c>
      <c r="AL49" s="402">
        <v>0</v>
      </c>
      <c r="AM49" s="402">
        <v>0</v>
      </c>
    </row>
    <row r="50">
      <c r="B50" s="405" t="s">
        <v>760</v>
      </c>
      <c r="C50" s="130" t="s">
        <v>723</v>
      </c>
      <c r="D50" s="401">
        <v>0</v>
      </c>
      <c r="E50" s="401">
        <v>0</v>
      </c>
      <c r="F50" s="401">
        <v>0</v>
      </c>
      <c r="G50" s="401">
        <v>0</v>
      </c>
      <c r="H50" s="402">
        <v>0.067536176344524607</v>
      </c>
      <c r="I50" s="402">
        <v>-0.0090393637000331199</v>
      </c>
      <c r="J50" s="402">
        <v>0.24759328268199901</v>
      </c>
      <c r="K50" s="402">
        <v>1.073</v>
      </c>
      <c r="L50" s="402">
        <v>0.39283753486279799</v>
      </c>
      <c r="M50" s="402">
        <v>0</v>
      </c>
      <c r="N50" s="402">
        <v>0</v>
      </c>
      <c r="O50" s="402">
        <v>0</v>
      </c>
      <c r="P50" s="402">
        <v>0</v>
      </c>
      <c r="Q50" s="402">
        <v>0.062496004849650198</v>
      </c>
      <c r="R50" s="402">
        <v>-0.0090717328604374304</v>
      </c>
      <c r="S50" s="402">
        <v>0.25959715614484902</v>
      </c>
      <c r="T50" s="402">
        <v>1.14451073231212</v>
      </c>
      <c r="U50" s="402">
        <v>0.39406553836993702</v>
      </c>
      <c r="V50" s="401">
        <v>0</v>
      </c>
      <c r="W50" s="401">
        <v>0</v>
      </c>
      <c r="X50" s="401">
        <v>0</v>
      </c>
      <c r="Y50" s="401">
        <v>0</v>
      </c>
      <c r="Z50" s="402">
        <v>0.058931780837660701</v>
      </c>
      <c r="AA50" s="402">
        <v>-0.0093646886616372393</v>
      </c>
      <c r="AB50" s="402">
        <v>0.217861347089576</v>
      </c>
      <c r="AC50" s="402">
        <v>1.2816952828184001</v>
      </c>
      <c r="AD50" s="402">
        <v>0.40561464113346501</v>
      </c>
      <c r="AE50" s="401">
        <v>0</v>
      </c>
      <c r="AF50" s="401">
        <v>0</v>
      </c>
      <c r="AG50" s="401">
        <v>0</v>
      </c>
      <c r="AH50" s="401">
        <v>0</v>
      </c>
      <c r="AI50" s="402">
        <v>0.036555911611020502</v>
      </c>
      <c r="AJ50" s="402">
        <v>-0.0097938508993622893</v>
      </c>
      <c r="AK50" s="402">
        <v>0.15475372940658599</v>
      </c>
      <c r="AL50" s="406">
        <v>1.6200000000000001</v>
      </c>
      <c r="AM50" s="402">
        <v>0.419556851676883</v>
      </c>
    </row>
    <row r="51">
      <c r="C51" s="407"/>
      <c r="D51" s="407"/>
      <c r="E51" s="407"/>
      <c r="F51" s="407"/>
      <c r="G51" s="407"/>
      <c r="H51" s="407"/>
      <c r="I51" s="407"/>
      <c r="J51" s="407"/>
      <c r="K51" s="407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E51" s="81"/>
      <c r="AF51" s="81"/>
      <c r="AG51" s="81"/>
      <c r="AH51" s="81"/>
      <c r="AI51" s="81"/>
      <c r="AJ51" s="81"/>
      <c r="AK51" s="81"/>
      <c r="AL51" s="81"/>
    </row>
    <row r="52">
      <c r="B52" s="405" t="s">
        <v>49</v>
      </c>
      <c r="C52" s="408" t="s">
        <v>723</v>
      </c>
      <c r="D52" s="99">
        <f t="shared" ref="D52:BE52" si="208">SUM(D39+D37+D33+D26+D22+D17+D14+D12+D6)</f>
        <v>12.452717393481137</v>
      </c>
      <c r="E52" s="99">
        <f t="shared" si="208"/>
        <v>1.3666520990067765</v>
      </c>
      <c r="F52" s="99">
        <f t="shared" si="208"/>
        <v>4.9308939854919993</v>
      </c>
      <c r="G52" s="99">
        <f t="shared" si="208"/>
        <v>13.307546795161608</v>
      </c>
      <c r="H52" s="99">
        <f t="shared" si="208"/>
        <v>2.1547622741316497</v>
      </c>
      <c r="I52" s="99">
        <f t="shared" si="208"/>
        <v>1.1275837860370581</v>
      </c>
      <c r="J52" s="99">
        <f t="shared" si="208"/>
        <v>3.2018183148017663</v>
      </c>
      <c r="K52" s="99">
        <f t="shared" si="208"/>
        <v>8.3467850000000006</v>
      </c>
      <c r="L52" s="99">
        <f t="shared" si="208"/>
        <v>3.7597692307692299</v>
      </c>
      <c r="M52" s="99">
        <f t="shared" si="208"/>
        <v>12.240883970856911</v>
      </c>
      <c r="N52" s="99">
        <f t="shared" si="208"/>
        <v>1.4419885947101787</v>
      </c>
      <c r="O52" s="99">
        <f t="shared" si="208"/>
        <v>4.8770763930889203</v>
      </c>
      <c r="P52" s="99">
        <f t="shared" si="208"/>
        <v>12.378305742126296</v>
      </c>
      <c r="Q52" s="99">
        <f t="shared" si="208"/>
        <v>2.0974804950457488</v>
      </c>
      <c r="R52" s="99">
        <f t="shared" si="208"/>
        <v>1.1070517570887719</v>
      </c>
      <c r="S52" s="99">
        <f t="shared" si="208"/>
        <v>3.1799100639802989</v>
      </c>
      <c r="T52" s="99">
        <f t="shared" si="208"/>
        <v>8.7020144402068702</v>
      </c>
      <c r="U52" s="99">
        <f t="shared" si="208"/>
        <v>3.7715222059604399</v>
      </c>
      <c r="V52" s="99">
        <f t="shared" si="208"/>
        <v>12.204449141087089</v>
      </c>
      <c r="W52" s="99">
        <f t="shared" si="208"/>
        <v>1.6668344856094777</v>
      </c>
      <c r="X52" s="99">
        <f t="shared" si="208"/>
        <v>4.8450818794527741</v>
      </c>
      <c r="Y52" s="99">
        <f t="shared" si="208"/>
        <v>11.53616800720232</v>
      </c>
      <c r="Z52" s="99">
        <f t="shared" si="208"/>
        <v>2.1042674838599709</v>
      </c>
      <c r="AA52" s="99">
        <f t="shared" si="208"/>
        <v>1.0960159107965133</v>
      </c>
      <c r="AB52" s="99">
        <f t="shared" si="208"/>
        <v>2.6591448303066203</v>
      </c>
      <c r="AC52" s="99">
        <f t="shared" si="208"/>
        <v>9.6905754800433392</v>
      </c>
      <c r="AD52" s="99">
        <f t="shared" si="208"/>
        <v>3.8820563514016797</v>
      </c>
      <c r="AE52" s="99">
        <f t="shared" si="208"/>
        <v>12.873651146325845</v>
      </c>
      <c r="AF52" s="99">
        <f t="shared" si="208"/>
        <v>2.198292099190196</v>
      </c>
      <c r="AG52" s="99">
        <f t="shared" si="208"/>
        <v>4.1710733988994573</v>
      </c>
      <c r="AH52" s="99">
        <f t="shared" si="208"/>
        <v>8.904537613324278</v>
      </c>
      <c r="AI52" s="99">
        <f t="shared" si="208"/>
        <v>1.9945286337845252</v>
      </c>
      <c r="AJ52" s="99">
        <f t="shared" si="208"/>
        <v>1.0372340341935802</v>
      </c>
      <c r="AK52" s="99">
        <f t="shared" si="208"/>
        <v>1.7835214737204257</v>
      </c>
      <c r="AL52" s="99">
        <f t="shared" si="208"/>
        <v>11.973947361010859</v>
      </c>
      <c r="AM52" s="99">
        <f t="shared" si="208"/>
        <v>4.0154944512725601</v>
      </c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</row>
    <row r="54">
      <c r="D54">
        <v>2014</v>
      </c>
      <c r="E54">
        <v>2019</v>
      </c>
      <c r="F54">
        <v>2030</v>
      </c>
      <c r="G54">
        <v>2049</v>
      </c>
      <c r="H54">
        <v>2050</v>
      </c>
      <c r="AE54" s="81"/>
      <c r="AF54" s="81"/>
      <c r="AG54" s="81"/>
      <c r="AH54" s="81"/>
      <c r="AI54" s="81"/>
      <c r="AJ54" s="81"/>
      <c r="AK54" s="81"/>
      <c r="AL54" s="81"/>
      <c r="AM54" s="81"/>
    </row>
    <row r="55">
      <c r="D55">
        <v>2014</v>
      </c>
      <c r="E55">
        <v>2019</v>
      </c>
      <c r="F55">
        <v>2030</v>
      </c>
      <c r="G55">
        <v>2050</v>
      </c>
    </row>
  </sheetData>
  <mergeCells count="5">
    <mergeCell ref="B4:C5"/>
    <mergeCell ref="D4:L4"/>
    <mergeCell ref="M4:U4"/>
    <mergeCell ref="V4:AD4"/>
    <mergeCell ref="AE4:AM4"/>
  </mergeCell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DC3E6"/>
    <outlinePr applyStyles="0" summaryBelow="1" summaryRight="1" showOutlineSymbols="1"/>
    <pageSetUpPr autoPageBreaks="1" fitToPage="0"/>
  </sheetPr>
  <sheetViews>
    <sheetView topLeftCell="A16" zoomScale="81" workbookViewId="0">
      <selection activeCell="D31" activeCellId="0" sqref="D31"/>
    </sheetView>
  </sheetViews>
  <sheetFormatPr baseColWidth="10" defaultColWidth="8.88671875" defaultRowHeight="14.4"/>
  <cols>
    <col customWidth="1" min="1" max="1" width="10.44140625"/>
    <col customWidth="1" min="2" max="2" width="27.109375"/>
    <col customWidth="1" min="3" max="1025" width="10.44140625"/>
  </cols>
  <sheetData>
    <row r="2" ht="23.399999999999999">
      <c r="B2" s="46" t="s">
        <v>32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4">
      <c r="B4" s="3" t="s">
        <v>33</v>
      </c>
      <c r="C4" s="3"/>
      <c r="D4" s="3"/>
      <c r="E4" s="3"/>
    </row>
    <row r="5" ht="14.550000000000001" hidden="1" customHeight="1">
      <c r="B5" s="3"/>
      <c r="C5">
        <f t="shared" ref="C5:H5" si="2">(C11+0.16*C10)/C9</f>
        <v>0.44389662027832999</v>
      </c>
      <c r="D5">
        <f t="shared" si="2"/>
        <v>0.44251903114186852</v>
      </c>
      <c r="E5">
        <f t="shared" si="2"/>
        <v>0.42223076923076924</v>
      </c>
      <c r="F5">
        <f t="shared" si="2"/>
        <v>0.4236893203883495</v>
      </c>
      <c r="G5">
        <f t="shared" si="2"/>
        <v>0.41677861549006168</v>
      </c>
      <c r="H5">
        <f t="shared" si="2"/>
        <v>0.429611734253667</v>
      </c>
    </row>
    <row r="7">
      <c r="B7" s="1"/>
      <c r="C7" s="47" t="s">
        <v>2</v>
      </c>
      <c r="D7" s="47"/>
      <c r="E7" s="47"/>
      <c r="F7" s="47"/>
      <c r="G7" s="47"/>
      <c r="H7" s="47"/>
      <c r="I7" s="1"/>
    </row>
    <row r="8">
      <c r="B8" s="1" t="s">
        <v>4</v>
      </c>
      <c r="C8" s="7">
        <v>2015</v>
      </c>
      <c r="D8" s="7">
        <v>2016</v>
      </c>
      <c r="E8" s="7">
        <v>2017</v>
      </c>
      <c r="F8" s="7">
        <v>2018</v>
      </c>
      <c r="G8" s="7">
        <v>2019</v>
      </c>
      <c r="H8" s="7">
        <v>2020</v>
      </c>
      <c r="I8" s="1" t="s">
        <v>34</v>
      </c>
    </row>
    <row r="9">
      <c r="B9" s="48" t="s">
        <v>5</v>
      </c>
      <c r="C9" s="7">
        <v>15.09</v>
      </c>
      <c r="D9" s="49">
        <v>14.449999999999999</v>
      </c>
      <c r="E9" s="7">
        <v>15.6</v>
      </c>
      <c r="F9" s="7">
        <v>15.449999999999999</v>
      </c>
      <c r="G9" s="7">
        <v>14.59</v>
      </c>
      <c r="H9" s="7">
        <v>11.59</v>
      </c>
      <c r="I9" s="1" t="s">
        <v>35</v>
      </c>
    </row>
    <row r="10">
      <c r="B10" s="48" t="s">
        <v>6</v>
      </c>
      <c r="C10" s="7">
        <f t="shared" ref="C10:H10" si="3">C9-C11</f>
        <v>9.9900000000000002</v>
      </c>
      <c r="D10" s="7">
        <f t="shared" si="3"/>
        <v>9.5899999999999999</v>
      </c>
      <c r="E10" s="7">
        <f t="shared" si="3"/>
        <v>10.73</v>
      </c>
      <c r="F10" s="7">
        <f t="shared" si="3"/>
        <v>10.6</v>
      </c>
      <c r="G10" s="7">
        <f t="shared" si="3"/>
        <v>10.129999999999999</v>
      </c>
      <c r="H10" s="7">
        <f t="shared" si="3"/>
        <v>7.8699999999999992</v>
      </c>
      <c r="I10" s="1" t="s">
        <v>35</v>
      </c>
    </row>
    <row r="11">
      <c r="B11" s="48" t="s">
        <v>7</v>
      </c>
      <c r="C11" s="7">
        <v>5.0999999999999996</v>
      </c>
      <c r="D11" s="7">
        <v>4.8600000000000003</v>
      </c>
      <c r="E11" s="7">
        <v>4.8700000000000001</v>
      </c>
      <c r="F11" s="7">
        <v>4.8499999999999996</v>
      </c>
      <c r="G11" s="7">
        <v>4.46</v>
      </c>
      <c r="H11" s="7">
        <v>3.7200000000000002</v>
      </c>
      <c r="I11" s="1" t="s">
        <v>35</v>
      </c>
    </row>
    <row r="12">
      <c r="B12" s="48" t="s">
        <v>36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</row>
    <row r="13">
      <c r="B13" s="48" t="s">
        <v>9</v>
      </c>
      <c r="C13" s="7">
        <v>0.89300000000000002</v>
      </c>
      <c r="D13" s="7">
        <v>0.91800000000000004</v>
      </c>
      <c r="E13" s="7">
        <v>0.94199999999999995</v>
      </c>
      <c r="F13" s="7">
        <v>0.878</v>
      </c>
      <c r="G13" s="7">
        <v>0.89400000000000002</v>
      </c>
      <c r="H13" s="51">
        <f>G13*0.897402216594645</f>
        <v>0.80227758163561269</v>
      </c>
      <c r="I13" s="52" t="s">
        <v>37</v>
      </c>
    </row>
    <row r="14">
      <c r="B14" s="53" t="s">
        <v>38</v>
      </c>
      <c r="C14" s="16">
        <v>0.47199999999999998</v>
      </c>
      <c r="D14" s="16">
        <v>0.48799999999999999</v>
      </c>
      <c r="E14" s="16">
        <v>0.50800000000000001</v>
      </c>
      <c r="F14" s="16">
        <v>0.496</v>
      </c>
      <c r="G14" s="16">
        <v>0.47599999999999998</v>
      </c>
      <c r="H14" s="16">
        <v>0.40100000000000002</v>
      </c>
      <c r="I14" s="52" t="s">
        <v>37</v>
      </c>
    </row>
    <row r="15">
      <c r="B15" s="54" t="s">
        <v>9</v>
      </c>
      <c r="C15" s="55">
        <v>0.59606630876712297</v>
      </c>
      <c r="D15" s="55">
        <v>0.62261217300000005</v>
      </c>
      <c r="E15" s="55">
        <v>0.63699879999999998</v>
      </c>
      <c r="F15" s="55">
        <v>0.58305099999999999</v>
      </c>
      <c r="G15" s="55">
        <v>0.60604567600000003</v>
      </c>
      <c r="H15" s="55">
        <v>0.54386673299999999</v>
      </c>
      <c r="I15" s="56" t="s">
        <v>35</v>
      </c>
    </row>
    <row r="16">
      <c r="B16" s="54" t="s">
        <v>39</v>
      </c>
      <c r="C16" s="57">
        <v>0.17699999999999999</v>
      </c>
      <c r="D16" s="57">
        <v>0.19400000000000001</v>
      </c>
      <c r="E16" s="57">
        <v>0.20499999999999999</v>
      </c>
      <c r="F16" s="57">
        <v>0.20000000000000001</v>
      </c>
      <c r="G16" s="57">
        <v>0.184</v>
      </c>
      <c r="H16" s="57">
        <v>0.125</v>
      </c>
      <c r="I16" s="56" t="s">
        <v>35</v>
      </c>
    </row>
    <row r="17">
      <c r="B17" s="48" t="s">
        <v>11</v>
      </c>
      <c r="C17" s="7">
        <v>2.5099999999999998</v>
      </c>
      <c r="D17" s="7">
        <v>2.2400000000000002</v>
      </c>
      <c r="E17" s="7">
        <v>2.5899999999999999</v>
      </c>
      <c r="F17" s="7">
        <v>2.1600000000000001</v>
      </c>
      <c r="G17" s="7">
        <v>2.3399999999999999</v>
      </c>
      <c r="H17" s="7">
        <v>2.27</v>
      </c>
      <c r="I17" s="1" t="s">
        <v>35</v>
      </c>
    </row>
    <row r="18">
      <c r="B18" s="48" t="s">
        <v>12</v>
      </c>
      <c r="C18" s="7">
        <v>0.92000000000000004</v>
      </c>
      <c r="D18" s="7">
        <v>0.92000000000000004</v>
      </c>
      <c r="E18" s="7">
        <v>0.96999999999999997</v>
      </c>
      <c r="F18" s="7">
        <v>0.89000000000000001</v>
      </c>
      <c r="G18" s="7">
        <v>0.95999999999999996</v>
      </c>
      <c r="H18" s="7">
        <v>0.89000000000000001</v>
      </c>
      <c r="I18" s="1" t="s">
        <v>35</v>
      </c>
    </row>
    <row r="19">
      <c r="B19" s="48" t="s">
        <v>13</v>
      </c>
      <c r="C19" s="7">
        <v>1.0700000000000001</v>
      </c>
      <c r="D19" s="7">
        <v>1.1000000000000001</v>
      </c>
      <c r="E19" s="7">
        <v>0.91000000000000003</v>
      </c>
      <c r="F19" s="7">
        <v>1.1100000000000001</v>
      </c>
      <c r="G19" s="7">
        <v>1.0700000000000001</v>
      </c>
      <c r="H19" s="7">
        <v>1</v>
      </c>
      <c r="I19" s="1" t="s">
        <v>35</v>
      </c>
    </row>
    <row r="20">
      <c r="B20" s="48" t="s">
        <v>14</v>
      </c>
      <c r="C20" s="7">
        <v>12.539999999999999</v>
      </c>
      <c r="D20" s="7">
        <v>12.67</v>
      </c>
      <c r="E20" s="7">
        <v>12.359999999999999</v>
      </c>
      <c r="F20" s="7">
        <v>12.84</v>
      </c>
      <c r="G20" s="7">
        <v>12.94</v>
      </c>
      <c r="H20" s="7">
        <v>11.77</v>
      </c>
      <c r="I20" s="1" t="s">
        <v>35</v>
      </c>
    </row>
    <row r="21">
      <c r="B21" s="48" t="s">
        <v>15</v>
      </c>
      <c r="C21" s="20">
        <v>5.4624895107140601</v>
      </c>
      <c r="D21" s="20">
        <v>5.1683689900000003</v>
      </c>
      <c r="E21" s="20">
        <v>5.5996366200000001</v>
      </c>
      <c r="F21" s="20">
        <v>5.66565545</v>
      </c>
      <c r="G21" s="20">
        <v>5.6971323500000004</v>
      </c>
      <c r="H21" s="20">
        <v>5.0235558500000002</v>
      </c>
      <c r="I21" s="58" t="s">
        <v>35</v>
      </c>
    </row>
    <row r="22">
      <c r="B22" s="48" t="s">
        <v>16</v>
      </c>
      <c r="C22" s="7">
        <v>7.9900000000000002</v>
      </c>
      <c r="D22" s="7">
        <v>7.9800000000000004</v>
      </c>
      <c r="E22" s="7">
        <v>8.0199999999999996</v>
      </c>
      <c r="F22" s="7">
        <v>7.8700000000000001</v>
      </c>
      <c r="G22" s="7">
        <v>7.3200000000000003</v>
      </c>
      <c r="H22" s="20">
        <f>G22*0.930316272251903</f>
        <v>6.8099151128839308</v>
      </c>
      <c r="I22" s="52" t="s">
        <v>37</v>
      </c>
    </row>
    <row r="23">
      <c r="B23" s="59" t="s">
        <v>16</v>
      </c>
      <c r="C23" s="60">
        <v>1.4770000000000001</v>
      </c>
      <c r="D23" s="60">
        <v>1.423</v>
      </c>
      <c r="E23" s="60">
        <v>1.4059999999999999</v>
      </c>
      <c r="F23" s="60">
        <v>1.3029999999999999</v>
      </c>
      <c r="G23" s="60">
        <v>1.351</v>
      </c>
      <c r="H23" s="60">
        <v>1.385</v>
      </c>
      <c r="I23" s="56" t="s">
        <v>40</v>
      </c>
    </row>
    <row r="24">
      <c r="B24" s="48" t="s">
        <v>17</v>
      </c>
      <c r="C24" s="7">
        <v>4.5199999999999996</v>
      </c>
      <c r="D24" s="7">
        <v>4.6799999999999997</v>
      </c>
      <c r="E24" s="7">
        <v>6.2400000000000002</v>
      </c>
      <c r="F24" s="7">
        <v>5.0899999999999999</v>
      </c>
      <c r="G24" s="7">
        <v>4.96</v>
      </c>
      <c r="H24" s="7">
        <v>3.3799999999999999</v>
      </c>
      <c r="I24" s="1" t="s">
        <v>35</v>
      </c>
    </row>
    <row r="27">
      <c r="B27" s="3" t="s">
        <v>41</v>
      </c>
      <c r="C27" s="3"/>
      <c r="D27" s="3"/>
      <c r="E27" s="3"/>
      <c r="G27" s="61"/>
    </row>
    <row r="28">
      <c r="B28" s="62"/>
      <c r="C28" s="62"/>
      <c r="D28" s="62"/>
      <c r="E28" s="62"/>
      <c r="F28" s="63"/>
      <c r="G28" s="61"/>
      <c r="M28" s="64"/>
    </row>
    <row r="29">
      <c r="B29" t="s">
        <v>3</v>
      </c>
      <c r="D29" s="65" t="s">
        <v>42</v>
      </c>
      <c r="E29" s="65"/>
      <c r="F29" s="65"/>
      <c r="G29" s="65"/>
      <c r="H29" s="65"/>
      <c r="I29" s="65"/>
      <c r="J29" s="65"/>
      <c r="K29" s="65"/>
      <c r="L29" s="65"/>
      <c r="M29" s="65" t="s">
        <v>43</v>
      </c>
      <c r="N29" s="65"/>
      <c r="O29" s="65"/>
      <c r="P29" s="65"/>
      <c r="Q29" s="65"/>
      <c r="R29" s="65"/>
      <c r="S29" s="65"/>
      <c r="T29" s="65"/>
      <c r="U29" s="65"/>
    </row>
    <row r="30">
      <c r="B30" s="66" t="s">
        <v>44</v>
      </c>
      <c r="C30" s="67"/>
      <c r="D30" s="68">
        <v>2015</v>
      </c>
      <c r="E30" s="68">
        <v>2019</v>
      </c>
      <c r="F30" s="69">
        <v>2020</v>
      </c>
      <c r="G30" s="69">
        <v>2025</v>
      </c>
      <c r="H30" s="69">
        <v>2030</v>
      </c>
      <c r="I30" s="69">
        <v>2035</v>
      </c>
      <c r="J30" s="69">
        <v>2040</v>
      </c>
      <c r="K30" s="69">
        <v>2045</v>
      </c>
      <c r="L30" s="70">
        <v>2050</v>
      </c>
      <c r="M30" s="68">
        <v>2015</v>
      </c>
      <c r="N30" s="71">
        <v>2019</v>
      </c>
      <c r="O30" s="69">
        <v>2020</v>
      </c>
      <c r="P30" s="69">
        <v>2025</v>
      </c>
      <c r="Q30" s="69">
        <v>2030</v>
      </c>
      <c r="R30" s="69">
        <v>2035</v>
      </c>
      <c r="S30" s="69">
        <v>2040</v>
      </c>
      <c r="T30" s="69">
        <v>2045</v>
      </c>
      <c r="U30" s="70">
        <v>2050</v>
      </c>
    </row>
    <row r="31">
      <c r="B31" s="72" t="s">
        <v>5</v>
      </c>
      <c r="C31" s="73"/>
      <c r="D31" s="74">
        <f>'Pepit0 AME'!D52</f>
        <v>12.452717393481137</v>
      </c>
      <c r="E31" s="74">
        <f>'Pepit0 AME'!M52</f>
        <v>12.240883970856911</v>
      </c>
      <c r="F31" s="75">
        <f t="shared" ref="F31:F39" si="4">$E31+($H31-$E31)*1/11</f>
        <v>12.23757171360511</v>
      </c>
      <c r="G31" s="75">
        <f t="shared" ref="G31:G39" si="5">$E31+($H31-$E31)*6/11</f>
        <v>12.2210104273461</v>
      </c>
      <c r="H31" s="75">
        <f>'Pepit0 AME'!V52</f>
        <v>12.204449141087089</v>
      </c>
      <c r="I31" s="75">
        <f t="shared" ref="I31:I39" si="6">$H31+($L31-$H31)*5/20</f>
        <v>12.371749642396779</v>
      </c>
      <c r="J31" s="75">
        <f t="shared" ref="J31:J39" si="7">$H31+($L31-$H31)*10/20</f>
        <v>12.539050143706467</v>
      </c>
      <c r="K31" s="75">
        <f t="shared" ref="K31:K39" si="8">$H31+($L31-$H31)*15/20</f>
        <v>12.706350645016155</v>
      </c>
      <c r="L31" s="76">
        <f>'Pepit0 AME'!AE52</f>
        <v>12.873651146325845</v>
      </c>
      <c r="M31" s="74">
        <f t="shared" ref="M31:M40" si="9">D31/$D31</f>
        <v>1</v>
      </c>
      <c r="N31" s="74">
        <f t="shared" ref="N31:N40" si="10">E31/$D31</f>
        <v>0.98298898016146108</v>
      </c>
      <c r="O31" s="74">
        <f t="shared" ref="O31:O40" si="11">F31/$D31</f>
        <v>0.98272299345774494</v>
      </c>
      <c r="P31" s="74">
        <f t="shared" ref="P31:P40" si="12">G31/$D31</f>
        <v>0.9813930599391637</v>
      </c>
      <c r="Q31" s="74">
        <f t="shared" ref="Q31:Q40" si="13">H31/$D31</f>
        <v>0.98006312642058235</v>
      </c>
      <c r="R31" s="74">
        <f t="shared" ref="R31:R40" si="14">I31/$D31</f>
        <v>0.99349798533718081</v>
      </c>
      <c r="S31" s="74">
        <f t="shared" ref="S31:S40" si="15">J31/$D31</f>
        <v>1.006932844253779</v>
      </c>
      <c r="T31" s="74">
        <f t="shared" ref="T31:T40" si="16">K31/$D31</f>
        <v>1.0203677031703773</v>
      </c>
      <c r="U31" s="74">
        <f t="shared" ref="U31:U40" si="17">L31/$D31</f>
        <v>1.0338025620869755</v>
      </c>
    </row>
    <row r="32">
      <c r="B32" s="72" t="s">
        <v>45</v>
      </c>
      <c r="C32" s="73"/>
      <c r="D32" s="74">
        <f>'Pepit0 AME'!E52</f>
        <v>1.3666520990067765</v>
      </c>
      <c r="E32" s="74">
        <f>'Pepit0 AME'!N52</f>
        <v>1.4419885947101787</v>
      </c>
      <c r="F32" s="75">
        <f t="shared" si="4"/>
        <v>1.4624291302464787</v>
      </c>
      <c r="G32" s="75">
        <f t="shared" si="5"/>
        <v>1.5646318079279782</v>
      </c>
      <c r="H32" s="75">
        <f>'Pepit0 AME'!W52</f>
        <v>1.6668344856094777</v>
      </c>
      <c r="I32" s="75">
        <f t="shared" si="6"/>
        <v>1.7996988890046572</v>
      </c>
      <c r="J32" s="75">
        <f t="shared" si="7"/>
        <v>1.9325632923998368</v>
      </c>
      <c r="K32" s="75">
        <f t="shared" si="8"/>
        <v>2.0654276957950164</v>
      </c>
      <c r="L32" s="76">
        <f>'Pepit0 AME'!AF52</f>
        <v>2.198292099190196</v>
      </c>
      <c r="M32" s="74">
        <f t="shared" si="9"/>
        <v>1</v>
      </c>
      <c r="N32" s="74">
        <f t="shared" si="10"/>
        <v>1.0551248527391526</v>
      </c>
      <c r="O32" s="74">
        <f t="shared" si="11"/>
        <v>1.070081501582816</v>
      </c>
      <c r="P32" s="74">
        <f t="shared" si="12"/>
        <v>1.1448647458011332</v>
      </c>
      <c r="Q32" s="74">
        <f t="shared" si="13"/>
        <v>1.2196479900194501</v>
      </c>
      <c r="R32" s="74">
        <f t="shared" si="14"/>
        <v>1.3168668824440399</v>
      </c>
      <c r="S32" s="74">
        <f t="shared" si="15"/>
        <v>1.4140857748686297</v>
      </c>
      <c r="T32" s="74">
        <f t="shared" si="16"/>
        <v>1.5113046672932193</v>
      </c>
      <c r="U32" s="74">
        <f t="shared" si="17"/>
        <v>1.6085235597178091</v>
      </c>
    </row>
    <row r="33">
      <c r="B33" s="72" t="s">
        <v>15</v>
      </c>
      <c r="C33" s="73"/>
      <c r="D33" s="74">
        <f>'Pepit0 AME'!F52</f>
        <v>4.9308939854919993</v>
      </c>
      <c r="E33" s="74">
        <f>'Pepit0 AME'!O52</f>
        <v>4.8770763930889203</v>
      </c>
      <c r="F33" s="75">
        <f t="shared" si="4"/>
        <v>4.8741678009401799</v>
      </c>
      <c r="G33" s="75">
        <f t="shared" si="5"/>
        <v>4.859624840196477</v>
      </c>
      <c r="H33" s="75">
        <f>'Pepit0 AME'!X52</f>
        <v>4.8450818794527741</v>
      </c>
      <c r="I33" s="75">
        <f t="shared" si="6"/>
        <v>4.6765797593144445</v>
      </c>
      <c r="J33" s="75">
        <f t="shared" si="7"/>
        <v>4.5080776391761157</v>
      </c>
      <c r="K33" s="75">
        <f t="shared" si="8"/>
        <v>4.3395755190377869</v>
      </c>
      <c r="L33" s="76">
        <f>'Pepit0 AME'!AG52</f>
        <v>4.1710733988994573</v>
      </c>
      <c r="M33" s="74">
        <f t="shared" si="9"/>
        <v>1</v>
      </c>
      <c r="N33" s="74">
        <f t="shared" si="10"/>
        <v>0.98908563182225684</v>
      </c>
      <c r="O33" s="74">
        <f t="shared" si="11"/>
        <v>0.98849576066353828</v>
      </c>
      <c r="P33" s="74">
        <f t="shared" si="12"/>
        <v>0.98554640486994549</v>
      </c>
      <c r="Q33" s="74">
        <f t="shared" si="13"/>
        <v>0.98259704907635259</v>
      </c>
      <c r="R33" s="74">
        <f t="shared" si="14"/>
        <v>0.94842431678194361</v>
      </c>
      <c r="S33" s="74">
        <f t="shared" si="15"/>
        <v>0.91425158448753474</v>
      </c>
      <c r="T33" s="74">
        <f t="shared" si="16"/>
        <v>0.88007885219312598</v>
      </c>
      <c r="U33" s="74">
        <f t="shared" si="17"/>
        <v>0.84590611989871689</v>
      </c>
    </row>
    <row r="34">
      <c r="B34" s="72" t="s">
        <v>14</v>
      </c>
      <c r="C34" s="73"/>
      <c r="D34" s="74">
        <f>'Pepit0 AME'!G52</f>
        <v>13.307546795161608</v>
      </c>
      <c r="E34" s="74">
        <f>'Pepit0 AME'!P52</f>
        <v>12.378305742126296</v>
      </c>
      <c r="F34" s="75">
        <f t="shared" si="4"/>
        <v>12.301747766224116</v>
      </c>
      <c r="G34" s="75">
        <f t="shared" si="5"/>
        <v>11.918957886713219</v>
      </c>
      <c r="H34" s="75">
        <f>'Pepit0 AME'!Y52</f>
        <v>11.53616800720232</v>
      </c>
      <c r="I34" s="75">
        <f t="shared" si="6"/>
        <v>10.87826040873281</v>
      </c>
      <c r="J34" s="75">
        <f t="shared" si="7"/>
        <v>10.2203528102633</v>
      </c>
      <c r="K34" s="75">
        <f t="shared" si="8"/>
        <v>9.5624452117937881</v>
      </c>
      <c r="L34" s="76">
        <f>'Pepit0 AME'!AH52</f>
        <v>8.904537613324278</v>
      </c>
      <c r="M34" s="74">
        <f t="shared" si="9"/>
        <v>1</v>
      </c>
      <c r="N34" s="74">
        <f t="shared" si="10"/>
        <v>0.93017187409980262</v>
      </c>
      <c r="O34" s="74">
        <f t="shared" si="11"/>
        <v>0.9244188997101116</v>
      </c>
      <c r="P34" s="74">
        <f t="shared" si="12"/>
        <v>0.89565402776165659</v>
      </c>
      <c r="Q34" s="74">
        <f t="shared" si="13"/>
        <v>0.86688915581320147</v>
      </c>
      <c r="R34" s="74">
        <f t="shared" si="14"/>
        <v>0.81745047198992049</v>
      </c>
      <c r="S34" s="74">
        <f t="shared" si="15"/>
        <v>0.76801178816663962</v>
      </c>
      <c r="T34" s="74">
        <f t="shared" si="16"/>
        <v>0.71857310434335853</v>
      </c>
      <c r="U34" s="74">
        <f t="shared" si="17"/>
        <v>0.66913442052007754</v>
      </c>
    </row>
    <row r="35">
      <c r="B35" s="72" t="s">
        <v>46</v>
      </c>
      <c r="C35" s="73"/>
      <c r="D35" s="74">
        <f>'Pepit0 AME'!H52</f>
        <v>2.1547622741316497</v>
      </c>
      <c r="E35" s="74">
        <f>'Pepit0 AME'!Q52</f>
        <v>2.0974804950457488</v>
      </c>
      <c r="F35" s="75">
        <f t="shared" si="4"/>
        <v>2.0980974940288601</v>
      </c>
      <c r="G35" s="75">
        <f t="shared" si="5"/>
        <v>2.1011824889444153</v>
      </c>
      <c r="H35" s="75">
        <f>'Pepit0 AME'!Z52</f>
        <v>2.1042674838599709</v>
      </c>
      <c r="I35" s="75">
        <f t="shared" si="6"/>
        <v>2.0768327713411097</v>
      </c>
      <c r="J35" s="75">
        <f t="shared" si="7"/>
        <v>2.049398058822248</v>
      </c>
      <c r="K35" s="75">
        <f t="shared" si="8"/>
        <v>2.0219633463033864</v>
      </c>
      <c r="L35" s="76">
        <f>'Pepit0 AME'!AI52</f>
        <v>1.9945286337845252</v>
      </c>
      <c r="M35" s="74">
        <f t="shared" si="9"/>
        <v>1</v>
      </c>
      <c r="N35" s="74">
        <f t="shared" si="10"/>
        <v>0.97341619547846181</v>
      </c>
      <c r="O35" s="74">
        <f t="shared" si="11"/>
        <v>0.97370253749888724</v>
      </c>
      <c r="P35" s="74">
        <f t="shared" si="12"/>
        <v>0.97513424760101364</v>
      </c>
      <c r="Q35" s="74">
        <f t="shared" si="13"/>
        <v>0.97656595770314025</v>
      </c>
      <c r="R35" s="74">
        <f t="shared" si="14"/>
        <v>0.96383382810897555</v>
      </c>
      <c r="S35" s="74">
        <f t="shared" si="15"/>
        <v>0.95110169851481063</v>
      </c>
      <c r="T35" s="74">
        <f t="shared" si="16"/>
        <v>0.93836956892064571</v>
      </c>
      <c r="U35" s="74">
        <f t="shared" si="17"/>
        <v>0.92563743932648102</v>
      </c>
    </row>
    <row r="36">
      <c r="B36" s="72" t="s">
        <v>47</v>
      </c>
      <c r="C36" s="73"/>
      <c r="D36" s="74">
        <f>'Pepit0 AME'!I52</f>
        <v>1.1275837860370581</v>
      </c>
      <c r="E36" s="74">
        <f>'Pepit0 AME'!R52</f>
        <v>1.1070517570887719</v>
      </c>
      <c r="F36" s="75">
        <f t="shared" si="4"/>
        <v>1.1060484983349301</v>
      </c>
      <c r="G36" s="75">
        <f t="shared" si="5"/>
        <v>1.1010322045657217</v>
      </c>
      <c r="H36" s="75">
        <f>'Pepit0 AME'!AA52</f>
        <v>1.0960159107965133</v>
      </c>
      <c r="I36" s="75">
        <f t="shared" si="6"/>
        <v>1.08132044164578</v>
      </c>
      <c r="J36" s="75">
        <f t="shared" si="7"/>
        <v>1.0666249724950467</v>
      </c>
      <c r="K36" s="75">
        <f t="shared" si="8"/>
        <v>1.0519295033443135</v>
      </c>
      <c r="L36" s="76">
        <f>'Pepit0 AME'!AJ52</f>
        <v>1.0372340341935802</v>
      </c>
      <c r="M36" s="74">
        <f t="shared" si="9"/>
        <v>1</v>
      </c>
      <c r="N36" s="74">
        <f t="shared" si="10"/>
        <v>0.98179112789440959</v>
      </c>
      <c r="O36" s="74">
        <f t="shared" si="11"/>
        <v>0.98090138580493902</v>
      </c>
      <c r="P36" s="74">
        <f t="shared" si="12"/>
        <v>0.9764526753575864</v>
      </c>
      <c r="Q36" s="74">
        <f t="shared" si="13"/>
        <v>0.97200396491023389</v>
      </c>
      <c r="R36" s="74">
        <f t="shared" si="14"/>
        <v>0.95897125786645743</v>
      </c>
      <c r="S36" s="74">
        <f t="shared" si="15"/>
        <v>0.94593855082268097</v>
      </c>
      <c r="T36" s="74">
        <f t="shared" si="16"/>
        <v>0.93290584377890451</v>
      </c>
      <c r="U36" s="74">
        <f t="shared" si="17"/>
        <v>0.91987313673512805</v>
      </c>
    </row>
    <row r="37">
      <c r="B37" s="72" t="s">
        <v>11</v>
      </c>
      <c r="C37" s="73"/>
      <c r="D37" s="74">
        <f>'Pepit0 AME'!J52</f>
        <v>3.2018183148017663</v>
      </c>
      <c r="E37" s="74">
        <f>'Pepit0 AME'!S52</f>
        <v>3.1799100639802989</v>
      </c>
      <c r="F37" s="75">
        <f t="shared" si="4"/>
        <v>3.1325677700099646</v>
      </c>
      <c r="G37" s="75">
        <f t="shared" si="5"/>
        <v>2.8958563001582922</v>
      </c>
      <c r="H37" s="75">
        <f>'Pepit0 AME'!AB52</f>
        <v>2.6591448303066203</v>
      </c>
      <c r="I37" s="75">
        <f t="shared" si="6"/>
        <v>2.4402389911600717</v>
      </c>
      <c r="J37" s="75">
        <f t="shared" si="7"/>
        <v>2.2213331520135231</v>
      </c>
      <c r="K37" s="75">
        <f t="shared" si="8"/>
        <v>2.0024273128669741</v>
      </c>
      <c r="L37" s="76">
        <f>'Pepit0 AME'!AK52</f>
        <v>1.7835214737204257</v>
      </c>
      <c r="M37" s="74">
        <f t="shared" si="9"/>
        <v>1</v>
      </c>
      <c r="N37" s="74">
        <f t="shared" si="10"/>
        <v>0.99315755965284247</v>
      </c>
      <c r="O37" s="74">
        <f t="shared" si="11"/>
        <v>0.97837149457492278</v>
      </c>
      <c r="P37" s="74">
        <f t="shared" si="12"/>
        <v>0.90444116918532369</v>
      </c>
      <c r="Q37" s="74">
        <f t="shared" si="13"/>
        <v>0.83051084379572471</v>
      </c>
      <c r="R37" s="74">
        <f t="shared" si="14"/>
        <v>0.76214161805466274</v>
      </c>
      <c r="S37" s="74">
        <f t="shared" si="15"/>
        <v>0.69377239231360077</v>
      </c>
      <c r="T37" s="74">
        <f t="shared" si="16"/>
        <v>0.62540316657253869</v>
      </c>
      <c r="U37" s="74">
        <f t="shared" si="17"/>
        <v>0.55703394083147673</v>
      </c>
    </row>
    <row r="38">
      <c r="B38" s="72" t="s">
        <v>48</v>
      </c>
      <c r="C38" s="73"/>
      <c r="D38" s="74">
        <f>'Pepit0 AME'!K52</f>
        <v>8.3467850000000006</v>
      </c>
      <c r="E38" s="74">
        <f>'Pepit0 AME'!T52</f>
        <v>8.7020144402068702</v>
      </c>
      <c r="F38" s="75">
        <f t="shared" si="4"/>
        <v>8.79188362564655</v>
      </c>
      <c r="G38" s="75">
        <f t="shared" si="5"/>
        <v>9.2412295528449437</v>
      </c>
      <c r="H38" s="75">
        <f>'Pepit0 AME'!AC52</f>
        <v>9.6905754800433392</v>
      </c>
      <c r="I38" s="75">
        <f t="shared" si="6"/>
        <v>10.26141845028522</v>
      </c>
      <c r="J38" s="75">
        <f t="shared" si="7"/>
        <v>10.8322614205271</v>
      </c>
      <c r="K38" s="75">
        <f t="shared" si="8"/>
        <v>11.403104390768979</v>
      </c>
      <c r="L38" s="76">
        <f>'Pepit0 AME'!AL52</f>
        <v>11.973947361010859</v>
      </c>
      <c r="M38" s="74">
        <f t="shared" si="9"/>
        <v>1</v>
      </c>
      <c r="N38" s="74">
        <f t="shared" si="10"/>
        <v>1.0425588343544094</v>
      </c>
      <c r="O38" s="74">
        <f t="shared" si="11"/>
        <v>1.0533257566412157</v>
      </c>
      <c r="P38" s="74">
        <f t="shared" si="12"/>
        <v>1.1071603680752462</v>
      </c>
      <c r="Q38" s="74">
        <f t="shared" si="13"/>
        <v>1.1609949795092767</v>
      </c>
      <c r="R38" s="74">
        <f t="shared" si="14"/>
        <v>1.2293857395734069</v>
      </c>
      <c r="S38" s="74">
        <f t="shared" si="15"/>
        <v>1.2977764996375369</v>
      </c>
      <c r="T38" s="74">
        <f t="shared" si="16"/>
        <v>1.366167259701667</v>
      </c>
      <c r="U38" s="74">
        <f t="shared" si="17"/>
        <v>1.434558019765797</v>
      </c>
    </row>
    <row r="39">
      <c r="B39" s="72" t="s">
        <v>17</v>
      </c>
      <c r="C39" s="73"/>
      <c r="D39" s="74">
        <f>'Pepit0 AME'!L52</f>
        <v>3.7597692307692299</v>
      </c>
      <c r="E39" s="74">
        <f>'Pepit0 AME'!U52</f>
        <v>3.7715222059604399</v>
      </c>
      <c r="F39" s="75">
        <f t="shared" si="4"/>
        <v>3.7815707646369163</v>
      </c>
      <c r="G39" s="75">
        <f t="shared" si="5"/>
        <v>3.8318135580192978</v>
      </c>
      <c r="H39" s="75">
        <f>'Pepit0 AME'!AD52</f>
        <v>3.8820563514016797</v>
      </c>
      <c r="I39" s="75">
        <f t="shared" si="6"/>
        <v>3.9154158763693996</v>
      </c>
      <c r="J39" s="75">
        <f t="shared" si="7"/>
        <v>3.9487754013371199</v>
      </c>
      <c r="K39" s="75">
        <f t="shared" si="8"/>
        <v>3.9821349263048402</v>
      </c>
      <c r="L39" s="76">
        <f>'Pepit0 AME'!AM52</f>
        <v>4.0154944512725601</v>
      </c>
      <c r="M39" s="74">
        <f t="shared" si="9"/>
        <v>1</v>
      </c>
      <c r="N39" s="74">
        <f t="shared" si="10"/>
        <v>1.003125983130833</v>
      </c>
      <c r="O39" s="74">
        <f t="shared" si="11"/>
        <v>1.0057986361740681</v>
      </c>
      <c r="P39" s="74">
        <f t="shared" si="12"/>
        <v>1.0191619013902424</v>
      </c>
      <c r="Q39" s="74">
        <f t="shared" si="13"/>
        <v>1.032525166606417</v>
      </c>
      <c r="R39" s="74">
        <f t="shared" si="14"/>
        <v>1.0413979252573236</v>
      </c>
      <c r="S39" s="74">
        <f t="shared" si="15"/>
        <v>1.0502706839082303</v>
      </c>
      <c r="T39" s="74">
        <f t="shared" si="16"/>
        <v>1.0591434425591368</v>
      </c>
      <c r="U39" s="74">
        <f t="shared" si="17"/>
        <v>1.0680162012100434</v>
      </c>
    </row>
    <row r="40">
      <c r="B40" s="77" t="s">
        <v>49</v>
      </c>
      <c r="C40" s="78"/>
      <c r="D40" s="79">
        <f t="shared" ref="D40:L40" si="18">SUM(D31:D39)</f>
        <v>50.648528878881216</v>
      </c>
      <c r="E40" s="79">
        <f t="shared" si="18"/>
        <v>49.796233663064427</v>
      </c>
      <c r="F40" s="79">
        <f t="shared" si="18"/>
        <v>49.786084563673107</v>
      </c>
      <c r="G40" s="79">
        <f t="shared" si="18"/>
        <v>49.735339066716442</v>
      </c>
      <c r="H40" s="79">
        <f t="shared" si="18"/>
        <v>49.684593569759791</v>
      </c>
      <c r="I40" s="79">
        <f t="shared" si="18"/>
        <v>49.501515230250277</v>
      </c>
      <c r="J40" s="79">
        <f t="shared" si="18"/>
        <v>49.318436890740763</v>
      </c>
      <c r="K40" s="79">
        <f t="shared" si="18"/>
        <v>49.135358551231242</v>
      </c>
      <c r="L40" s="79">
        <f t="shared" si="18"/>
        <v>48.952280211721728</v>
      </c>
      <c r="M40" s="79">
        <f t="shared" si="9"/>
        <v>1</v>
      </c>
      <c r="N40" s="79">
        <f t="shared" si="10"/>
        <v>0.98317235989509322</v>
      </c>
      <c r="O40" s="79">
        <f t="shared" si="11"/>
        <v>0.98297197698929184</v>
      </c>
      <c r="P40" s="79">
        <f t="shared" si="12"/>
        <v>0.98197006246028318</v>
      </c>
      <c r="Q40" s="79">
        <f t="shared" si="13"/>
        <v>0.98096814793127474</v>
      </c>
      <c r="R40" s="79">
        <f t="shared" si="14"/>
        <v>0.97735346565792935</v>
      </c>
      <c r="S40" s="79">
        <f t="shared" si="15"/>
        <v>0.97373878338458397</v>
      </c>
      <c r="T40" s="79">
        <f t="shared" si="16"/>
        <v>0.97012410111123848</v>
      </c>
      <c r="U40" s="79">
        <f t="shared" si="17"/>
        <v>0.9665094188378931</v>
      </c>
    </row>
    <row r="41">
      <c r="B41" s="80" t="s">
        <v>50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>
      <c r="F42" s="81"/>
      <c r="G42" s="81"/>
    </row>
    <row r="43">
      <c r="F43" s="81"/>
    </row>
    <row r="44">
      <c r="B44" s="3" t="s">
        <v>51</v>
      </c>
      <c r="C44" s="3"/>
      <c r="D44" s="3"/>
      <c r="E44" s="3"/>
      <c r="G44" s="82"/>
    </row>
    <row r="45">
      <c r="Y45" s="83"/>
      <c r="Z45" s="84"/>
      <c r="AA45" s="84"/>
      <c r="AB45" s="84"/>
      <c r="AC45" s="84"/>
      <c r="AD45" s="84"/>
      <c r="AE45" s="84"/>
      <c r="AF45" s="84"/>
      <c r="AG45" s="85"/>
    </row>
    <row r="46">
      <c r="Y46" s="86"/>
      <c r="Z46" s="87" t="s">
        <v>52</v>
      </c>
      <c r="AA46" s="87"/>
      <c r="AB46" s="87"/>
      <c r="AC46" s="87"/>
      <c r="AD46" s="87"/>
      <c r="AE46" s="87"/>
      <c r="AF46" s="87"/>
      <c r="AG46" s="88"/>
    </row>
    <row r="47">
      <c r="C47" s="89" t="s">
        <v>53</v>
      </c>
      <c r="D47" s="89"/>
      <c r="E47" s="89"/>
      <c r="F47" s="89"/>
      <c r="G47" s="89"/>
      <c r="Y47" s="86"/>
      <c r="Z47" s="87"/>
      <c r="AA47" s="87"/>
      <c r="AB47" s="87"/>
      <c r="AC47" s="87"/>
      <c r="AD47" s="87"/>
      <c r="AE47" s="87"/>
      <c r="AF47" s="87"/>
      <c r="AG47" s="88"/>
    </row>
    <row r="48">
      <c r="C48" s="90" t="s">
        <v>54</v>
      </c>
      <c r="D48" s="90"/>
      <c r="E48" s="91" t="s">
        <v>55</v>
      </c>
      <c r="F48" s="91"/>
      <c r="G48" s="91"/>
      <c r="Y48" s="86"/>
      <c r="Z48" s="92" t="s">
        <v>5</v>
      </c>
      <c r="AA48" s="92"/>
      <c r="AB48" s="92">
        <v>2015</v>
      </c>
      <c r="AC48" s="92">
        <v>2016</v>
      </c>
      <c r="AD48" s="92">
        <v>2017</v>
      </c>
      <c r="AE48" s="92">
        <v>2018</v>
      </c>
      <c r="AF48" s="92">
        <v>2019</v>
      </c>
      <c r="AG48" s="88"/>
    </row>
    <row r="49">
      <c r="B49" s="93" t="s">
        <v>56</v>
      </c>
      <c r="C49" s="94">
        <v>2014</v>
      </c>
      <c r="D49" s="95">
        <v>2019</v>
      </c>
      <c r="E49" s="96">
        <v>2015</v>
      </c>
      <c r="F49" s="65">
        <v>2019</v>
      </c>
      <c r="G49" s="97">
        <v>2020</v>
      </c>
      <c r="Y49" s="86"/>
      <c r="Z49" s="92" t="s">
        <v>57</v>
      </c>
      <c r="AA49" s="92" t="s">
        <v>58</v>
      </c>
      <c r="AB49" s="92">
        <v>16327.6561146285</v>
      </c>
      <c r="AC49" s="92">
        <v>15675.6610228298</v>
      </c>
      <c r="AD49" s="92">
        <v>16835.687822497399</v>
      </c>
      <c r="AE49" s="92">
        <v>15387.355</v>
      </c>
      <c r="AF49" s="92">
        <v>14449.651</v>
      </c>
      <c r="AG49" s="88"/>
    </row>
    <row r="50" ht="14.550000000000001" customHeight="1">
      <c r="B50" s="93" t="s">
        <v>5</v>
      </c>
      <c r="C50" s="94">
        <v>1.21</v>
      </c>
      <c r="D50" s="95">
        <v>1.1799999999999999</v>
      </c>
      <c r="E50" s="98">
        <f>C9/D31</f>
        <v>1.2117837033625649</v>
      </c>
      <c r="F50" s="99">
        <f>G9/E31</f>
        <v>1.1919073846901793</v>
      </c>
      <c r="G50" s="100">
        <f>H9/F31</f>
        <v>0.94708331613818675</v>
      </c>
      <c r="W50" s="101"/>
      <c r="Y50" s="86"/>
      <c r="Z50" s="92" t="s">
        <v>57</v>
      </c>
      <c r="AA50" s="92" t="s">
        <v>59</v>
      </c>
      <c r="AB50" s="92">
        <v>12130</v>
      </c>
      <c r="AC50" s="92">
        <v>12656</v>
      </c>
      <c r="AD50" s="92">
        <v>12818</v>
      </c>
      <c r="AE50" s="92">
        <v>12656</v>
      </c>
      <c r="AF50" s="92">
        <v>12222</v>
      </c>
      <c r="AG50" s="88"/>
    </row>
    <row r="51">
      <c r="B51" s="93" t="s">
        <v>60</v>
      </c>
      <c r="C51" s="94">
        <v>0.72999999999999998</v>
      </c>
      <c r="D51" s="95">
        <v>0.67000000000000004</v>
      </c>
      <c r="E51" s="98">
        <f>C13/D32</f>
        <v>0.65342159913923503</v>
      </c>
      <c r="F51" s="99">
        <f>G13/E32</f>
        <v>0.61997716436840655</v>
      </c>
      <c r="G51" s="100">
        <f>H13/F32</f>
        <v>0.5485924514512347</v>
      </c>
      <c r="W51" s="101"/>
      <c r="Y51" s="86"/>
      <c r="Z51" s="92" t="s">
        <v>57</v>
      </c>
      <c r="AA51" s="92" t="s">
        <v>61</v>
      </c>
      <c r="AB51" s="92">
        <v>12816</v>
      </c>
      <c r="AC51" s="92">
        <v>12671</v>
      </c>
      <c r="AD51" s="92">
        <v>13758</v>
      </c>
      <c r="AE51" s="92">
        <v>13328</v>
      </c>
      <c r="AF51" s="92">
        <v>12543</v>
      </c>
      <c r="AG51" s="88"/>
    </row>
    <row r="52">
      <c r="B52" s="93" t="s">
        <v>62</v>
      </c>
      <c r="C52" s="94">
        <v>0.98999999999999999</v>
      </c>
      <c r="D52" s="95">
        <v>0.98999999999999999</v>
      </c>
      <c r="E52" s="98">
        <f>C20/D34</f>
        <v>0.94232244252256359</v>
      </c>
      <c r="F52" s="99">
        <f>G20/E34</f>
        <v>1.0453773133072748</v>
      </c>
      <c r="G52" s="100">
        <f>H20/F34</f>
        <v>0.95677461639360772</v>
      </c>
      <c r="W52" s="101"/>
      <c r="Y52" s="86"/>
      <c r="Z52" s="92" t="s">
        <v>57</v>
      </c>
      <c r="AA52" s="92" t="s">
        <v>63</v>
      </c>
      <c r="AB52" s="92">
        <v>686</v>
      </c>
      <c r="AC52" s="92">
        <v>15</v>
      </c>
      <c r="AD52" s="92">
        <v>940</v>
      </c>
      <c r="AE52" s="92">
        <v>672</v>
      </c>
      <c r="AF52" s="92">
        <v>321</v>
      </c>
      <c r="AG52" s="88"/>
    </row>
    <row r="53">
      <c r="B53" s="93" t="s">
        <v>64</v>
      </c>
      <c r="C53" s="94">
        <v>0.92000000000000004</v>
      </c>
      <c r="D53" s="95">
        <v>0.93000000000000005</v>
      </c>
      <c r="E53" s="98">
        <f>C21/D33</f>
        <v>1.1078091572818551</v>
      </c>
      <c r="F53" s="99">
        <f>G21/E33</f>
        <v>1.1681449890908298</v>
      </c>
      <c r="G53" s="100">
        <f>H21/F33</f>
        <v>1.0306489343741929</v>
      </c>
      <c r="W53" s="101"/>
      <c r="Y53" s="86"/>
      <c r="Z53" s="92" t="s">
        <v>57</v>
      </c>
      <c r="AA53" s="92" t="s">
        <v>65</v>
      </c>
      <c r="AB53" s="102">
        <f>AB52/AB49</f>
        <v>0.042014603638386855</v>
      </c>
      <c r="AC53" s="102">
        <f>AC52/AC49</f>
        <v>0.00095689744618451648</v>
      </c>
      <c r="AD53" s="102">
        <f>AD52/AD49</f>
        <v>0.055833774652431209</v>
      </c>
      <c r="AE53" s="102">
        <f>AE52/AE49</f>
        <v>0.043672223068877011</v>
      </c>
      <c r="AF53" s="102">
        <f>AF52/AF49</f>
        <v>0.0222150694158634</v>
      </c>
      <c r="AG53" s="88"/>
    </row>
    <row r="54">
      <c r="B54" s="93" t="s">
        <v>66</v>
      </c>
      <c r="C54" s="94">
        <v>0.56999999999999995</v>
      </c>
      <c r="D54" s="95">
        <v>0.62</v>
      </c>
      <c r="E54" s="98">
        <f>C19/D35</f>
        <v>0.49657450051245244</v>
      </c>
      <c r="F54" s="99">
        <f>G19/E35</f>
        <v>0.51013585228913505</v>
      </c>
      <c r="G54" s="100">
        <f>H19/F35</f>
        <v>0.47662227463022011</v>
      </c>
      <c r="W54" s="101"/>
      <c r="Y54" s="86"/>
      <c r="Z54" s="92" t="s">
        <v>54</v>
      </c>
      <c r="AA54" s="92" t="s">
        <v>67</v>
      </c>
      <c r="AB54" s="103">
        <f>K9-D31</f>
        <v>-12.452717393481137</v>
      </c>
      <c r="AC54" s="92"/>
      <c r="AD54" s="92"/>
      <c r="AE54" s="92"/>
      <c r="AF54" s="103">
        <f>L9-E31</f>
        <v>-12.240883970856911</v>
      </c>
      <c r="AG54" s="88"/>
    </row>
    <row r="55">
      <c r="B55" s="93" t="s">
        <v>12</v>
      </c>
      <c r="C55" s="94">
        <v>1.0600000000000001</v>
      </c>
      <c r="D55" s="95">
        <v>1.0600000000000001</v>
      </c>
      <c r="E55" s="98">
        <f>C18/D36</f>
        <v>0.81590389236916905</v>
      </c>
      <c r="F55" s="99">
        <f>G18/E36</f>
        <v>0.86716812818627753</v>
      </c>
      <c r="G55" s="100">
        <f>H18/F36</f>
        <v>0.80466634269638782</v>
      </c>
      <c r="W55" s="101"/>
      <c r="Y55" s="86"/>
      <c r="Z55" s="92" t="s">
        <v>54</v>
      </c>
      <c r="AA55" s="92" t="s">
        <v>65</v>
      </c>
      <c r="AB55" s="104" t="e">
        <f>AB54/K9</f>
        <v>#DIV/0!</v>
      </c>
      <c r="AC55" s="104"/>
      <c r="AD55" s="104"/>
      <c r="AE55" s="104"/>
      <c r="AF55" s="104" t="e">
        <f>AF54/L9</f>
        <v>#DIV/0!</v>
      </c>
      <c r="AG55" s="88"/>
    </row>
    <row r="56">
      <c r="B56" s="93" t="s">
        <v>11</v>
      </c>
      <c r="C56" s="94">
        <v>1.05</v>
      </c>
      <c r="D56" s="95">
        <v>1.04</v>
      </c>
      <c r="E56" s="98">
        <f>C17/D37</f>
        <v>0.78392955290325428</v>
      </c>
      <c r="F56" s="99">
        <f>G17/E37</f>
        <v>0.73586986830407963</v>
      </c>
      <c r="G56" s="100">
        <f>H17/F37</f>
        <v>0.72464513672525566</v>
      </c>
      <c r="W56" s="101"/>
      <c r="Y56" s="86"/>
      <c r="Z56" s="87"/>
      <c r="AA56" s="87"/>
      <c r="AB56" s="87"/>
      <c r="AC56" s="87"/>
      <c r="AD56" s="87"/>
      <c r="AE56" s="87"/>
      <c r="AF56" s="87"/>
      <c r="AG56" s="88"/>
    </row>
    <row r="57">
      <c r="B57" s="93" t="s">
        <v>68</v>
      </c>
      <c r="C57" s="94">
        <v>1.52</v>
      </c>
      <c r="D57" s="95">
        <v>1.52</v>
      </c>
      <c r="E57" s="98">
        <f>C24/D39</f>
        <v>1.2022014444421714</v>
      </c>
      <c r="F57" s="99">
        <f>G24/E39</f>
        <v>1.3151188642509681</v>
      </c>
      <c r="G57" s="100">
        <f>H24/F39</f>
        <v>0.89380847546417053</v>
      </c>
      <c r="W57" s="101"/>
      <c r="Y57" s="86"/>
      <c r="Z57" s="92" t="s">
        <v>9</v>
      </c>
      <c r="AA57" s="92"/>
      <c r="AB57" s="92">
        <v>2015</v>
      </c>
      <c r="AC57" s="92">
        <v>2016</v>
      </c>
      <c r="AD57" s="92">
        <v>2017</v>
      </c>
      <c r="AE57" s="92">
        <v>2018</v>
      </c>
      <c r="AF57" s="92">
        <v>2019</v>
      </c>
      <c r="AG57" s="88"/>
    </row>
    <row r="58">
      <c r="B58" s="93" t="s">
        <v>69</v>
      </c>
      <c r="C58" s="105">
        <v>0.56000000000000005</v>
      </c>
      <c r="D58" s="106">
        <v>0.58999999999999997</v>
      </c>
      <c r="E58" s="107">
        <f>C22/D38</f>
        <v>0.95725479930296509</v>
      </c>
      <c r="F58" s="108">
        <f>G22/E38</f>
        <v>0.84118453839591467</v>
      </c>
      <c r="G58" s="109">
        <f>H22/F38</f>
        <v>0.77456838634885061</v>
      </c>
      <c r="W58" s="101"/>
      <c r="Y58" s="86"/>
      <c r="Z58" s="92" t="s">
        <v>57</v>
      </c>
      <c r="AA58" s="92" t="s">
        <v>58</v>
      </c>
      <c r="AB58" s="92">
        <v>892.63400000000001</v>
      </c>
      <c r="AC58" s="92">
        <v>917.87199999999996</v>
      </c>
      <c r="AD58" s="92">
        <v>941.53700000000003</v>
      </c>
      <c r="AE58" s="92">
        <v>878</v>
      </c>
      <c r="AF58" s="92">
        <v>894</v>
      </c>
      <c r="AG58" s="88"/>
    </row>
    <row r="59">
      <c r="Y59" s="86"/>
      <c r="Z59" s="92" t="s">
        <v>57</v>
      </c>
      <c r="AA59" s="92" t="s">
        <v>59</v>
      </c>
      <c r="AB59" s="92">
        <v>539.45899999999995</v>
      </c>
      <c r="AC59" s="92">
        <v>587.94200000000001</v>
      </c>
      <c r="AD59" s="92">
        <v>558.46299999999997</v>
      </c>
      <c r="AE59" s="92">
        <v>558</v>
      </c>
      <c r="AF59" s="92">
        <v>544</v>
      </c>
      <c r="AG59" s="88"/>
    </row>
    <row r="60">
      <c r="B60" t="s">
        <v>3</v>
      </c>
      <c r="C60" t="s">
        <v>53</v>
      </c>
      <c r="D60" s="110" t="s">
        <v>70</v>
      </c>
      <c r="E60" s="111" t="s">
        <v>71</v>
      </c>
      <c r="F60" s="111" t="s">
        <v>71</v>
      </c>
      <c r="G60" s="111" t="s">
        <v>71</v>
      </c>
      <c r="H60" s="111" t="s">
        <v>71</v>
      </c>
      <c r="I60" s="111" t="s">
        <v>71</v>
      </c>
      <c r="J60" s="112" t="s">
        <v>71</v>
      </c>
      <c r="Y60" s="86"/>
      <c r="Z60" s="92" t="s">
        <v>57</v>
      </c>
      <c r="AA60" s="92" t="s">
        <v>61</v>
      </c>
      <c r="AB60" s="92">
        <v>254.227</v>
      </c>
      <c r="AC60" s="92">
        <v>262.31799999999998</v>
      </c>
      <c r="AD60" s="92">
        <v>299.58600000000001</v>
      </c>
      <c r="AE60" s="92">
        <v>250</v>
      </c>
      <c r="AF60" s="92">
        <v>262</v>
      </c>
      <c r="AG60" s="88"/>
    </row>
    <row r="61">
      <c r="B61" s="93" t="s">
        <v>56</v>
      </c>
      <c r="C61" s="65">
        <f t="shared" ref="C61:C70" si="19">F49</f>
        <v>2019</v>
      </c>
      <c r="D61" s="96">
        <f t="shared" ref="D61:D70" si="20">G49</f>
        <v>2020</v>
      </c>
      <c r="E61" s="65">
        <v>2025</v>
      </c>
      <c r="F61" s="65">
        <v>2030</v>
      </c>
      <c r="G61" s="65">
        <v>2035</v>
      </c>
      <c r="H61" s="65">
        <v>2040</v>
      </c>
      <c r="I61" s="65">
        <v>2045</v>
      </c>
      <c r="J61" s="97">
        <v>2050</v>
      </c>
      <c r="Y61" s="86"/>
      <c r="Z61" s="92" t="s">
        <v>57</v>
      </c>
      <c r="AA61" s="92" t="s">
        <v>63</v>
      </c>
      <c r="AB61" s="92">
        <f>AB60-AB59</f>
        <v>-285.23199999999997</v>
      </c>
      <c r="AC61" s="92">
        <f>AC60-AC59</f>
        <v>-325.62400000000002</v>
      </c>
      <c r="AD61" s="92">
        <f>AD60-AD59</f>
        <v>-258.87699999999995</v>
      </c>
      <c r="AE61" s="92">
        <f>AE60-AE59</f>
        <v>-308</v>
      </c>
      <c r="AF61" s="92">
        <f>AF60-AF59</f>
        <v>-282</v>
      </c>
      <c r="AG61" s="88"/>
    </row>
    <row r="62">
      <c r="B62" s="93" t="s">
        <v>5</v>
      </c>
      <c r="C62" s="99">
        <f t="shared" si="19"/>
        <v>1.1919073846901793</v>
      </c>
      <c r="D62" s="98">
        <f t="shared" si="20"/>
        <v>0.94708331613818675</v>
      </c>
      <c r="E62" s="99">
        <f t="shared" ref="E62:J70" si="21">$C62</f>
        <v>1.1919073846901793</v>
      </c>
      <c r="F62" s="99">
        <f t="shared" si="21"/>
        <v>1.1919073846901793</v>
      </c>
      <c r="G62" s="99">
        <f t="shared" si="21"/>
        <v>1.1919073846901793</v>
      </c>
      <c r="H62" s="99">
        <f t="shared" si="21"/>
        <v>1.1919073846901793</v>
      </c>
      <c r="I62" s="99">
        <f t="shared" si="21"/>
        <v>1.1919073846901793</v>
      </c>
      <c r="J62" s="100">
        <f t="shared" si="21"/>
        <v>1.1919073846901793</v>
      </c>
      <c r="Y62" s="86"/>
      <c r="Z62" s="92" t="s">
        <v>57</v>
      </c>
      <c r="AA62" s="92" t="s">
        <v>65</v>
      </c>
      <c r="AB62" s="102">
        <f>AB61/AB58</f>
        <v>-0.31953969936166443</v>
      </c>
      <c r="AC62" s="102">
        <f>AC61/AC58</f>
        <v>-0.35475970505691429</v>
      </c>
      <c r="AD62" s="102">
        <f>AD61/AD58</f>
        <v>-0.27495148889528498</v>
      </c>
      <c r="AE62" s="102">
        <f>AE61/AE58</f>
        <v>-0.35079726651480636</v>
      </c>
      <c r="AF62" s="102">
        <f>AF61/AF58</f>
        <v>-0.31543624161073824</v>
      </c>
      <c r="AG62" s="88"/>
    </row>
    <row r="63">
      <c r="B63" s="93" t="s">
        <v>60</v>
      </c>
      <c r="C63" s="99">
        <f t="shared" si="19"/>
        <v>0.61997716436840655</v>
      </c>
      <c r="D63" s="98">
        <f t="shared" si="20"/>
        <v>0.5485924514512347</v>
      </c>
      <c r="E63" s="99">
        <f t="shared" si="21"/>
        <v>0.61997716436840655</v>
      </c>
      <c r="F63" s="99">
        <f t="shared" si="21"/>
        <v>0.61997716436840655</v>
      </c>
      <c r="G63" s="99">
        <f t="shared" si="21"/>
        <v>0.61997716436840655</v>
      </c>
      <c r="H63" s="99">
        <f t="shared" si="21"/>
        <v>0.61997716436840655</v>
      </c>
      <c r="I63" s="99">
        <f t="shared" si="21"/>
        <v>0.61997716436840655</v>
      </c>
      <c r="J63" s="100">
        <f t="shared" si="21"/>
        <v>0.61997716436840655</v>
      </c>
      <c r="Y63" s="86"/>
      <c r="Z63" s="92" t="s">
        <v>54</v>
      </c>
      <c r="AA63" s="92" t="s">
        <v>67</v>
      </c>
      <c r="AB63" s="103">
        <f>K13-D32</f>
        <v>-1.3666520990067765</v>
      </c>
      <c r="AC63" s="92"/>
      <c r="AD63" s="92"/>
      <c r="AE63" s="92"/>
      <c r="AF63" s="103">
        <f>L13-E32</f>
        <v>-1.4419885947101787</v>
      </c>
      <c r="AG63" s="88"/>
    </row>
    <row r="64">
      <c r="B64" s="93" t="s">
        <v>62</v>
      </c>
      <c r="C64" s="99">
        <f t="shared" si="19"/>
        <v>1.0453773133072748</v>
      </c>
      <c r="D64" s="98">
        <f t="shared" si="20"/>
        <v>0.95677461639360772</v>
      </c>
      <c r="E64" s="99">
        <f t="shared" si="21"/>
        <v>1.0453773133072748</v>
      </c>
      <c r="F64" s="99">
        <f t="shared" si="21"/>
        <v>1.0453773133072748</v>
      </c>
      <c r="G64" s="99">
        <f t="shared" si="21"/>
        <v>1.0453773133072748</v>
      </c>
      <c r="H64" s="99">
        <f t="shared" si="21"/>
        <v>1.0453773133072748</v>
      </c>
      <c r="I64" s="99">
        <f t="shared" si="21"/>
        <v>1.0453773133072748</v>
      </c>
      <c r="J64" s="100">
        <f t="shared" si="21"/>
        <v>1.0453773133072748</v>
      </c>
      <c r="Y64" s="86"/>
      <c r="Z64" s="92" t="s">
        <v>54</v>
      </c>
      <c r="AA64" s="92" t="s">
        <v>65</v>
      </c>
      <c r="AB64" s="104" t="e">
        <f>AB63/K13</f>
        <v>#DIV/0!</v>
      </c>
      <c r="AC64" s="104"/>
      <c r="AD64" s="104"/>
      <c r="AE64" s="104"/>
      <c r="AF64" s="104" t="e">
        <f>AF63/L13</f>
        <v>#DIV/0!</v>
      </c>
      <c r="AG64" s="88"/>
    </row>
    <row r="65">
      <c r="B65" s="93" t="s">
        <v>64</v>
      </c>
      <c r="C65" s="99">
        <f t="shared" si="19"/>
        <v>1.1681449890908298</v>
      </c>
      <c r="D65" s="98">
        <f t="shared" si="20"/>
        <v>1.0306489343741929</v>
      </c>
      <c r="E65" s="99">
        <f t="shared" si="21"/>
        <v>1.1681449890908298</v>
      </c>
      <c r="F65" s="99">
        <f t="shared" si="21"/>
        <v>1.1681449890908298</v>
      </c>
      <c r="G65" s="99">
        <f t="shared" si="21"/>
        <v>1.1681449890908298</v>
      </c>
      <c r="H65" s="99">
        <f t="shared" si="21"/>
        <v>1.1681449890908298</v>
      </c>
      <c r="I65" s="99">
        <f t="shared" si="21"/>
        <v>1.1681449890908298</v>
      </c>
      <c r="J65" s="100">
        <f t="shared" si="21"/>
        <v>1.1681449890908298</v>
      </c>
      <c r="Y65" s="86"/>
      <c r="Z65" s="87"/>
      <c r="AA65" s="87"/>
      <c r="AB65" s="87"/>
      <c r="AC65" s="87"/>
      <c r="AD65" s="87"/>
      <c r="AE65" s="87"/>
      <c r="AF65" s="87"/>
      <c r="AG65" s="88"/>
    </row>
    <row r="66">
      <c r="B66" s="93" t="s">
        <v>66</v>
      </c>
      <c r="C66" s="99">
        <f t="shared" si="19"/>
        <v>0.51013585228913505</v>
      </c>
      <c r="D66" s="98">
        <f t="shared" si="20"/>
        <v>0.47662227463022011</v>
      </c>
      <c r="E66" s="99">
        <f t="shared" si="21"/>
        <v>0.51013585228913505</v>
      </c>
      <c r="F66" s="99">
        <f t="shared" si="21"/>
        <v>0.51013585228913505</v>
      </c>
      <c r="G66" s="99">
        <f t="shared" si="21"/>
        <v>0.51013585228913505</v>
      </c>
      <c r="H66" s="99">
        <f t="shared" si="21"/>
        <v>0.51013585228913505</v>
      </c>
      <c r="I66" s="99">
        <f t="shared" si="21"/>
        <v>0.51013585228913505</v>
      </c>
      <c r="J66" s="100">
        <f t="shared" si="21"/>
        <v>0.51013585228913505</v>
      </c>
      <c r="Y66" s="86"/>
      <c r="Z66" s="92" t="s">
        <v>15</v>
      </c>
      <c r="AA66" s="92"/>
      <c r="AB66" s="92">
        <v>2015</v>
      </c>
      <c r="AC66" s="92">
        <v>2016</v>
      </c>
      <c r="AD66" s="92">
        <v>2017</v>
      </c>
      <c r="AE66" s="92">
        <v>2018</v>
      </c>
      <c r="AF66" s="92">
        <v>2019</v>
      </c>
      <c r="AG66" s="88"/>
    </row>
    <row r="67">
      <c r="B67" s="93" t="s">
        <v>12</v>
      </c>
      <c r="C67" s="99">
        <f t="shared" si="19"/>
        <v>0.86716812818627753</v>
      </c>
      <c r="D67" s="98">
        <f t="shared" si="20"/>
        <v>0.80466634269638782</v>
      </c>
      <c r="E67" s="99">
        <f t="shared" si="21"/>
        <v>0.86716812818627753</v>
      </c>
      <c r="F67" s="99">
        <f t="shared" si="21"/>
        <v>0.86716812818627753</v>
      </c>
      <c r="G67" s="99">
        <f t="shared" si="21"/>
        <v>0.86716812818627753</v>
      </c>
      <c r="H67" s="99">
        <f t="shared" si="21"/>
        <v>0.86716812818627753</v>
      </c>
      <c r="I67" s="99">
        <f t="shared" si="21"/>
        <v>0.86716812818627753</v>
      </c>
      <c r="J67" s="100">
        <f t="shared" si="21"/>
        <v>0.86716812818627753</v>
      </c>
      <c r="Y67" s="86"/>
      <c r="Z67" s="92" t="s">
        <v>57</v>
      </c>
      <c r="AA67" s="92" t="s">
        <v>58</v>
      </c>
      <c r="AB67" s="92">
        <v>3825</v>
      </c>
      <c r="AC67" s="92">
        <v>3712</v>
      </c>
      <c r="AD67" s="92">
        <v>4064</v>
      </c>
      <c r="AE67" s="92">
        <v>4175</v>
      </c>
      <c r="AF67" s="92">
        <v>4185</v>
      </c>
      <c r="AG67" s="88"/>
    </row>
    <row r="68">
      <c r="B68" s="93" t="s">
        <v>11</v>
      </c>
      <c r="C68" s="99">
        <f t="shared" si="19"/>
        <v>0.73586986830407963</v>
      </c>
      <c r="D68" s="98">
        <f t="shared" si="20"/>
        <v>0.72464513672525566</v>
      </c>
      <c r="E68" s="99">
        <f t="shared" si="21"/>
        <v>0.73586986830407963</v>
      </c>
      <c r="F68" s="99">
        <f t="shared" si="21"/>
        <v>0.73586986830407963</v>
      </c>
      <c r="G68" s="99">
        <f t="shared" si="21"/>
        <v>0.73586986830407963</v>
      </c>
      <c r="H68" s="99">
        <f t="shared" si="21"/>
        <v>0.73586986830407963</v>
      </c>
      <c r="I68" s="99">
        <f t="shared" si="21"/>
        <v>0.73586986830407963</v>
      </c>
      <c r="J68" s="100">
        <f t="shared" si="21"/>
        <v>0.73586986830407963</v>
      </c>
      <c r="Y68" s="86"/>
      <c r="Z68" s="92" t="s">
        <v>57</v>
      </c>
      <c r="AA68" s="92" t="s">
        <v>59</v>
      </c>
      <c r="AB68" s="92">
        <v>135.441</v>
      </c>
      <c r="AC68" s="92">
        <v>169.04300000000001</v>
      </c>
      <c r="AD68" s="92">
        <v>171.09399999999999</v>
      </c>
      <c r="AE68" s="92">
        <v>164.52096900000001</v>
      </c>
      <c r="AF68" s="92">
        <v>165.29198199999999</v>
      </c>
      <c r="AG68" s="88"/>
    </row>
    <row r="69">
      <c r="B69" s="93" t="s">
        <v>68</v>
      </c>
      <c r="C69" s="99">
        <f t="shared" si="19"/>
        <v>1.3151188642509681</v>
      </c>
      <c r="D69" s="98">
        <f t="shared" si="20"/>
        <v>0.89380847546417053</v>
      </c>
      <c r="E69" s="99">
        <f t="shared" si="21"/>
        <v>1.3151188642509681</v>
      </c>
      <c r="F69" s="99">
        <f t="shared" si="21"/>
        <v>1.3151188642509681</v>
      </c>
      <c r="G69" s="99">
        <f t="shared" si="21"/>
        <v>1.3151188642509681</v>
      </c>
      <c r="H69" s="99">
        <f t="shared" si="21"/>
        <v>1.3151188642509681</v>
      </c>
      <c r="I69" s="99">
        <f t="shared" si="21"/>
        <v>1.3151188642509681</v>
      </c>
      <c r="J69" s="100">
        <f t="shared" si="21"/>
        <v>1.3151188642509681</v>
      </c>
      <c r="Y69" s="86"/>
      <c r="Z69" s="92" t="s">
        <v>57</v>
      </c>
      <c r="AA69" s="92" t="s">
        <v>61</v>
      </c>
      <c r="AB69" s="92">
        <v>171.441</v>
      </c>
      <c r="AC69" s="92">
        <v>171.34</v>
      </c>
      <c r="AD69" s="92">
        <v>172.67500000000001</v>
      </c>
      <c r="AE69" s="92">
        <v>179.332775</v>
      </c>
      <c r="AF69" s="92">
        <v>162.901858</v>
      </c>
      <c r="AG69" s="88"/>
    </row>
    <row r="70">
      <c r="B70" s="113" t="s">
        <v>69</v>
      </c>
      <c r="C70" s="114">
        <f t="shared" si="19"/>
        <v>0.84118453839591467</v>
      </c>
      <c r="D70" s="115">
        <f t="shared" si="20"/>
        <v>0.77456838634885061</v>
      </c>
      <c r="E70" s="114">
        <f t="shared" si="21"/>
        <v>0.84118453839591467</v>
      </c>
      <c r="F70" s="114">
        <f t="shared" si="21"/>
        <v>0.84118453839591467</v>
      </c>
      <c r="G70" s="114">
        <f t="shared" si="21"/>
        <v>0.84118453839591467</v>
      </c>
      <c r="H70" s="114">
        <f t="shared" si="21"/>
        <v>0.84118453839591467</v>
      </c>
      <c r="I70" s="114">
        <f t="shared" si="21"/>
        <v>0.84118453839591467</v>
      </c>
      <c r="J70" s="116">
        <f t="shared" si="21"/>
        <v>0.84118453839591467</v>
      </c>
      <c r="Y70" s="86"/>
      <c r="Z70" s="92" t="s">
        <v>57</v>
      </c>
      <c r="AA70" s="92" t="s">
        <v>63</v>
      </c>
      <c r="AB70" s="92">
        <f>AB69-AB68</f>
        <v>36</v>
      </c>
      <c r="AC70" s="92">
        <f>AC69-AC68</f>
        <v>2.296999999999997</v>
      </c>
      <c r="AD70" s="92">
        <f>AD69-AD68</f>
        <v>1.5810000000000173</v>
      </c>
      <c r="AE70" s="92">
        <f>AE69-AE68</f>
        <v>14.81180599999999</v>
      </c>
      <c r="AF70" s="92">
        <f>AF69-AF68</f>
        <v>-2.3901239999999859</v>
      </c>
      <c r="AG70" s="88"/>
    </row>
    <row r="71">
      <c r="B71" s="117" t="s">
        <v>72</v>
      </c>
      <c r="C71" s="117"/>
      <c r="D71" s="117"/>
      <c r="E71" s="117"/>
      <c r="F71" s="117"/>
      <c r="G71" s="117"/>
      <c r="H71" s="117"/>
      <c r="I71" s="117"/>
      <c r="J71" s="117"/>
      <c r="Y71" s="86"/>
      <c r="Z71" s="92" t="s">
        <v>57</v>
      </c>
      <c r="AA71" s="92" t="s">
        <v>65</v>
      </c>
      <c r="AB71" s="102">
        <f>AB70/AB67</f>
        <v>0.0094117647058823521</v>
      </c>
      <c r="AC71" s="102">
        <f>AC70/AC67</f>
        <v>0.00061880387931034406</v>
      </c>
      <c r="AD71" s="102">
        <f>AD70/AD67</f>
        <v>0.00038902559055118536</v>
      </c>
      <c r="AE71" s="102">
        <f>AE70/AE67</f>
        <v>0.0035477379640718541</v>
      </c>
      <c r="AF71" s="102">
        <f>AF70/AF67</f>
        <v>-0.00057111684587813282</v>
      </c>
      <c r="AG71" s="88"/>
    </row>
    <row r="72">
      <c r="Y72" s="118"/>
      <c r="Z72" s="119"/>
      <c r="AA72" s="119"/>
      <c r="AB72" s="119"/>
      <c r="AC72" s="119"/>
      <c r="AD72" s="119"/>
      <c r="AE72" s="119"/>
      <c r="AF72" s="119"/>
      <c r="AG72" s="120"/>
    </row>
    <row r="74">
      <c r="B74" s="3" t="s">
        <v>73</v>
      </c>
      <c r="C74" s="3"/>
      <c r="D74" s="3"/>
      <c r="E74" s="3"/>
    </row>
    <row r="76">
      <c r="B76" t="s">
        <v>3</v>
      </c>
      <c r="C76" t="s">
        <v>53</v>
      </c>
      <c r="D76" s="110" t="s">
        <v>70</v>
      </c>
      <c r="E76" s="111" t="s">
        <v>71</v>
      </c>
      <c r="F76" s="111" t="s">
        <v>71</v>
      </c>
      <c r="G76" s="111" t="s">
        <v>71</v>
      </c>
      <c r="H76" s="111" t="s">
        <v>71</v>
      </c>
      <c r="I76" s="111" t="s">
        <v>71</v>
      </c>
      <c r="J76" s="111" t="s">
        <v>71</v>
      </c>
      <c r="N76" s="63"/>
      <c r="O76" s="63"/>
      <c r="P76" s="121" t="s">
        <v>74</v>
      </c>
      <c r="Q76" s="121"/>
      <c r="R76" s="121"/>
      <c r="S76" s="121"/>
      <c r="T76" s="121"/>
      <c r="U76" s="121"/>
    </row>
    <row r="77">
      <c r="B77" s="1" t="s">
        <v>4</v>
      </c>
      <c r="C77" s="65">
        <v>2019</v>
      </c>
      <c r="D77" s="96">
        <v>2020</v>
      </c>
      <c r="E77" s="65">
        <v>2025</v>
      </c>
      <c r="F77" s="65">
        <v>2030</v>
      </c>
      <c r="G77" s="65">
        <v>2035</v>
      </c>
      <c r="H77" s="65">
        <v>2040</v>
      </c>
      <c r="I77" s="65">
        <v>2045</v>
      </c>
      <c r="J77" s="97">
        <v>2050</v>
      </c>
      <c r="N77" s="63"/>
      <c r="O77" s="122">
        <v>2023</v>
      </c>
      <c r="P77" s="122">
        <v>2025</v>
      </c>
      <c r="Q77" s="122">
        <v>2030</v>
      </c>
      <c r="R77" s="122">
        <v>2035</v>
      </c>
      <c r="S77" s="122">
        <v>2040</v>
      </c>
      <c r="T77" s="122">
        <v>2045</v>
      </c>
      <c r="U77" s="122">
        <v>2050</v>
      </c>
    </row>
    <row r="78">
      <c r="A78" s="81"/>
      <c r="B78" s="48" t="s">
        <v>5</v>
      </c>
      <c r="C78" s="81">
        <f>G9</f>
        <v>14.59</v>
      </c>
      <c r="D78" s="81">
        <f>H9</f>
        <v>11.59</v>
      </c>
      <c r="E78" s="81">
        <f t="shared" ref="E78:J78" si="22">E62*G31</f>
        <v>14.5663125767295</v>
      </c>
      <c r="F78" s="81">
        <f t="shared" si="22"/>
        <v>14.546573057337417</v>
      </c>
      <c r="G78" s="81">
        <f t="shared" si="22"/>
        <v>14.745979760310806</v>
      </c>
      <c r="H78" s="81">
        <f t="shared" si="22"/>
        <v>14.945386463284192</v>
      </c>
      <c r="I78" s="81">
        <f t="shared" si="22"/>
        <v>15.144793166257578</v>
      </c>
      <c r="J78" s="81">
        <f t="shared" si="22"/>
        <v>15.344199869230966</v>
      </c>
      <c r="N78" s="48" t="s">
        <v>5</v>
      </c>
      <c r="O78" s="122">
        <v>14.199999999999999</v>
      </c>
      <c r="P78" s="123">
        <v>13.7983406135097</v>
      </c>
      <c r="Q78" s="123">
        <v>13.4269328577767</v>
      </c>
      <c r="R78" s="123">
        <v>13.119305266443501</v>
      </c>
      <c r="S78" s="123">
        <v>12.8708014499777</v>
      </c>
      <c r="T78" s="123">
        <v>12.697577815301999</v>
      </c>
      <c r="U78" s="123">
        <v>12.5730601871403</v>
      </c>
    </row>
    <row r="79">
      <c r="A79" s="81"/>
      <c r="B79" s="48" t="s">
        <v>6</v>
      </c>
      <c r="C79" s="81">
        <f>(C78-(C78*'4. Recyclage'!H12))/(1-0.16)-C81</f>
        <v>10.130000000000001</v>
      </c>
      <c r="D79" s="81">
        <f>(D78-(D78*H5))/(1-0.16)-D81</f>
        <v>7.8699999999999992</v>
      </c>
      <c r="E79" s="81">
        <f>(E78-(E78*'4. Recyclage'!I12))/(1-0.16)-E81</f>
        <v>9.652101579685322</v>
      </c>
      <c r="F79" s="81">
        <f>(F78-(F78*'4. Recyclage'!J12))/(1-0.16)-F81</f>
        <v>9.1781949052247978</v>
      </c>
      <c r="G79" s="81">
        <f>(G78-(G78*'4. Recyclage'!K12))/(1-0.16)-G81</f>
        <v>9.2162373501942554</v>
      </c>
      <c r="H79" s="81">
        <f>(H78-(H78*'4. Recyclage'!L12))/(1-0.16)-H81</f>
        <v>9.2519059058425963</v>
      </c>
      <c r="I79" s="81">
        <f>(I78-(I78*'4. Recyclage'!M12))/(1-0.16)-I81</f>
        <v>9.2852005721698241</v>
      </c>
      <c r="J79" s="81">
        <f>(J78-(J78*'4. Recyclage'!N12))/(1-0.16)-J81</f>
        <v>9.316121349175944</v>
      </c>
      <c r="K79" t="s">
        <v>75</v>
      </c>
      <c r="N79" s="48" t="s">
        <v>76</v>
      </c>
      <c r="O79" s="122">
        <v>9.5999999999999996</v>
      </c>
      <c r="P79" s="123">
        <v>8.6983406135096999</v>
      </c>
      <c r="Q79" s="123">
        <v>7.64332517169216</v>
      </c>
      <c r="R79" s="123">
        <v>7.3356975803590299</v>
      </c>
      <c r="S79" s="123">
        <v>7.0871937638932101</v>
      </c>
      <c r="T79" s="123">
        <v>6.9139701292174802</v>
      </c>
      <c r="U79" s="123">
        <v>6.7894525010557398</v>
      </c>
    </row>
    <row r="80">
      <c r="A80" s="81"/>
      <c r="B80" s="48" t="s">
        <v>7</v>
      </c>
      <c r="C80" s="81">
        <f t="shared" ref="C80:J80" si="23">C78-C79-C81</f>
        <v>4.4599999999999991</v>
      </c>
      <c r="D80" s="81">
        <f t="shared" si="23"/>
        <v>3.7200000000000006</v>
      </c>
      <c r="E80" s="81">
        <f t="shared" si="23"/>
        <v>4.9142109970441776</v>
      </c>
      <c r="F80" s="81">
        <f t="shared" si="23"/>
        <v>5.3683781521126193</v>
      </c>
      <c r="G80" s="81">
        <f t="shared" si="23"/>
        <v>5.5297424101165511</v>
      </c>
      <c r="H80" s="81">
        <f t="shared" si="23"/>
        <v>5.6934805574415961</v>
      </c>
      <c r="I80" s="81">
        <f t="shared" si="23"/>
        <v>5.8595925940877542</v>
      </c>
      <c r="J80" s="81">
        <f t="shared" si="23"/>
        <v>6.028078520055022</v>
      </c>
      <c r="K80" t="s">
        <v>77</v>
      </c>
      <c r="N80" s="48" t="s">
        <v>7</v>
      </c>
      <c r="O80" s="122">
        <v>4.5999999999999996</v>
      </c>
      <c r="P80" s="123">
        <v>5.0999999999999996</v>
      </c>
      <c r="Q80" s="123">
        <v>5.7836076860845198</v>
      </c>
      <c r="R80" s="123">
        <v>5.7836076860845198</v>
      </c>
      <c r="S80" s="123">
        <v>5.7836076860845198</v>
      </c>
      <c r="T80" s="123">
        <v>5.7836076860845198</v>
      </c>
      <c r="U80" s="123">
        <v>5.7836076860845198</v>
      </c>
    </row>
    <row r="81">
      <c r="B81" s="48" t="s">
        <v>36</v>
      </c>
      <c r="C81" s="81">
        <v>0</v>
      </c>
      <c r="D81" s="81">
        <v>0</v>
      </c>
      <c r="E81" s="81">
        <v>0</v>
      </c>
      <c r="F81" s="81">
        <v>0</v>
      </c>
      <c r="G81" s="81">
        <v>0</v>
      </c>
      <c r="H81" s="81">
        <v>0</v>
      </c>
      <c r="I81" s="81">
        <v>0</v>
      </c>
      <c r="J81" s="81">
        <v>0</v>
      </c>
      <c r="K81" t="s">
        <v>78</v>
      </c>
      <c r="N81" s="48" t="s">
        <v>8</v>
      </c>
      <c r="O81" s="122">
        <v>0</v>
      </c>
      <c r="P81" s="123">
        <v>0</v>
      </c>
      <c r="Q81" s="123">
        <v>0</v>
      </c>
      <c r="R81" s="123">
        <v>0</v>
      </c>
      <c r="S81" s="123">
        <v>0</v>
      </c>
      <c r="T81" s="123">
        <v>0</v>
      </c>
      <c r="U81" s="123">
        <v>0</v>
      </c>
    </row>
    <row r="82">
      <c r="A82" s="81"/>
      <c r="B82" s="48" t="s">
        <v>9</v>
      </c>
      <c r="C82" s="81">
        <f>G13</f>
        <v>0.89400000000000002</v>
      </c>
      <c r="D82" s="81">
        <f>H13</f>
        <v>0.80227758163561269</v>
      </c>
      <c r="E82" s="81">
        <f t="shared" ref="E82:J82" si="24">E63*G32</f>
        <v>0.97003599155980125</v>
      </c>
      <c r="F82" s="81">
        <f t="shared" si="24"/>
        <v>1.0333993178596355</v>
      </c>
      <c r="G82" s="81">
        <f t="shared" si="24"/>
        <v>1.1157722139220791</v>
      </c>
      <c r="H82" s="81">
        <f t="shared" si="24"/>
        <v>1.1981451099845226</v>
      </c>
      <c r="I82" s="81">
        <f t="shared" si="24"/>
        <v>1.2805180060469661</v>
      </c>
      <c r="J82" s="81">
        <f t="shared" si="24"/>
        <v>1.3628909021094096</v>
      </c>
      <c r="N82" s="48" t="s">
        <v>9</v>
      </c>
      <c r="O82" s="124">
        <v>0.90000000000000002</v>
      </c>
      <c r="P82" s="124">
        <v>0.90000000000000002</v>
      </c>
      <c r="Q82" s="124">
        <v>0.90000000000000002</v>
      </c>
      <c r="R82" s="124">
        <v>0.90000000000000002</v>
      </c>
      <c r="S82" s="124">
        <v>0.90000000000000002</v>
      </c>
      <c r="T82" s="124">
        <v>0.90000000000000002</v>
      </c>
      <c r="U82" s="124">
        <v>0.90000000000000002</v>
      </c>
    </row>
    <row r="83">
      <c r="A83" s="81"/>
      <c r="B83" s="53" t="s">
        <v>38</v>
      </c>
      <c r="C83" s="81">
        <f>C82*'4. Recyclage'!H13</f>
        <v>0.47600000000000037</v>
      </c>
      <c r="D83" s="81">
        <f>D82*'4. Recyclage'!I13</f>
        <v>0.43117484300722941</v>
      </c>
      <c r="E83" s="81">
        <f>E82*'4. Recyclage'!I13</f>
        <v>0.52133466763393521</v>
      </c>
      <c r="F83" s="81">
        <f>F82*'4. Recyclage'!J13</f>
        <v>0.56055555391817891</v>
      </c>
      <c r="G83" s="81">
        <f>G82*'4. Recyclage'!K13</f>
        <v>0.61360607395270794</v>
      </c>
      <c r="H83" s="81">
        <f>H82*'4. Recyclage'!L13</f>
        <v>0.66789218742817369</v>
      </c>
      <c r="I83" s="81">
        <f>I82*'4. Recyclage'!M13</f>
        <v>0.72341389434457604</v>
      </c>
      <c r="J83" s="81">
        <f>J82*'4. Recyclage'!N13</f>
        <v>0.78017119470191487</v>
      </c>
      <c r="K83" t="s">
        <v>79</v>
      </c>
      <c r="N83" s="48" t="s">
        <v>80</v>
      </c>
      <c r="O83" s="124">
        <v>0.41999999999999998</v>
      </c>
      <c r="P83" s="124">
        <v>0.41999999999999998</v>
      </c>
      <c r="Q83" s="124">
        <v>0.42080536912751598</v>
      </c>
      <c r="R83" s="124">
        <v>0.42080536912751598</v>
      </c>
      <c r="S83" s="124">
        <v>0.42080536912751598</v>
      </c>
      <c r="T83" s="124">
        <v>0.42080536912751598</v>
      </c>
      <c r="U83" s="124">
        <v>0.42080536912751598</v>
      </c>
    </row>
    <row r="84">
      <c r="A84" s="81"/>
      <c r="B84" s="48" t="s">
        <v>11</v>
      </c>
      <c r="C84" s="81">
        <f t="shared" ref="C84:D89" si="25">G17</f>
        <v>2.3399999999999999</v>
      </c>
      <c r="D84" s="81">
        <f t="shared" si="25"/>
        <v>2.27</v>
      </c>
      <c r="E84" s="81">
        <f t="shared" ref="E84:J84" si="26">E68*G37</f>
        <v>2.130973394225022</v>
      </c>
      <c r="F84" s="81">
        <f t="shared" si="26"/>
        <v>1.9567845560792068</v>
      </c>
      <c r="G84" s="81">
        <f t="shared" si="26"/>
        <v>1.795698345055442</v>
      </c>
      <c r="H84" s="81">
        <f t="shared" si="26"/>
        <v>1.6346121340316773</v>
      </c>
      <c r="I84" s="81">
        <f t="shared" si="26"/>
        <v>1.4735259230079123</v>
      </c>
      <c r="J84" s="81">
        <f t="shared" si="26"/>
        <v>1.3124397119841478</v>
      </c>
      <c r="N84" s="48" t="s">
        <v>38</v>
      </c>
      <c r="O84" s="124">
        <v>0.47999999999999998</v>
      </c>
      <c r="P84" s="124">
        <v>0.47999999999999998</v>
      </c>
      <c r="Q84" s="124">
        <v>0.47919463087248398</v>
      </c>
      <c r="R84" s="124">
        <v>0.47919463087248398</v>
      </c>
      <c r="S84" s="124">
        <v>0.47919463087248398</v>
      </c>
      <c r="T84" s="124">
        <v>0.47919463087248398</v>
      </c>
      <c r="U84" s="124">
        <v>0.47919463087248398</v>
      </c>
    </row>
    <row r="85">
      <c r="A85" s="81"/>
      <c r="B85" s="48" t="s">
        <v>12</v>
      </c>
      <c r="C85" s="81">
        <f t="shared" si="25"/>
        <v>0.95999999999999996</v>
      </c>
      <c r="D85" s="81">
        <f t="shared" si="25"/>
        <v>0.89000000000000001</v>
      </c>
      <c r="E85" s="81">
        <f t="shared" ref="E85:J85" si="27">E67*G36</f>
        <v>0.95478003590606753</v>
      </c>
      <c r="F85" s="81">
        <f t="shared" si="27"/>
        <v>0.95043006582779055</v>
      </c>
      <c r="G85" s="81">
        <f t="shared" si="27"/>
        <v>0.93768662335152997</v>
      </c>
      <c r="H85" s="81">
        <f t="shared" si="27"/>
        <v>0.92494318087526939</v>
      </c>
      <c r="I85" s="81">
        <f t="shared" si="27"/>
        <v>0.91219973839900892</v>
      </c>
      <c r="J85" s="81">
        <f t="shared" si="27"/>
        <v>0.89945629592274834</v>
      </c>
      <c r="N85" s="48" t="s">
        <v>11</v>
      </c>
      <c r="O85" s="122">
        <v>2.2999999999999998</v>
      </c>
      <c r="P85" s="123">
        <v>2.3679999999999999</v>
      </c>
      <c r="Q85" s="123">
        <v>2.3679999999999999</v>
      </c>
      <c r="R85" s="123">
        <v>2.3679999999999999</v>
      </c>
      <c r="S85" s="123">
        <v>2.3679999999999999</v>
      </c>
      <c r="T85" s="123">
        <v>2.3679999999999999</v>
      </c>
      <c r="U85" s="123">
        <v>2.3679999999999999</v>
      </c>
    </row>
    <row r="86">
      <c r="A86" s="81"/>
      <c r="B86" s="48" t="s">
        <v>13</v>
      </c>
      <c r="C86" s="81">
        <f t="shared" si="25"/>
        <v>1.0700000000000001</v>
      </c>
      <c r="D86" s="81">
        <f t="shared" si="25"/>
        <v>1</v>
      </c>
      <c r="E86" s="81">
        <f t="shared" ref="E86:J86" si="28">E66*G35</f>
        <v>1.0718885198126653</v>
      </c>
      <c r="F86" s="81">
        <f t="shared" si="28"/>
        <v>1.0734622863232199</v>
      </c>
      <c r="G86" s="81">
        <f t="shared" si="28"/>
        <v>1.0594668558701033</v>
      </c>
      <c r="H86" s="81">
        <f t="shared" si="28"/>
        <v>1.0454714254169863</v>
      </c>
      <c r="I86" s="81">
        <f t="shared" si="28"/>
        <v>1.0314759949638694</v>
      </c>
      <c r="J86" s="81">
        <f t="shared" si="28"/>
        <v>1.017480564510753</v>
      </c>
      <c r="N86" s="48" t="s">
        <v>13</v>
      </c>
      <c r="O86" s="122">
        <v>1.05</v>
      </c>
      <c r="P86" s="123">
        <v>1.052</v>
      </c>
      <c r="Q86" s="123">
        <v>1.0800000000000001</v>
      </c>
      <c r="R86" s="123">
        <v>1.10425</v>
      </c>
      <c r="S86" s="123">
        <v>1.1285000000000001</v>
      </c>
      <c r="T86" s="123">
        <v>1.1527499999999999</v>
      </c>
      <c r="U86" s="123">
        <v>1.177</v>
      </c>
    </row>
    <row r="87">
      <c r="A87" s="81"/>
      <c r="B87" s="48" t="s">
        <v>14</v>
      </c>
      <c r="C87" s="81">
        <f t="shared" si="25"/>
        <v>12.94</v>
      </c>
      <c r="D87" s="81">
        <f t="shared" si="25"/>
        <v>11.77</v>
      </c>
      <c r="E87" s="81">
        <f t="shared" ref="E87:J87" si="29">E64*G34</f>
        <v>12.459808173034819</v>
      </c>
      <c r="F87" s="81">
        <f t="shared" si="29"/>
        <v>12.059648317230501</v>
      </c>
      <c r="G87" s="81">
        <f t="shared" si="29"/>
        <v>11.371886639538003</v>
      </c>
      <c r="H87" s="81">
        <f t="shared" si="29"/>
        <v>10.684124961845503</v>
      </c>
      <c r="I87" s="81">
        <f t="shared" si="29"/>
        <v>9.9963632841530039</v>
      </c>
      <c r="J87" s="81">
        <f t="shared" si="29"/>
        <v>9.3086016064605062</v>
      </c>
      <c r="N87" s="48" t="s">
        <v>14</v>
      </c>
      <c r="O87" s="122">
        <v>12.4</v>
      </c>
      <c r="P87" s="123">
        <v>12.67</v>
      </c>
      <c r="Q87" s="123">
        <v>12.5</v>
      </c>
      <c r="R87" s="123">
        <v>11.5695</v>
      </c>
      <c r="S87" s="123">
        <v>10.638999999999999</v>
      </c>
      <c r="T87" s="123">
        <v>9.7085000000000008</v>
      </c>
      <c r="U87" s="123">
        <v>8.7780000000000005</v>
      </c>
    </row>
    <row r="88">
      <c r="A88" s="81"/>
      <c r="B88" s="48" t="s">
        <v>15</v>
      </c>
      <c r="C88" s="81">
        <f t="shared" si="25"/>
        <v>5.6971323500000004</v>
      </c>
      <c r="D88" s="81">
        <f t="shared" si="25"/>
        <v>5.0235558500000002</v>
      </c>
      <c r="E88" s="81">
        <f t="shared" ref="E88:J88" si="30">E65*G33</f>
        <v>5.6767464059368393</v>
      </c>
      <c r="F88" s="81">
        <f t="shared" si="30"/>
        <v>5.6597581192175381</v>
      </c>
      <c r="G88" s="81">
        <f t="shared" si="30"/>
        <v>5.4629232119267668</v>
      </c>
      <c r="H88" s="81">
        <f t="shared" si="30"/>
        <v>5.2660883046359972</v>
      </c>
      <c r="I88" s="81">
        <f t="shared" si="30"/>
        <v>5.0692533973452276</v>
      </c>
      <c r="J88" s="81">
        <f t="shared" si="30"/>
        <v>4.8724184900544563</v>
      </c>
      <c r="N88" s="48" t="s">
        <v>15</v>
      </c>
      <c r="O88" s="122">
        <v>5.2999999999999998</v>
      </c>
      <c r="P88" s="123">
        <v>5.5186565841428097</v>
      </c>
      <c r="Q88" s="123">
        <v>5.5186565841428097</v>
      </c>
      <c r="R88" s="123">
        <v>5.5186565841428097</v>
      </c>
      <c r="S88" s="123">
        <v>5.5186565841428097</v>
      </c>
      <c r="T88" s="123">
        <v>5.5186565841428097</v>
      </c>
      <c r="U88" s="123">
        <v>5.5186565841428097</v>
      </c>
    </row>
    <row r="89">
      <c r="A89" s="81"/>
      <c r="B89" s="48" t="s">
        <v>16</v>
      </c>
      <c r="C89" s="81">
        <f t="shared" si="25"/>
        <v>7.3200000000000003</v>
      </c>
      <c r="D89" s="81">
        <f t="shared" si="25"/>
        <v>6.8099151128839308</v>
      </c>
      <c r="E89" s="81">
        <f t="shared" ref="E89:J89" si="31">E70*G38</f>
        <v>7.7735794156205591</v>
      </c>
      <c r="F89" s="81">
        <f t="shared" si="31"/>
        <v>8.1515622619710264</v>
      </c>
      <c r="G89" s="81">
        <f t="shared" si="31"/>
        <v>8.6317465423904949</v>
      </c>
      <c r="H89" s="81">
        <f t="shared" si="31"/>
        <v>9.1119308228099634</v>
      </c>
      <c r="I89" s="81">
        <f t="shared" si="31"/>
        <v>9.5921151032294318</v>
      </c>
      <c r="J89" s="81">
        <f t="shared" si="31"/>
        <v>10.0722993836489</v>
      </c>
      <c r="N89" s="48" t="s">
        <v>16</v>
      </c>
      <c r="O89" s="122">
        <v>7.9000000000000004</v>
      </c>
      <c r="P89" s="123">
        <v>8.2360000000000007</v>
      </c>
      <c r="Q89" s="123">
        <v>8.25</v>
      </c>
      <c r="R89" s="123">
        <v>8.2848749999999995</v>
      </c>
      <c r="S89" s="123">
        <v>8.3197500000000009</v>
      </c>
      <c r="T89" s="123">
        <v>8.3546250000000004</v>
      </c>
      <c r="U89" s="123">
        <v>8.3895</v>
      </c>
    </row>
    <row r="90">
      <c r="A90" s="81"/>
      <c r="B90" s="48" t="s">
        <v>17</v>
      </c>
      <c r="C90" s="81">
        <f>G24</f>
        <v>4.96</v>
      </c>
      <c r="D90" s="81">
        <f>H24</f>
        <v>3.3799999999999999</v>
      </c>
      <c r="E90" s="81">
        <f t="shared" ref="E90:J90" si="32">E69*G39</f>
        <v>5.0392902944438003</v>
      </c>
      <c r="F90" s="81">
        <f t="shared" si="32"/>
        <v>5.1053655398136346</v>
      </c>
      <c r="G90" s="81">
        <f t="shared" si="32"/>
        <v>5.1492372804011337</v>
      </c>
      <c r="H90" s="81">
        <f t="shared" si="32"/>
        <v>5.1931090209886337</v>
      </c>
      <c r="I90" s="81">
        <f t="shared" si="32"/>
        <v>5.2369807615761346</v>
      </c>
      <c r="J90" s="81">
        <f t="shared" si="32"/>
        <v>5.2808525021636337</v>
      </c>
      <c r="N90" s="48" t="s">
        <v>17</v>
      </c>
      <c r="O90" s="122">
        <v>4.9000000000000004</v>
      </c>
      <c r="P90" s="123">
        <v>5.0979999999999999</v>
      </c>
      <c r="Q90" s="123">
        <v>4.7999999999999998</v>
      </c>
      <c r="R90" s="123">
        <v>4.843</v>
      </c>
      <c r="S90" s="123">
        <v>4.8860000000000001</v>
      </c>
      <c r="T90" s="123">
        <v>4.9290000000000003</v>
      </c>
      <c r="U90" s="123">
        <v>4.9720000000000004</v>
      </c>
    </row>
    <row r="91">
      <c r="B91" s="125"/>
      <c r="C91" s="81"/>
      <c r="D91" s="81"/>
      <c r="E91" s="81"/>
      <c r="F91" s="81"/>
      <c r="G91" s="81"/>
      <c r="H91" s="81"/>
      <c r="I91" s="81"/>
      <c r="J91" s="81"/>
      <c r="N91" s="125"/>
      <c r="O91" s="63"/>
      <c r="P91" s="126"/>
      <c r="Q91" s="126"/>
      <c r="R91" s="126"/>
      <c r="S91" s="126"/>
      <c r="T91" s="126"/>
      <c r="U91" s="126"/>
    </row>
    <row r="92">
      <c r="B92" s="48" t="s">
        <v>81</v>
      </c>
      <c r="C92" s="99">
        <f t="shared" ref="C92:J92" si="33">C78+C82+SUM(C84:C90)</f>
        <v>50.771132350000002</v>
      </c>
      <c r="D92" s="99">
        <f t="shared" si="33"/>
        <v>43.535748544519542</v>
      </c>
      <c r="E92" s="99">
        <f t="shared" si="33"/>
        <v>50.643414807269075</v>
      </c>
      <c r="F92" s="99">
        <f t="shared" si="33"/>
        <v>50.53698352165997</v>
      </c>
      <c r="G92" s="99">
        <f t="shared" si="33"/>
        <v>50.270397472766362</v>
      </c>
      <c r="H92" s="99">
        <f t="shared" si="33"/>
        <v>50.003811423872747</v>
      </c>
      <c r="I92" s="99">
        <f t="shared" si="33"/>
        <v>49.737225374979133</v>
      </c>
      <c r="J92" s="99">
        <f t="shared" si="33"/>
        <v>49.470639326085525</v>
      </c>
      <c r="N92" s="125"/>
      <c r="O92" s="63"/>
      <c r="P92" s="126"/>
      <c r="Q92" s="126"/>
      <c r="R92" s="126"/>
      <c r="S92" s="126"/>
      <c r="T92" s="126"/>
      <c r="U92" s="126"/>
    </row>
    <row r="93">
      <c r="B93" s="48" t="s">
        <v>82</v>
      </c>
      <c r="C93" s="99">
        <f t="shared" ref="C93:J93" si="34">C92/$C92</f>
        <v>1</v>
      </c>
      <c r="D93" s="99">
        <f t="shared" si="34"/>
        <v>0.85749020219596384</v>
      </c>
      <c r="E93" s="99">
        <f t="shared" si="34"/>
        <v>0.99748444565209848</v>
      </c>
      <c r="F93" s="99">
        <f t="shared" si="34"/>
        <v>0.99538815036218053</v>
      </c>
      <c r="G93" s="99">
        <f t="shared" si="34"/>
        <v>0.99013740970396857</v>
      </c>
      <c r="H93" s="99">
        <f t="shared" si="34"/>
        <v>0.98488666904575639</v>
      </c>
      <c r="I93" s="99">
        <f t="shared" si="34"/>
        <v>0.97963592838754421</v>
      </c>
      <c r="J93" s="99">
        <f t="shared" si="34"/>
        <v>0.97438518772933225</v>
      </c>
      <c r="N93" s="125"/>
      <c r="O93" s="63"/>
      <c r="P93" s="126"/>
      <c r="Q93" s="126"/>
      <c r="R93" s="126"/>
      <c r="S93" s="126"/>
      <c r="T93" s="126"/>
      <c r="U93" s="126"/>
    </row>
    <row r="99">
      <c r="B99" t="s">
        <v>83</v>
      </c>
    </row>
    <row r="100">
      <c r="B100" t="s">
        <v>84</v>
      </c>
    </row>
    <row r="101">
      <c r="B101" t="s">
        <v>85</v>
      </c>
    </row>
    <row r="102">
      <c r="B102" t="s">
        <v>86</v>
      </c>
    </row>
  </sheetData>
  <mergeCells count="12">
    <mergeCell ref="B74:E74"/>
    <mergeCell ref="P76:U76"/>
    <mergeCell ref="B44:E44"/>
    <mergeCell ref="C47:G47"/>
    <mergeCell ref="C48:D48"/>
    <mergeCell ref="E48:G48"/>
    <mergeCell ref="B71:J71"/>
    <mergeCell ref="B2:L2"/>
    <mergeCell ref="B4:E4"/>
    <mergeCell ref="C7:H7"/>
    <mergeCell ref="B27:E27"/>
    <mergeCell ref="B41:U41"/>
  </mergeCell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DC3E6"/>
    <outlinePr applyStyles="0" summaryBelow="1" summaryRight="1" showOutlineSymbols="1"/>
    <pageSetUpPr autoPageBreaks="1" fitToPage="0"/>
  </sheetPr>
  <sheetViews>
    <sheetView zoomScale="82" workbookViewId="0">
      <selection activeCell="K57" activeCellId="0" sqref="K57"/>
    </sheetView>
  </sheetViews>
  <sheetFormatPr baseColWidth="10" defaultColWidth="8.88671875" defaultRowHeight="14.4"/>
  <cols>
    <col customWidth="1" min="1" max="1" width="10.44140625"/>
    <col customWidth="1" min="2" max="2" width="29.44140625"/>
    <col customWidth="1" min="3" max="1025" width="10.44140625"/>
  </cols>
  <sheetData>
    <row r="2" ht="23.399999999999999">
      <c r="B2" s="46" t="s">
        <v>87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4">
      <c r="B4" s="3" t="s">
        <v>33</v>
      </c>
      <c r="C4" s="3"/>
      <c r="D4" s="3"/>
      <c r="E4" s="3"/>
    </row>
    <row r="6">
      <c r="B6" s="1" t="s">
        <v>19</v>
      </c>
      <c r="C6" s="47" t="s">
        <v>2</v>
      </c>
      <c r="D6" s="47"/>
      <c r="E6" s="47"/>
      <c r="F6" s="47"/>
      <c r="G6" s="47"/>
      <c r="H6" s="47"/>
      <c r="I6" s="1"/>
    </row>
    <row r="7">
      <c r="B7" s="1" t="s">
        <v>21</v>
      </c>
      <c r="C7" s="7">
        <v>2015</v>
      </c>
      <c r="D7" s="7">
        <v>2016</v>
      </c>
      <c r="E7" s="7">
        <v>2017</v>
      </c>
      <c r="F7" s="7">
        <v>2018</v>
      </c>
      <c r="G7" s="7">
        <v>2019</v>
      </c>
      <c r="H7" s="7">
        <v>2020</v>
      </c>
      <c r="I7" s="1"/>
    </row>
    <row r="8">
      <c r="B8" s="127" t="s">
        <v>22</v>
      </c>
      <c r="C8" s="31">
        <f>'VA historique'!R5</f>
        <v>25.624379000000001</v>
      </c>
      <c r="D8" s="31">
        <f>'VA historique'!S5</f>
        <v>26.013804</v>
      </c>
      <c r="E8" s="31">
        <f>'VA historique'!T5</f>
        <v>26.657764</v>
      </c>
      <c r="F8" s="31">
        <f>'VA historique'!U5</f>
        <v>25.460822</v>
      </c>
      <c r="G8" s="31">
        <f>'VA historique'!V5</f>
        <v>25.805907999999999</v>
      </c>
      <c r="H8" s="31">
        <f>G8*0.905</f>
        <v>23.35434674</v>
      </c>
      <c r="I8" s="1"/>
    </row>
    <row r="9">
      <c r="B9" s="127" t="s">
        <v>23</v>
      </c>
      <c r="C9" s="31">
        <f>'VA historique'!R6</f>
        <v>41.415126000000001</v>
      </c>
      <c r="D9" s="31">
        <f>'VA historique'!S6</f>
        <v>42.558777999999997</v>
      </c>
      <c r="E9" s="31">
        <f>'VA historique'!T6</f>
        <v>43.825743000000003</v>
      </c>
      <c r="F9" s="31">
        <f>'VA historique'!U6</f>
        <v>45.192982999999998</v>
      </c>
      <c r="G9" s="31">
        <f>'VA historique'!V6</f>
        <v>47.173411999999999</v>
      </c>
      <c r="H9" s="31">
        <f>'VA historique'!W6</f>
        <v>34.146974</v>
      </c>
      <c r="I9" s="1"/>
    </row>
    <row r="10">
      <c r="B10" s="127" t="s">
        <v>24</v>
      </c>
      <c r="C10" s="31">
        <f>'VA historique'!R7</f>
        <v>8.0230730000000001</v>
      </c>
      <c r="D10" s="31">
        <f>'VA historique'!S7</f>
        <v>8.0998359999999998</v>
      </c>
      <c r="E10" s="31">
        <f>'VA historique'!T7</f>
        <v>8.2923500000000008</v>
      </c>
      <c r="F10" s="31">
        <f>'VA historique'!U7</f>
        <v>8.2701740000000008</v>
      </c>
      <c r="G10" s="31">
        <f>'VA historique'!V7</f>
        <v>8.3584969999999998</v>
      </c>
      <c r="H10" s="31">
        <f>G10*0.905</f>
        <v>7.5644397850000002</v>
      </c>
      <c r="I10" s="1"/>
    </row>
    <row r="11">
      <c r="B11" s="127" t="s">
        <v>25</v>
      </c>
      <c r="C11" s="31">
        <f>'VA historique'!R8</f>
        <v>43.507950999999998</v>
      </c>
      <c r="D11" s="31">
        <f>'VA historique'!S8</f>
        <v>44.673572</v>
      </c>
      <c r="E11" s="31">
        <f>'VA historique'!T8</f>
        <v>45.485210000000002</v>
      </c>
      <c r="F11" s="31">
        <f>'VA historique'!U8</f>
        <v>45.279347999999999</v>
      </c>
      <c r="G11" s="31">
        <f>'VA historique'!V8</f>
        <v>45.598266000000002</v>
      </c>
      <c r="H11" s="31">
        <f>'VA historique'!W8</f>
        <v>44.167665</v>
      </c>
      <c r="I11" s="1"/>
    </row>
    <row r="12">
      <c r="B12" s="127" t="s">
        <v>26</v>
      </c>
      <c r="C12" s="31">
        <f>'VA historique'!R9</f>
        <v>60.173127999999998</v>
      </c>
      <c r="D12" s="31">
        <f>'VA historique'!S9</f>
        <v>59.026021</v>
      </c>
      <c r="E12" s="31">
        <f>'VA historique'!T9</f>
        <v>60.473290999999996</v>
      </c>
      <c r="F12" s="31">
        <f>'VA historique'!U9</f>
        <v>63.185553999999996</v>
      </c>
      <c r="G12" s="31">
        <f>'VA historique'!V9</f>
        <v>63.615233999999994</v>
      </c>
      <c r="H12" s="31">
        <f t="shared" ref="H12:H13" si="35">G12*0.905</f>
        <v>57.571786769999996</v>
      </c>
      <c r="I12" s="1"/>
    </row>
    <row r="13">
      <c r="B13" s="127" t="s">
        <v>27</v>
      </c>
      <c r="C13" s="31">
        <f>'VA historique'!R11</f>
        <v>23.294342999999998</v>
      </c>
      <c r="D13" s="31">
        <f>'VA historique'!S11</f>
        <v>23.04682</v>
      </c>
      <c r="E13" s="31">
        <f>'VA historique'!T11</f>
        <v>23.307596</v>
      </c>
      <c r="F13" s="31">
        <f>'VA historique'!U11</f>
        <v>23.241424000000002</v>
      </c>
      <c r="G13" s="31">
        <f>'VA historique'!V11</f>
        <v>23.721858999999998</v>
      </c>
      <c r="H13" s="31">
        <f t="shared" si="35"/>
        <v>21.468282394999999</v>
      </c>
      <c r="I13" s="1"/>
    </row>
    <row r="14">
      <c r="B14" s="7" t="s">
        <v>28</v>
      </c>
      <c r="C14" s="11">
        <f t="shared" ref="C14:H14" si="36">SUM(C8:C13)</f>
        <v>202.03799999999998</v>
      </c>
      <c r="D14" s="11">
        <f t="shared" si="36"/>
        <v>203.41883099999998</v>
      </c>
      <c r="E14" s="11">
        <f t="shared" si="36"/>
        <v>208.04195399999998</v>
      </c>
      <c r="F14" s="11">
        <f t="shared" si="36"/>
        <v>210.63030499999999</v>
      </c>
      <c r="G14" s="11">
        <f t="shared" si="36"/>
        <v>214.27317599999998</v>
      </c>
      <c r="H14" s="11">
        <f t="shared" si="36"/>
        <v>188.27349468999998</v>
      </c>
      <c r="I14" s="1"/>
    </row>
    <row r="15">
      <c r="B15" s="128" t="s">
        <v>29</v>
      </c>
      <c r="C15" s="129">
        <f>'VA historique'!R10</f>
        <v>109.505257</v>
      </c>
      <c r="D15" s="129">
        <f>'VA historique'!S10</f>
        <v>108.449133</v>
      </c>
      <c r="E15" s="129">
        <f>'VA historique'!T10</f>
        <v>110.800995</v>
      </c>
      <c r="F15" s="129">
        <f>'VA historique'!U10</f>
        <v>111.94245100000001</v>
      </c>
      <c r="G15" s="129">
        <f>'VA historique'!V10</f>
        <v>114.881552</v>
      </c>
      <c r="H15" s="129">
        <f>'VA historique'!W10</f>
        <v>96.546553000000003</v>
      </c>
      <c r="I15" s="1"/>
    </row>
    <row r="16">
      <c r="B16" s="130" t="s">
        <v>88</v>
      </c>
      <c r="C16" s="130"/>
      <c r="D16" s="130"/>
      <c r="E16" s="130"/>
      <c r="F16" s="130"/>
      <c r="G16" s="130"/>
      <c r="H16" s="130"/>
    </row>
    <row r="18">
      <c r="B18" s="3" t="s">
        <v>89</v>
      </c>
      <c r="C18" s="3"/>
      <c r="D18" s="3"/>
      <c r="E18" s="3"/>
    </row>
    <row r="20">
      <c r="D20" s="131" t="s">
        <v>90</v>
      </c>
      <c r="E20" s="131"/>
      <c r="F20" s="131"/>
      <c r="G20" s="131"/>
      <c r="H20" s="131"/>
      <c r="I20" s="131"/>
      <c r="J20" s="131"/>
      <c r="K20" s="131" t="s">
        <v>91</v>
      </c>
      <c r="L20" s="131"/>
      <c r="M20" s="131"/>
      <c r="N20" s="131"/>
      <c r="O20" s="131"/>
      <c r="P20" s="131"/>
      <c r="Q20" s="131" t="s">
        <v>92</v>
      </c>
      <c r="R20" s="131"/>
      <c r="S20" s="131"/>
      <c r="T20" s="131"/>
      <c r="U20" s="131"/>
      <c r="V20" s="131"/>
    </row>
    <row r="21">
      <c r="B21" t="s">
        <v>3</v>
      </c>
      <c r="C21" t="s">
        <v>93</v>
      </c>
      <c r="D21" s="132">
        <v>2020</v>
      </c>
      <c r="E21" s="132">
        <v>2025</v>
      </c>
      <c r="F21" s="132">
        <v>2030</v>
      </c>
      <c r="G21" s="132">
        <v>2035</v>
      </c>
      <c r="H21" s="132">
        <v>2040</v>
      </c>
      <c r="I21" s="132">
        <v>2045</v>
      </c>
      <c r="J21" s="133">
        <v>2050</v>
      </c>
      <c r="K21" s="132">
        <v>2025</v>
      </c>
      <c r="L21" s="132">
        <v>2030</v>
      </c>
      <c r="M21" s="132">
        <v>2035</v>
      </c>
      <c r="N21" s="132">
        <v>2040</v>
      </c>
      <c r="O21" s="132">
        <v>2045</v>
      </c>
      <c r="P21" s="133">
        <v>2050</v>
      </c>
      <c r="Q21" s="132">
        <v>2025</v>
      </c>
      <c r="R21" s="132">
        <v>2030</v>
      </c>
      <c r="S21" s="132">
        <v>2035</v>
      </c>
      <c r="T21" s="132">
        <v>2040</v>
      </c>
      <c r="U21" s="132">
        <v>2045</v>
      </c>
      <c r="V21" s="133">
        <v>2050</v>
      </c>
    </row>
    <row r="22">
      <c r="B22" s="127" t="s">
        <v>22</v>
      </c>
      <c r="D22" s="134">
        <v>3.5700125703579801</v>
      </c>
      <c r="E22" s="134">
        <v>3.2996967329742701</v>
      </c>
      <c r="F22" s="134">
        <v>3.22175342713521</v>
      </c>
      <c r="G22" s="134">
        <v>3.1562413445919502</v>
      </c>
      <c r="H22" s="134">
        <v>3.1153021729638701</v>
      </c>
      <c r="I22" s="134">
        <v>3.0816548079461201</v>
      </c>
      <c r="J22" s="134">
        <v>3.0433020561147401</v>
      </c>
      <c r="K22" s="134">
        <f t="shared" ref="K22:P28" si="37">E22/$D22</f>
        <v>0.92428154465668888</v>
      </c>
      <c r="L22" s="134">
        <f t="shared" si="37"/>
        <v>0.90244876275383845</v>
      </c>
      <c r="M22" s="134">
        <f t="shared" si="37"/>
        <v>0.88409810396702904</v>
      </c>
      <c r="N22" s="134">
        <f t="shared" si="37"/>
        <v>0.87263058926750103</v>
      </c>
      <c r="O22" s="134">
        <f t="shared" si="37"/>
        <v>0.86320559023608978</v>
      </c>
      <c r="P22" s="134">
        <f t="shared" si="37"/>
        <v>0.85246256032358325</v>
      </c>
      <c r="Q22" s="134">
        <f t="shared" ref="Q22:Q26" si="38">K22+0.017</f>
        <v>0.9412815446566889</v>
      </c>
      <c r="R22" s="134">
        <f t="shared" ref="R22:R26" si="39">L22+0.027</f>
        <v>0.92944876275383848</v>
      </c>
      <c r="S22" s="134">
        <f t="shared" ref="S22:S26" si="40">M22+0.0395</f>
        <v>0.92359810396702902</v>
      </c>
      <c r="T22" s="134">
        <f t="shared" ref="T22:T26" si="41">N22+0.0585</f>
        <v>0.93113058926750103</v>
      </c>
      <c r="U22" s="134">
        <f t="shared" ref="U22:U26" si="42">O22+0.0796</f>
        <v>0.94280559023608979</v>
      </c>
      <c r="V22" s="134">
        <f t="shared" ref="V22:V26" si="43">P22+0.1</f>
        <v>0.95246256032358323</v>
      </c>
    </row>
    <row r="23">
      <c r="B23" s="127" t="s">
        <v>23</v>
      </c>
      <c r="D23" s="134">
        <v>37.402350687045001</v>
      </c>
      <c r="E23" s="134">
        <v>35.720653214871398</v>
      </c>
      <c r="F23" s="134">
        <v>36.0203887247403</v>
      </c>
      <c r="G23" s="134">
        <v>36.693133457604702</v>
      </c>
      <c r="H23" s="134">
        <v>37.813804981684001</v>
      </c>
      <c r="I23" s="134">
        <v>39.085526353625099</v>
      </c>
      <c r="J23" s="134">
        <v>40.3791177202285</v>
      </c>
      <c r="K23" s="134">
        <f t="shared" si="37"/>
        <v>0.95503765294740983</v>
      </c>
      <c r="L23" s="134">
        <f t="shared" si="37"/>
        <v>0.96305146770405081</v>
      </c>
      <c r="M23" s="134">
        <f t="shared" si="37"/>
        <v>0.98103816427543555</v>
      </c>
      <c r="N23" s="134">
        <f t="shared" si="37"/>
        <v>1.0110007603019859</v>
      </c>
      <c r="O23" s="134">
        <f t="shared" si="37"/>
        <v>1.0450018684831779</v>
      </c>
      <c r="P23" s="134">
        <f t="shared" si="37"/>
        <v>1.0795876991286153</v>
      </c>
      <c r="Q23" s="134">
        <f t="shared" si="38"/>
        <v>0.97203765294740985</v>
      </c>
      <c r="R23" s="134">
        <f t="shared" si="39"/>
        <v>0.99005146770405084</v>
      </c>
      <c r="S23" s="134">
        <f t="shared" si="40"/>
        <v>1.0205381642754356</v>
      </c>
      <c r="T23" s="134">
        <f t="shared" si="41"/>
        <v>1.0695007603019859</v>
      </c>
      <c r="U23" s="134">
        <f t="shared" si="42"/>
        <v>1.124601868483178</v>
      </c>
      <c r="V23" s="134">
        <f t="shared" si="43"/>
        <v>1.1795876991286154</v>
      </c>
    </row>
    <row r="24">
      <c r="B24" s="127" t="s">
        <v>24</v>
      </c>
      <c r="D24" s="134">
        <v>2.8732771731233901</v>
      </c>
      <c r="E24" s="134">
        <v>2.7053239916481302</v>
      </c>
      <c r="F24" s="134">
        <v>2.71231120131716</v>
      </c>
      <c r="G24" s="134">
        <v>2.70616917415553</v>
      </c>
      <c r="H24" s="134">
        <v>2.7062037855350298</v>
      </c>
      <c r="I24" s="134">
        <v>2.6983022063941</v>
      </c>
      <c r="J24" s="134">
        <v>2.6784942983283302</v>
      </c>
      <c r="K24" s="134">
        <f t="shared" si="37"/>
        <v>0.9415464741632682</v>
      </c>
      <c r="L24" s="134">
        <f t="shared" si="37"/>
        <v>0.94397826519769679</v>
      </c>
      <c r="M24" s="134">
        <f t="shared" si="37"/>
        <v>0.94184062695691639</v>
      </c>
      <c r="N24" s="134">
        <f t="shared" si="37"/>
        <v>0.94185267291608221</v>
      </c>
      <c r="O24" s="134">
        <f t="shared" si="37"/>
        <v>0.93910264962739953</v>
      </c>
      <c r="P24" s="134">
        <f t="shared" si="37"/>
        <v>0.93220881138197964</v>
      </c>
      <c r="Q24" s="134">
        <f t="shared" si="38"/>
        <v>0.95854647416326821</v>
      </c>
      <c r="R24" s="134">
        <f t="shared" si="39"/>
        <v>0.97097826519769681</v>
      </c>
      <c r="S24" s="134">
        <f t="shared" si="40"/>
        <v>0.98134062695691637</v>
      </c>
      <c r="T24" s="134">
        <f t="shared" si="41"/>
        <v>1.0003526729160823</v>
      </c>
      <c r="U24" s="134">
        <f t="shared" si="42"/>
        <v>1.0187026496273996</v>
      </c>
      <c r="V24" s="134">
        <f t="shared" si="43"/>
        <v>1.0322088113819796</v>
      </c>
    </row>
    <row r="25">
      <c r="B25" s="127" t="s">
        <v>25</v>
      </c>
      <c r="D25" s="134">
        <v>45.491181089476797</v>
      </c>
      <c r="E25" s="134">
        <v>47.489432229915103</v>
      </c>
      <c r="F25" s="134">
        <v>48.554973796202702</v>
      </c>
      <c r="G25" s="134">
        <v>50.353641313315102</v>
      </c>
      <c r="H25" s="134">
        <v>53.531223381880203</v>
      </c>
      <c r="I25" s="134">
        <v>57.847252362086799</v>
      </c>
      <c r="J25" s="134">
        <v>62.272120747303298</v>
      </c>
      <c r="K25" s="134">
        <f t="shared" si="37"/>
        <v>1.0439261213400448</v>
      </c>
      <c r="L25" s="134">
        <f t="shared" si="37"/>
        <v>1.0673491572069698</v>
      </c>
      <c r="M25" s="134">
        <f t="shared" si="37"/>
        <v>1.1068879749302247</v>
      </c>
      <c r="N25" s="134">
        <f t="shared" si="37"/>
        <v>1.1767384820497278</v>
      </c>
      <c r="O25" s="134">
        <f t="shared" si="37"/>
        <v>1.271614650943153</v>
      </c>
      <c r="P25" s="134">
        <f t="shared" si="37"/>
        <v>1.3688833583990707</v>
      </c>
      <c r="Q25" s="134">
        <f t="shared" si="38"/>
        <v>1.0609261213400447</v>
      </c>
      <c r="R25" s="134">
        <f t="shared" si="39"/>
        <v>1.0943491572069697</v>
      </c>
      <c r="S25" s="134">
        <f t="shared" si="40"/>
        <v>1.1463879749302248</v>
      </c>
      <c r="T25" s="134">
        <f t="shared" si="41"/>
        <v>1.2352384820497277</v>
      </c>
      <c r="U25" s="134">
        <f t="shared" si="42"/>
        <v>1.3512146509431529</v>
      </c>
      <c r="V25" s="134">
        <f t="shared" si="43"/>
        <v>1.4688833583990708</v>
      </c>
    </row>
    <row r="26">
      <c r="B26" s="127" t="s">
        <v>94</v>
      </c>
      <c r="D26" s="134">
        <v>128.933626055964</v>
      </c>
      <c r="E26" s="134">
        <v>135.569935139157</v>
      </c>
      <c r="F26" s="134">
        <v>139.74980797556699</v>
      </c>
      <c r="G26" s="134">
        <v>145.93917778420999</v>
      </c>
      <c r="H26" s="134">
        <v>156.79434791577501</v>
      </c>
      <c r="I26" s="134">
        <v>169.144030051763</v>
      </c>
      <c r="J26" s="134">
        <v>181.04522019280699</v>
      </c>
      <c r="K26" s="134">
        <f t="shared" si="37"/>
        <v>1.0514707395285112</v>
      </c>
      <c r="L26" s="134">
        <f t="shared" si="37"/>
        <v>1.0838895348751629</v>
      </c>
      <c r="M26" s="134">
        <f t="shared" si="37"/>
        <v>1.1318938452942033</v>
      </c>
      <c r="N26" s="134">
        <f t="shared" si="37"/>
        <v>1.2160857699582419</v>
      </c>
      <c r="O26" s="134">
        <f t="shared" si="37"/>
        <v>1.3118690230455907</v>
      </c>
      <c r="P26" s="134">
        <f t="shared" si="37"/>
        <v>1.404173804234931</v>
      </c>
      <c r="Q26" s="134">
        <f t="shared" si="38"/>
        <v>1.0684707395285111</v>
      </c>
      <c r="R26" s="134">
        <f t="shared" si="39"/>
        <v>1.1108895348751628</v>
      </c>
      <c r="S26" s="134">
        <f t="shared" si="40"/>
        <v>1.1713938452942034</v>
      </c>
      <c r="T26" s="134">
        <f t="shared" si="41"/>
        <v>1.2745857699582419</v>
      </c>
      <c r="U26" s="134">
        <f t="shared" si="42"/>
        <v>1.3914690230455906</v>
      </c>
      <c r="V26" s="134">
        <f t="shared" si="43"/>
        <v>1.5041738042349311</v>
      </c>
    </row>
    <row r="27">
      <c r="B27" t="s">
        <v>95</v>
      </c>
      <c r="D27" s="134">
        <v>235.2055540394</v>
      </c>
      <c r="E27" s="134">
        <v>242.31734896617399</v>
      </c>
      <c r="F27" s="134">
        <v>248.41423413784</v>
      </c>
      <c r="G27" s="134">
        <v>257.83707231161299</v>
      </c>
      <c r="H27" s="134">
        <v>274.24405717312601</v>
      </c>
      <c r="I27" s="134">
        <v>293.70727789824798</v>
      </c>
      <c r="J27" s="134">
        <v>312.83006471911199</v>
      </c>
      <c r="K27" s="134">
        <f t="shared" si="37"/>
        <v>1.0302365093197701</v>
      </c>
      <c r="L27" s="134">
        <f t="shared" si="37"/>
        <v>1.0561580280380087</v>
      </c>
      <c r="M27" s="134">
        <f t="shared" si="37"/>
        <v>1.0962201694795946</v>
      </c>
      <c r="N27" s="134">
        <f t="shared" si="37"/>
        <v>1.1659761109518125</v>
      </c>
      <c r="O27" s="134">
        <f t="shared" si="37"/>
        <v>1.2487259456851438</v>
      </c>
      <c r="P27" s="134">
        <f t="shared" si="37"/>
        <v>1.3300283915349587</v>
      </c>
      <c r="Q27" s="134"/>
      <c r="R27" s="134"/>
      <c r="S27" s="134"/>
      <c r="T27" s="134"/>
      <c r="U27" s="134"/>
      <c r="V27" s="134"/>
    </row>
    <row r="28">
      <c r="B28" s="127" t="s">
        <v>29</v>
      </c>
      <c r="D28" s="134">
        <v>106.7</v>
      </c>
      <c r="E28" s="134">
        <v>115.224526796836</v>
      </c>
      <c r="F28" s="134">
        <v>117.81856254807499</v>
      </c>
      <c r="G28" s="134">
        <v>121.79677605641299</v>
      </c>
      <c r="H28" s="134">
        <v>127.797797959314</v>
      </c>
      <c r="I28" s="134">
        <v>135.10475704922101</v>
      </c>
      <c r="J28" s="134">
        <v>142.308376006294</v>
      </c>
      <c r="K28" s="134">
        <f t="shared" si="37"/>
        <v>1.0798924723227366</v>
      </c>
      <c r="L28" s="134">
        <f t="shared" si="37"/>
        <v>1.1042039601506559</v>
      </c>
      <c r="M28" s="134">
        <f t="shared" si="37"/>
        <v>1.1414880605099624</v>
      </c>
      <c r="N28" s="134">
        <f t="shared" si="37"/>
        <v>1.1977300652231864</v>
      </c>
      <c r="O28" s="134">
        <f t="shared" si="37"/>
        <v>1.2662114062719869</v>
      </c>
      <c r="P28" s="134">
        <f t="shared" si="37"/>
        <v>1.3337242362351827</v>
      </c>
      <c r="Q28" s="134">
        <f t="shared" ref="Q28:V28" si="44">K28</f>
        <v>1.0798924723227366</v>
      </c>
      <c r="R28" s="134">
        <f t="shared" si="44"/>
        <v>1.1042039601506559</v>
      </c>
      <c r="S28" s="134">
        <f t="shared" si="44"/>
        <v>1.1414880605099624</v>
      </c>
      <c r="T28" s="134">
        <f t="shared" si="44"/>
        <v>1.1977300652231864</v>
      </c>
      <c r="U28" s="134">
        <f t="shared" si="44"/>
        <v>1.2662114062719869</v>
      </c>
      <c r="V28" s="134">
        <f t="shared" si="44"/>
        <v>1.3337242362351827</v>
      </c>
    </row>
    <row r="31">
      <c r="B31" t="s">
        <v>93</v>
      </c>
      <c r="C31" s="7">
        <v>2019</v>
      </c>
      <c r="D31" s="7">
        <v>2020</v>
      </c>
      <c r="E31" s="132">
        <v>2025</v>
      </c>
      <c r="F31" s="132">
        <v>2030</v>
      </c>
      <c r="G31" s="132">
        <v>2035</v>
      </c>
      <c r="H31" s="132">
        <v>2040</v>
      </c>
      <c r="I31" s="132">
        <v>2045</v>
      </c>
      <c r="J31" s="133">
        <v>2050</v>
      </c>
    </row>
    <row r="32">
      <c r="B32" s="127" t="s">
        <v>22</v>
      </c>
      <c r="C32" s="31">
        <f t="shared" ref="C32:D37" si="45">G8</f>
        <v>25.805907999999999</v>
      </c>
      <c r="D32" s="31">
        <f t="shared" si="45"/>
        <v>23.35434674</v>
      </c>
      <c r="E32" s="134">
        <f t="shared" ref="E32:J36" si="46">$D32*Q22</f>
        <v>21.983015573875107</v>
      </c>
      <c r="F32" s="134">
        <f t="shared" si="46"/>
        <v>21.706668682417142</v>
      </c>
      <c r="G32" s="134">
        <f t="shared" si="46"/>
        <v>21.570030368452567</v>
      </c>
      <c r="H32" s="134">
        <f t="shared" si="46"/>
        <v>21.745946641973742</v>
      </c>
      <c r="I32" s="134">
        <f t="shared" si="46"/>
        <v>22.018608662784001</v>
      </c>
      <c r="J32" s="134">
        <f t="shared" si="46"/>
        <v>22.244140890665129</v>
      </c>
    </row>
    <row r="33">
      <c r="B33" s="127" t="s">
        <v>23</v>
      </c>
      <c r="C33" s="31">
        <f t="shared" si="45"/>
        <v>47.173411999999999</v>
      </c>
      <c r="D33" s="31">
        <f t="shared" si="45"/>
        <v>34.146974</v>
      </c>
      <c r="E33" s="134">
        <f t="shared" si="46"/>
        <v>33.192144462216227</v>
      </c>
      <c r="F33" s="134">
        <f t="shared" si="46"/>
        <v>33.807261726352067</v>
      </c>
      <c r="G33" s="134">
        <f t="shared" si="46"/>
        <v>34.848290161521028</v>
      </c>
      <c r="H33" s="134">
        <f t="shared" si="46"/>
        <v>36.520214655012147</v>
      </c>
      <c r="I33" s="134">
        <f t="shared" si="46"/>
        <v>38.401750763446501</v>
      </c>
      <c r="J33" s="134">
        <f t="shared" si="46"/>
        <v>40.279350492864651</v>
      </c>
    </row>
    <row r="34">
      <c r="B34" s="127" t="s">
        <v>24</v>
      </c>
      <c r="C34" s="31">
        <f t="shared" si="45"/>
        <v>8.3584969999999998</v>
      </c>
      <c r="D34" s="31">
        <f t="shared" si="45"/>
        <v>7.5644397850000002</v>
      </c>
      <c r="E34" s="134">
        <f t="shared" si="46"/>
        <v>7.2508670849321009</v>
      </c>
      <c r="F34" s="134">
        <f t="shared" si="46"/>
        <v>7.3449066196317387</v>
      </c>
      <c r="G34" s="134">
        <f t="shared" si="46"/>
        <v>7.423292081189742</v>
      </c>
      <c r="H34" s="134">
        <f t="shared" si="46"/>
        <v>7.5671075580375051</v>
      </c>
      <c r="I34" s="134">
        <f t="shared" si="46"/>
        <v>7.7059148519264173</v>
      </c>
      <c r="J34" s="134">
        <f t="shared" si="46"/>
        <v>7.8080813992454079</v>
      </c>
    </row>
    <row r="35">
      <c r="B35" s="127" t="s">
        <v>25</v>
      </c>
      <c r="C35" s="31">
        <f t="shared" si="45"/>
        <v>45.598266000000002</v>
      </c>
      <c r="D35" s="31">
        <f t="shared" si="45"/>
        <v>44.167665</v>
      </c>
      <c r="E35" s="134">
        <f t="shared" si="46"/>
        <v>46.858629517096446</v>
      </c>
      <c r="F35" s="134">
        <f t="shared" si="46"/>
        <v>48.334846968549769</v>
      </c>
      <c r="G35" s="134">
        <f t="shared" si="46"/>
        <v>50.633280036746569</v>
      </c>
      <c r="H35" s="134">
        <f t="shared" si="46"/>
        <v>54.557599470280891</v>
      </c>
      <c r="I35" s="134">
        <f t="shared" si="46"/>
        <v>59.67999604594911</v>
      </c>
      <c r="J35" s="134">
        <f t="shared" si="46"/>
        <v>64.877148097845094</v>
      </c>
    </row>
    <row r="36">
      <c r="B36" s="127" t="s">
        <v>26</v>
      </c>
      <c r="C36" s="31">
        <f t="shared" si="45"/>
        <v>63.615233999999994</v>
      </c>
      <c r="D36" s="31">
        <f t="shared" si="45"/>
        <v>57.571786769999996</v>
      </c>
      <c r="E36" s="134">
        <f t="shared" si="46"/>
        <v>61.513769586119651</v>
      </c>
      <c r="F36" s="134">
        <f t="shared" si="46"/>
        <v>63.955895426857346</v>
      </c>
      <c r="G36" s="134">
        <f t="shared" si="46"/>
        <v>67.439236684968236</v>
      </c>
      <c r="H36" s="134">
        <f t="shared" si="46"/>
        <v>73.380180168112176</v>
      </c>
      <c r="I36" s="134">
        <f t="shared" si="46"/>
        <v>80.109357891840958</v>
      </c>
      <c r="J36" s="134">
        <f t="shared" si="46"/>
        <v>86.597973522433165</v>
      </c>
    </row>
    <row r="37">
      <c r="B37" s="127" t="s">
        <v>27</v>
      </c>
      <c r="C37" s="31">
        <f t="shared" si="45"/>
        <v>23.721858999999998</v>
      </c>
      <c r="D37" s="31">
        <f t="shared" si="45"/>
        <v>21.468282394999999</v>
      </c>
      <c r="E37" s="134">
        <f t="shared" ref="E37:J37" si="47">$D37*Q26</f>
        <v>22.938231566992567</v>
      </c>
      <c r="F37" s="134">
        <f t="shared" si="47"/>
        <v>23.848890244350198</v>
      </c>
      <c r="G37" s="134">
        <f t="shared" si="47"/>
        <v>25.147813866540901</v>
      </c>
      <c r="H37" s="134">
        <f t="shared" si="47"/>
        <v>27.363167246112045</v>
      </c>
      <c r="I37" s="134">
        <f t="shared" si="47"/>
        <v>29.872449930637501</v>
      </c>
      <c r="J37" s="134">
        <f t="shared" si="47"/>
        <v>32.292028000476947</v>
      </c>
    </row>
    <row r="38">
      <c r="B38" s="7" t="s">
        <v>28</v>
      </c>
      <c r="C38" s="11">
        <f t="shared" ref="C38:J38" si="48">SUM(C32:C37)</f>
        <v>214.27317599999998</v>
      </c>
      <c r="D38" s="11">
        <f t="shared" si="48"/>
        <v>188.27349468999998</v>
      </c>
      <c r="E38" s="11">
        <f t="shared" si="48"/>
        <v>193.73665779123209</v>
      </c>
      <c r="F38" s="11">
        <f t="shared" si="48"/>
        <v>198.99846966815826</v>
      </c>
      <c r="G38" s="11">
        <f t="shared" si="48"/>
        <v>207.06194319941903</v>
      </c>
      <c r="H38" s="11">
        <f t="shared" si="48"/>
        <v>221.13421573952851</v>
      </c>
      <c r="I38" s="11">
        <f t="shared" si="48"/>
        <v>237.7880781465845</v>
      </c>
      <c r="J38" s="11">
        <f t="shared" si="48"/>
        <v>254.09872240353036</v>
      </c>
    </row>
    <row r="39">
      <c r="B39" s="135" t="s">
        <v>29</v>
      </c>
      <c r="C39" s="31">
        <f>G15</f>
        <v>114.881552</v>
      </c>
      <c r="D39" s="31">
        <f>H15</f>
        <v>96.546553000000003</v>
      </c>
      <c r="E39" s="134">
        <f t="shared" ref="E39:J39" si="49">$D39*K28</f>
        <v>104.25989581340812</v>
      </c>
      <c r="F39" s="134">
        <f t="shared" si="49"/>
        <v>106.60708616149519</v>
      </c>
      <c r="G39" s="134">
        <f t="shared" si="49"/>
        <v>110.2067375328923</v>
      </c>
      <c r="H39" s="134">
        <f t="shared" si="49"/>
        <v>115.63670922176382</v>
      </c>
      <c r="I39" s="134">
        <f t="shared" si="49"/>
        <v>122.24834664484293</v>
      </c>
      <c r="J39" s="134">
        <f t="shared" si="49"/>
        <v>128.76647766106458</v>
      </c>
    </row>
    <row r="40">
      <c r="E40" s="136">
        <f t="shared" ref="E40:J40" si="50">$D38*K27</f>
        <v>193.96622796685983</v>
      </c>
      <c r="F40" s="136">
        <f t="shared" si="50"/>
        <v>198.84656288361489</v>
      </c>
      <c r="G40" s="136">
        <f t="shared" si="50"/>
        <v>206.38920225758733</v>
      </c>
      <c r="H40" s="136">
        <f t="shared" si="50"/>
        <v>219.52239713395289</v>
      </c>
      <c r="I40" s="136">
        <f t="shared" si="50"/>
        <v>235.10199770421713</v>
      </c>
      <c r="J40" s="136">
        <f t="shared" si="50"/>
        <v>250.40909331120625</v>
      </c>
    </row>
    <row r="45">
      <c r="B45" s="3" t="s">
        <v>96</v>
      </c>
      <c r="C45" s="3"/>
      <c r="D45" s="3"/>
      <c r="E45" s="3"/>
      <c r="G45" t="s">
        <v>97</v>
      </c>
    </row>
    <row r="48">
      <c r="B48" t="s">
        <v>98</v>
      </c>
      <c r="C48">
        <v>2019</v>
      </c>
      <c r="D48" s="64">
        <v>2020</v>
      </c>
      <c r="E48" s="64">
        <v>2025</v>
      </c>
      <c r="F48">
        <v>2030</v>
      </c>
      <c r="G48" s="64">
        <v>2035</v>
      </c>
      <c r="H48" s="64">
        <v>2040</v>
      </c>
      <c r="I48" s="64">
        <v>2045</v>
      </c>
      <c r="J48">
        <v>2050</v>
      </c>
      <c r="K48" t="s">
        <v>99</v>
      </c>
      <c r="N48" t="s">
        <v>100</v>
      </c>
      <c r="O48">
        <v>2019</v>
      </c>
      <c r="P48" s="64">
        <v>2020</v>
      </c>
      <c r="Q48" s="64">
        <v>2025</v>
      </c>
      <c r="R48">
        <v>2030</v>
      </c>
      <c r="S48" s="64">
        <v>2035</v>
      </c>
      <c r="T48" s="64">
        <v>2040</v>
      </c>
      <c r="U48" s="64">
        <v>2045</v>
      </c>
      <c r="V48">
        <v>2050</v>
      </c>
    </row>
    <row r="49">
      <c r="B49" s="44" t="s">
        <v>22</v>
      </c>
      <c r="C49" s="81">
        <v>0.92552547736913704</v>
      </c>
      <c r="D49" s="137">
        <f t="shared" ref="D49:D54" si="51">C49+(F49-C49)*1/11</f>
        <v>0.9068413430628518</v>
      </c>
      <c r="E49" s="137">
        <f t="shared" ref="E49:E54" si="52">C49+(F49-C49)*6/11</f>
        <v>0.81342067153142594</v>
      </c>
      <c r="F49" s="81">
        <v>0.71999999999999997</v>
      </c>
      <c r="G49" s="137">
        <f t="shared" ref="G49:G54" si="53">F49+(J49-F49)*5/20</f>
        <v>0.67500000000000004</v>
      </c>
      <c r="H49" s="137">
        <f t="shared" ref="H49:H54" si="54">F49+(J49-F49)*10/20</f>
        <v>0.63</v>
      </c>
      <c r="I49" s="137">
        <f t="shared" ref="I49:I54" si="55">F49+(J49-F49)*15/20</f>
        <v>0.58499999999999996</v>
      </c>
      <c r="J49" s="81">
        <v>0.54000000000000004</v>
      </c>
      <c r="K49" t="s">
        <v>101</v>
      </c>
      <c r="N49" s="44" t="s">
        <v>22</v>
      </c>
      <c r="O49" s="81">
        <f t="shared" ref="O49:V56" si="56">C49/$C49</f>
        <v>1</v>
      </c>
      <c r="P49" s="81">
        <f t="shared" si="56"/>
        <v>0.97981240412808945</v>
      </c>
      <c r="Q49" s="81">
        <f t="shared" si="56"/>
        <v>0.87887442476853705</v>
      </c>
      <c r="R49" s="81">
        <f t="shared" si="56"/>
        <v>0.77793644540898443</v>
      </c>
      <c r="S49" s="81">
        <f t="shared" si="56"/>
        <v>0.729315417570923</v>
      </c>
      <c r="T49" s="81">
        <f t="shared" si="56"/>
        <v>0.68069438973286145</v>
      </c>
      <c r="U49" s="81">
        <f t="shared" si="56"/>
        <v>0.6320733618947999</v>
      </c>
      <c r="V49" s="81">
        <f t="shared" si="56"/>
        <v>0.58345233405673846</v>
      </c>
    </row>
    <row r="50">
      <c r="B50" s="44" t="s">
        <v>23</v>
      </c>
      <c r="C50" s="81">
        <v>1.0186421329141899</v>
      </c>
      <c r="D50" s="137">
        <f t="shared" si="51"/>
        <v>1.0133110299219907</v>
      </c>
      <c r="E50" s="137">
        <f t="shared" si="52"/>
        <v>0.98665551496099535</v>
      </c>
      <c r="F50" s="81">
        <v>0.95999999999999996</v>
      </c>
      <c r="G50" s="137">
        <f t="shared" si="53"/>
        <v>0.94999999999999996</v>
      </c>
      <c r="H50" s="137">
        <f t="shared" si="54"/>
        <v>0.93999999999999995</v>
      </c>
      <c r="I50" s="137">
        <f t="shared" si="55"/>
        <v>0.93000000000000005</v>
      </c>
      <c r="J50" s="81">
        <v>0.92000000000000004</v>
      </c>
      <c r="N50" s="44" t="s">
        <v>23</v>
      </c>
      <c r="O50" s="81">
        <f t="shared" si="56"/>
        <v>1</v>
      </c>
      <c r="P50" s="81">
        <f t="shared" si="56"/>
        <v>0.99476646133127478</v>
      </c>
      <c r="Q50" s="81">
        <f t="shared" si="56"/>
        <v>0.96859876798764899</v>
      </c>
      <c r="R50" s="81">
        <f t="shared" si="56"/>
        <v>0.9424310746440232</v>
      </c>
      <c r="S50" s="81">
        <f t="shared" si="56"/>
        <v>0.93261408428314796</v>
      </c>
      <c r="T50" s="81">
        <f t="shared" si="56"/>
        <v>0.92279709392227272</v>
      </c>
      <c r="U50" s="81">
        <f t="shared" si="56"/>
        <v>0.91298010356139758</v>
      </c>
      <c r="V50" s="81">
        <f t="shared" si="56"/>
        <v>0.90316311320052234</v>
      </c>
    </row>
    <row r="51">
      <c r="B51" s="44" t="s">
        <v>24</v>
      </c>
      <c r="C51" s="81">
        <v>0.733860088587031</v>
      </c>
      <c r="D51" s="137">
        <f t="shared" si="51"/>
        <v>0.72169098962457368</v>
      </c>
      <c r="E51" s="137">
        <f t="shared" si="52"/>
        <v>0.66084549481228683</v>
      </c>
      <c r="F51" s="81">
        <v>0.59999999999999998</v>
      </c>
      <c r="G51" s="137">
        <f t="shared" si="53"/>
        <v>0.53500000000000003</v>
      </c>
      <c r="H51" s="137">
        <f t="shared" si="54"/>
        <v>0.46999999999999997</v>
      </c>
      <c r="I51" s="137">
        <f t="shared" si="55"/>
        <v>0.40500000000000003</v>
      </c>
      <c r="J51" s="81">
        <v>0.34000000000000002</v>
      </c>
      <c r="N51" s="44" t="s">
        <v>24</v>
      </c>
      <c r="O51" s="81">
        <f t="shared" si="56"/>
        <v>1</v>
      </c>
      <c r="P51" s="81">
        <f t="shared" si="56"/>
        <v>0.98341768526220352</v>
      </c>
      <c r="Q51" s="81">
        <f t="shared" si="56"/>
        <v>0.90050611157322102</v>
      </c>
      <c r="R51" s="81">
        <f t="shared" si="56"/>
        <v>0.81759453788423853</v>
      </c>
      <c r="S51" s="81">
        <f t="shared" si="56"/>
        <v>0.72902179628011277</v>
      </c>
      <c r="T51" s="81">
        <f t="shared" si="56"/>
        <v>0.6404490546759869</v>
      </c>
      <c r="U51" s="81">
        <f t="shared" si="56"/>
        <v>0.55187631307186102</v>
      </c>
      <c r="V51" s="81">
        <f t="shared" si="56"/>
        <v>0.46330357146773521</v>
      </c>
    </row>
    <row r="52">
      <c r="B52" s="44" t="s">
        <v>25</v>
      </c>
      <c r="C52" s="81">
        <v>0.75483998978846301</v>
      </c>
      <c r="D52" s="137">
        <f t="shared" si="51"/>
        <v>0.74621817253496636</v>
      </c>
      <c r="E52" s="137">
        <f t="shared" si="52"/>
        <v>0.70310908626748325</v>
      </c>
      <c r="F52" s="81">
        <v>0.66000000000000003</v>
      </c>
      <c r="G52" s="137">
        <f t="shared" si="53"/>
        <v>0.59999999999999998</v>
      </c>
      <c r="H52" s="137">
        <f t="shared" si="54"/>
        <v>0.54000000000000004</v>
      </c>
      <c r="I52" s="137">
        <f t="shared" si="55"/>
        <v>0.47999999999999998</v>
      </c>
      <c r="J52" s="81">
        <v>0.41999999999999998</v>
      </c>
      <c r="N52" s="44" t="s">
        <v>25</v>
      </c>
      <c r="O52" s="81">
        <f t="shared" si="56"/>
        <v>1</v>
      </c>
      <c r="P52" s="81">
        <f t="shared" si="56"/>
        <v>0.98857795377810753</v>
      </c>
      <c r="Q52" s="81">
        <f t="shared" si="56"/>
        <v>0.93146772266864553</v>
      </c>
      <c r="R52" s="81">
        <f t="shared" si="56"/>
        <v>0.8743574915591833</v>
      </c>
      <c r="S52" s="81">
        <f t="shared" si="56"/>
        <v>0.79487044687198471</v>
      </c>
      <c r="T52" s="81">
        <f t="shared" si="56"/>
        <v>0.71538340218478635</v>
      </c>
      <c r="U52" s="81">
        <f t="shared" si="56"/>
        <v>0.63589635749758777</v>
      </c>
      <c r="V52" s="81">
        <f t="shared" si="56"/>
        <v>0.5564093128103893</v>
      </c>
    </row>
    <row r="53">
      <c r="B53" s="44" t="s">
        <v>26</v>
      </c>
      <c r="C53" s="81">
        <v>0.83999999999999997</v>
      </c>
      <c r="D53" s="137">
        <f t="shared" si="51"/>
        <v>0.83181818181818179</v>
      </c>
      <c r="E53" s="137">
        <f t="shared" si="52"/>
        <v>0.79090909090909089</v>
      </c>
      <c r="F53" s="81">
        <v>0.75</v>
      </c>
      <c r="G53" s="137">
        <f t="shared" si="53"/>
        <v>0.70250000000000001</v>
      </c>
      <c r="H53" s="137">
        <f t="shared" si="54"/>
        <v>0.65500000000000003</v>
      </c>
      <c r="I53" s="137">
        <f t="shared" si="55"/>
        <v>0.60750000000000004</v>
      </c>
      <c r="J53" s="81">
        <v>0.56000000000000005</v>
      </c>
      <c r="K53" t="s">
        <v>102</v>
      </c>
      <c r="N53" s="44" t="s">
        <v>26</v>
      </c>
      <c r="O53" s="81">
        <f t="shared" si="56"/>
        <v>1</v>
      </c>
      <c r="P53" s="81">
        <f t="shared" si="56"/>
        <v>0.99025974025974028</v>
      </c>
      <c r="Q53" s="81">
        <f t="shared" si="56"/>
        <v>0.94155844155844159</v>
      </c>
      <c r="R53" s="81">
        <f t="shared" si="56"/>
        <v>0.8928571428571429</v>
      </c>
      <c r="S53" s="81">
        <f t="shared" si="56"/>
        <v>0.83630952380952384</v>
      </c>
      <c r="T53" s="81">
        <f t="shared" si="56"/>
        <v>0.77976190476190477</v>
      </c>
      <c r="U53" s="81">
        <f t="shared" si="56"/>
        <v>0.72321428571428581</v>
      </c>
      <c r="V53" s="81">
        <f t="shared" si="56"/>
        <v>0.66666666666666674</v>
      </c>
    </row>
    <row r="54">
      <c r="B54" s="44" t="s">
        <v>27</v>
      </c>
      <c r="C54" s="81">
        <v>0.80000000000000004</v>
      </c>
      <c r="D54" s="137">
        <f t="shared" si="51"/>
        <v>0.79272727272727272</v>
      </c>
      <c r="E54" s="137">
        <f t="shared" si="52"/>
        <v>0.75636363636363635</v>
      </c>
      <c r="F54" s="81">
        <v>0.71999999999999997</v>
      </c>
      <c r="G54" s="137">
        <f t="shared" si="53"/>
        <v>0.66749999999999998</v>
      </c>
      <c r="H54" s="137">
        <f t="shared" si="54"/>
        <v>0.61499999999999999</v>
      </c>
      <c r="I54" s="137">
        <f t="shared" si="55"/>
        <v>0.5625</v>
      </c>
      <c r="J54" s="81">
        <v>0.51000000000000001</v>
      </c>
      <c r="K54" t="s">
        <v>103</v>
      </c>
      <c r="N54" s="44" t="s">
        <v>27</v>
      </c>
      <c r="O54" s="81">
        <f t="shared" si="56"/>
        <v>1</v>
      </c>
      <c r="P54" s="81">
        <f t="shared" si="56"/>
        <v>0.99090909090909085</v>
      </c>
      <c r="Q54" s="81">
        <f t="shared" si="56"/>
        <v>0.94545454545454544</v>
      </c>
      <c r="R54" s="81">
        <f t="shared" si="56"/>
        <v>0.89999999999999991</v>
      </c>
      <c r="S54" s="81">
        <f t="shared" si="56"/>
        <v>0.83437499999999998</v>
      </c>
      <c r="T54" s="81">
        <f t="shared" si="56"/>
        <v>0.76874999999999993</v>
      </c>
      <c r="U54" s="81">
        <f t="shared" si="56"/>
        <v>0.703125</v>
      </c>
      <c r="V54" s="81">
        <f t="shared" si="56"/>
        <v>0.63749999999999996</v>
      </c>
    </row>
    <row r="55">
      <c r="B55" s="44" t="s">
        <v>28</v>
      </c>
      <c r="C55" s="138">
        <f t="shared" ref="C55:J55" si="57">SUMPRODUCT(C32:C37,C49:C54)/C38</f>
        <v>0.8629381406464518</v>
      </c>
      <c r="D55" s="138">
        <f t="shared" si="57"/>
        <v>0.84507831047961546</v>
      </c>
      <c r="E55" s="138">
        <f t="shared" si="57"/>
        <v>0.79680597512601681</v>
      </c>
      <c r="F55" s="138">
        <f t="shared" si="57"/>
        <v>0.75141200068063452</v>
      </c>
      <c r="G55" s="138">
        <f t="shared" si="57"/>
        <v>0.70596896129752573</v>
      </c>
      <c r="H55" s="138">
        <f t="shared" si="57"/>
        <v>0.65995647848886674</v>
      </c>
      <c r="I55" s="138">
        <f t="shared" si="57"/>
        <v>0.61328346247114529</v>
      </c>
      <c r="J55" s="138">
        <f t="shared" si="57"/>
        <v>0.56645616515716513</v>
      </c>
      <c r="K55" t="s">
        <v>104</v>
      </c>
      <c r="N55" s="44" t="s">
        <v>28</v>
      </c>
      <c r="O55" s="81">
        <f t="shared" si="56"/>
        <v>1</v>
      </c>
      <c r="P55" s="81">
        <f t="shared" si="56"/>
        <v>0.97930346414697</v>
      </c>
      <c r="Q55" s="81">
        <f t="shared" si="56"/>
        <v>0.92336395576293162</v>
      </c>
      <c r="R55" s="81">
        <f t="shared" si="56"/>
        <v>0.87075998300148161</v>
      </c>
      <c r="S55" s="81">
        <f t="shared" si="56"/>
        <v>0.8180991522389589</v>
      </c>
      <c r="T55" s="81">
        <f t="shared" si="56"/>
        <v>0.76477843243140731</v>
      </c>
      <c r="U55" s="81">
        <f t="shared" si="56"/>
        <v>0.71069226585780176</v>
      </c>
      <c r="V55" s="81">
        <f t="shared" si="56"/>
        <v>0.6564273132403402</v>
      </c>
    </row>
    <row r="56">
      <c r="B56" s="139" t="s">
        <v>29</v>
      </c>
      <c r="C56" s="138">
        <v>1</v>
      </c>
      <c r="D56" s="140">
        <v>1</v>
      </c>
      <c r="E56" s="140">
        <v>1</v>
      </c>
      <c r="F56" s="138">
        <v>1</v>
      </c>
      <c r="G56" s="140">
        <v>1</v>
      </c>
      <c r="H56" s="140">
        <v>1</v>
      </c>
      <c r="I56" s="140">
        <v>1</v>
      </c>
      <c r="J56">
        <v>1</v>
      </c>
      <c r="N56" s="139" t="s">
        <v>29</v>
      </c>
      <c r="O56" s="81">
        <f t="shared" si="56"/>
        <v>1</v>
      </c>
      <c r="P56" s="81">
        <f t="shared" si="56"/>
        <v>1</v>
      </c>
      <c r="Q56" s="81">
        <f t="shared" si="56"/>
        <v>1</v>
      </c>
      <c r="R56" s="81">
        <f t="shared" si="56"/>
        <v>1</v>
      </c>
      <c r="S56" s="81">
        <f t="shared" si="56"/>
        <v>1</v>
      </c>
      <c r="T56" s="81">
        <f t="shared" si="56"/>
        <v>1</v>
      </c>
      <c r="U56" s="81">
        <f t="shared" si="56"/>
        <v>1</v>
      </c>
      <c r="V56" s="81">
        <f t="shared" si="56"/>
        <v>1</v>
      </c>
    </row>
    <row r="60">
      <c r="B60" s="3" t="s">
        <v>105</v>
      </c>
      <c r="C60" s="3"/>
      <c r="D60" s="3"/>
      <c r="E60" s="3"/>
    </row>
    <row r="62">
      <c r="B62" t="s">
        <v>3</v>
      </c>
      <c r="C62" s="7">
        <v>2019</v>
      </c>
      <c r="D62" s="7">
        <v>2020</v>
      </c>
      <c r="E62" s="132">
        <v>2025</v>
      </c>
      <c r="F62" s="132">
        <v>2030</v>
      </c>
      <c r="G62" s="132">
        <v>2035</v>
      </c>
      <c r="H62" s="132">
        <v>2040</v>
      </c>
      <c r="I62" s="132">
        <v>2045</v>
      </c>
      <c r="J62" s="133">
        <v>2050</v>
      </c>
    </row>
    <row r="63">
      <c r="B63" s="44" t="s">
        <v>22</v>
      </c>
      <c r="C63" s="126">
        <f t="shared" ref="C63:J70" si="58">C32*O49</f>
        <v>25.805907999999999</v>
      </c>
      <c r="D63" s="126">
        <f t="shared" si="58"/>
        <v>22.882878626160409</v>
      </c>
      <c r="E63" s="126">
        <f t="shared" si="58"/>
        <v>19.320310167167275</v>
      </c>
      <c r="F63" s="126">
        <f t="shared" si="58"/>
        <v>16.886408676470115</v>
      </c>
      <c r="G63" s="126">
        <f t="shared" si="58"/>
        <v>15.731355705185473</v>
      </c>
      <c r="H63" s="126">
        <f t="shared" si="58"/>
        <v>14.802343878621684</v>
      </c>
      <c r="I63" s="126">
        <f t="shared" si="58"/>
        <v>13.917376001731848</v>
      </c>
      <c r="J63" s="126">
        <f t="shared" si="58"/>
        <v>12.978395921745507</v>
      </c>
    </row>
    <row r="64">
      <c r="B64" s="44" t="s">
        <v>23</v>
      </c>
      <c r="C64" s="126">
        <f t="shared" si="58"/>
        <v>47.173411999999999</v>
      </c>
      <c r="D64" s="126">
        <f t="shared" si="58"/>
        <v>33.968264491151047</v>
      </c>
      <c r="E64" s="126">
        <f t="shared" si="58"/>
        <v>32.149870232970706</v>
      </c>
      <c r="F64" s="126">
        <f t="shared" si="58"/>
        <v>31.861013999537732</v>
      </c>
      <c r="G64" s="126">
        <f t="shared" si="58"/>
        <v>32.500006217820371</v>
      </c>
      <c r="H64" s="126">
        <f t="shared" si="58"/>
        <v>33.700747953062802</v>
      </c>
      <c r="I64" s="126">
        <f t="shared" si="58"/>
        <v>35.060034388950363</v>
      </c>
      <c r="J64" s="126">
        <f t="shared" si="58"/>
        <v>36.378823588830635</v>
      </c>
    </row>
    <row r="65">
      <c r="B65" s="44" t="s">
        <v>24</v>
      </c>
      <c r="C65" s="126">
        <f t="shared" si="58"/>
        <v>8.3584969999999998</v>
      </c>
      <c r="D65" s="126">
        <f t="shared" si="58"/>
        <v>7.4390038636700204</v>
      </c>
      <c r="E65" s="126">
        <f t="shared" si="58"/>
        <v>6.5294501241864626</v>
      </c>
      <c r="F65" s="126">
        <f t="shared" si="58"/>
        <v>6.0051555334806963</v>
      </c>
      <c r="G65" s="126">
        <f t="shared" si="58"/>
        <v>5.4117417273408828</v>
      </c>
      <c r="H65" s="126">
        <f t="shared" si="58"/>
        <v>4.8463468821766362</v>
      </c>
      <c r="I65" s="126">
        <f t="shared" si="58"/>
        <v>4.2527118773268473</v>
      </c>
      <c r="J65" s="126">
        <f t="shared" si="58"/>
        <v>3.6175119985811888</v>
      </c>
    </row>
    <row r="66">
      <c r="B66" s="44" t="s">
        <v>25</v>
      </c>
      <c r="C66" s="126">
        <f t="shared" si="58"/>
        <v>45.598266000000002</v>
      </c>
      <c r="D66" s="126">
        <f t="shared" si="58"/>
        <v>43.663179888856938</v>
      </c>
      <c r="E66" s="126">
        <f t="shared" si="58"/>
        <v>43.6473009236636</v>
      </c>
      <c r="F66" s="126">
        <f t="shared" si="58"/>
        <v>42.261935550318171</v>
      </c>
      <c r="G66" s="126">
        <f t="shared" si="58"/>
        <v>40.24689792940309</v>
      </c>
      <c r="H66" s="126">
        <f t="shared" si="58"/>
        <v>39.029601124084444</v>
      </c>
      <c r="I66" s="126">
        <f t="shared" si="58"/>
        <v>37.950292101089481</v>
      </c>
      <c r="J66" s="126">
        <f t="shared" si="58"/>
        <v>36.098249390219841</v>
      </c>
    </row>
    <row r="67">
      <c r="B67" s="44" t="s">
        <v>26</v>
      </c>
      <c r="C67" s="126">
        <f t="shared" si="58"/>
        <v>63.615233999999994</v>
      </c>
      <c r="D67" s="126">
        <f t="shared" si="58"/>
        <v>57.01102261314935</v>
      </c>
      <c r="E67" s="126">
        <f t="shared" si="58"/>
        <v>57.918809025891882</v>
      </c>
      <c r="F67" s="126">
        <f t="shared" si="58"/>
        <v>57.103478059694062</v>
      </c>
      <c r="G67" s="126">
        <f t="shared" si="58"/>
        <v>56.400075918083559</v>
      </c>
      <c r="H67" s="126">
        <f t="shared" si="58"/>
        <v>57.219069059658899</v>
      </c>
      <c r="I67" s="126">
        <f t="shared" si="58"/>
        <v>57.936232046777846</v>
      </c>
      <c r="J67" s="126">
        <f t="shared" si="58"/>
        <v>57.731982348288781</v>
      </c>
    </row>
    <row r="68">
      <c r="B68" s="44" t="s">
        <v>27</v>
      </c>
      <c r="C68" s="126">
        <f t="shared" si="58"/>
        <v>23.721858999999998</v>
      </c>
      <c r="D68" s="126">
        <f t="shared" si="58"/>
        <v>21.273116191409088</v>
      </c>
      <c r="E68" s="126">
        <f t="shared" si="58"/>
        <v>21.687055299702063</v>
      </c>
      <c r="F68" s="126">
        <f t="shared" si="58"/>
        <v>21.464001219915176</v>
      </c>
      <c r="G68" s="126">
        <f t="shared" si="58"/>
        <v>20.982707194895063</v>
      </c>
      <c r="H68" s="126">
        <f t="shared" si="58"/>
        <v>21.035434820448632</v>
      </c>
      <c r="I68" s="126">
        <f t="shared" si="58"/>
        <v>21.004066357479491</v>
      </c>
      <c r="J68" s="126">
        <f t="shared" si="58"/>
        <v>20.586167850304051</v>
      </c>
    </row>
    <row r="69">
      <c r="B69" s="44" t="s">
        <v>28</v>
      </c>
      <c r="C69" s="126">
        <f t="shared" si="58"/>
        <v>214.27317599999998</v>
      </c>
      <c r="D69" s="126">
        <f t="shared" si="58"/>
        <v>184.37688555697315</v>
      </c>
      <c r="E69" s="126">
        <f t="shared" si="58"/>
        <v>178.88944671440146</v>
      </c>
      <c r="F69" s="126">
        <f t="shared" si="58"/>
        <v>173.27990406556634</v>
      </c>
      <c r="G69" s="126">
        <f t="shared" si="58"/>
        <v>169.39720019239618</v>
      </c>
      <c r="H69" s="126">
        <f t="shared" si="58"/>
        <v>169.11867887022527</v>
      </c>
      <c r="I69" s="126">
        <f t="shared" si="58"/>
        <v>168.99414805196818</v>
      </c>
      <c r="J69" s="126">
        <f t="shared" si="58"/>
        <v>166.79734164515247</v>
      </c>
    </row>
    <row r="70">
      <c r="B70" s="139" t="s">
        <v>29</v>
      </c>
      <c r="C70" s="126">
        <f t="shared" si="58"/>
        <v>114.881552</v>
      </c>
      <c r="D70" s="126">
        <f t="shared" si="58"/>
        <v>96.546553000000003</v>
      </c>
      <c r="E70" s="126">
        <f t="shared" si="58"/>
        <v>104.25989581340812</v>
      </c>
      <c r="F70" s="126">
        <f t="shared" si="58"/>
        <v>106.60708616149519</v>
      </c>
      <c r="G70" s="126">
        <f t="shared" si="58"/>
        <v>110.2067375328923</v>
      </c>
      <c r="H70" s="126">
        <f t="shared" si="58"/>
        <v>115.63670922176382</v>
      </c>
      <c r="I70" s="126">
        <f t="shared" si="58"/>
        <v>122.24834664484293</v>
      </c>
      <c r="J70" s="126">
        <f t="shared" si="58"/>
        <v>128.76647766106458</v>
      </c>
    </row>
    <row r="72">
      <c r="B72" t="s">
        <v>106</v>
      </c>
      <c r="C72" s="126">
        <f t="shared" ref="C72:J72" si="59">C69+C70</f>
        <v>329.15472799999998</v>
      </c>
      <c r="D72" s="126">
        <f t="shared" si="59"/>
        <v>280.92343855697317</v>
      </c>
      <c r="E72" s="126">
        <f t="shared" si="59"/>
        <v>283.14934252780961</v>
      </c>
      <c r="F72" s="126">
        <f t="shared" si="59"/>
        <v>279.88699022706152</v>
      </c>
      <c r="G72" s="126">
        <f t="shared" si="59"/>
        <v>279.60393772528846</v>
      </c>
      <c r="H72" s="126">
        <f t="shared" si="59"/>
        <v>284.75538809198906</v>
      </c>
      <c r="I72" s="126">
        <f t="shared" si="59"/>
        <v>291.24249469681109</v>
      </c>
      <c r="J72" s="126">
        <f t="shared" si="59"/>
        <v>295.56381930621706</v>
      </c>
    </row>
    <row r="73">
      <c r="B73" t="s">
        <v>107</v>
      </c>
      <c r="C73">
        <f t="shared" ref="C73:J73" si="60">C72/$C72</f>
        <v>1</v>
      </c>
      <c r="D73" s="81">
        <f t="shared" si="60"/>
        <v>0.85346924913979416</v>
      </c>
      <c r="E73" s="81">
        <f t="shared" si="60"/>
        <v>0.86023173432225353</v>
      </c>
      <c r="F73" s="81">
        <f t="shared" si="60"/>
        <v>0.85032043114708511</v>
      </c>
      <c r="G73" s="81">
        <f t="shared" si="60"/>
        <v>0.84946049362319498</v>
      </c>
      <c r="H73" s="81">
        <f t="shared" si="60"/>
        <v>0.86511103705607129</v>
      </c>
      <c r="I73" s="81">
        <f t="shared" si="60"/>
        <v>0.88481941750145876</v>
      </c>
      <c r="J73" s="81">
        <f t="shared" si="60"/>
        <v>0.89794796842844404</v>
      </c>
    </row>
  </sheetData>
  <mergeCells count="10">
    <mergeCell ref="D20:J20"/>
    <mergeCell ref="K20:P20"/>
    <mergeCell ref="Q20:V20"/>
    <mergeCell ref="B45:E45"/>
    <mergeCell ref="B60:E60"/>
    <mergeCell ref="B2:L2"/>
    <mergeCell ref="B4:E4"/>
    <mergeCell ref="C6:H6"/>
    <mergeCell ref="B16:H16"/>
    <mergeCell ref="B18:E18"/>
  </mergeCell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DC3E6"/>
    <outlinePr applyStyles="0" summaryBelow="1" summaryRight="1" showOutlineSymbols="1"/>
    <pageSetUpPr autoPageBreaks="1" fitToPage="0"/>
  </sheetPr>
  <sheetViews>
    <sheetView zoomScale="78" workbookViewId="0">
      <selection activeCell="AB9" activeCellId="0" sqref="AB9"/>
    </sheetView>
  </sheetViews>
  <sheetFormatPr baseColWidth="10" defaultColWidth="8.88671875" defaultRowHeight="14.4"/>
  <cols>
    <col customWidth="1" min="1" max="1" style="1" width="10.44140625"/>
    <col customWidth="1" min="2" max="2" style="1" width="44.21875"/>
    <col customWidth="1" min="3" max="25" style="1" width="10.44140625"/>
    <col customWidth="1" min="26" max="1025" width="8.88671875"/>
  </cols>
  <sheetData>
    <row r="2" ht="22.199999999999999">
      <c r="B2" s="141" t="s">
        <v>108</v>
      </c>
    </row>
    <row r="3" ht="22.199999999999999">
      <c r="A3" s="141"/>
    </row>
    <row r="4">
      <c r="C4" s="142">
        <f t="shared" ref="C4:W4" si="61">C16</f>
        <v>2000</v>
      </c>
      <c r="D4" s="142">
        <f t="shared" si="61"/>
        <v>2001</v>
      </c>
      <c r="E4" s="142">
        <f t="shared" si="61"/>
        <v>2002</v>
      </c>
      <c r="F4" s="142">
        <f t="shared" si="61"/>
        <v>2003</v>
      </c>
      <c r="G4" s="142">
        <f t="shared" si="61"/>
        <v>2004</v>
      </c>
      <c r="H4" s="142">
        <f t="shared" si="61"/>
        <v>2005</v>
      </c>
      <c r="I4" s="142">
        <f t="shared" si="61"/>
        <v>2006</v>
      </c>
      <c r="J4" s="142">
        <f t="shared" si="61"/>
        <v>2007</v>
      </c>
      <c r="K4" s="142">
        <f t="shared" si="61"/>
        <v>2008</v>
      </c>
      <c r="L4" s="142">
        <f t="shared" si="61"/>
        <v>2009</v>
      </c>
      <c r="M4" s="142">
        <f t="shared" si="61"/>
        <v>2010</v>
      </c>
      <c r="N4" s="142">
        <f t="shared" si="61"/>
        <v>2011</v>
      </c>
      <c r="O4" s="142">
        <f t="shared" si="61"/>
        <v>2012</v>
      </c>
      <c r="P4" s="142">
        <f t="shared" si="61"/>
        <v>2013</v>
      </c>
      <c r="Q4" s="142">
        <f t="shared" si="61"/>
        <v>2014</v>
      </c>
      <c r="R4" s="142">
        <f t="shared" si="61"/>
        <v>2015</v>
      </c>
      <c r="S4" s="142">
        <f t="shared" si="61"/>
        <v>2016</v>
      </c>
      <c r="T4" s="142">
        <f t="shared" si="61"/>
        <v>2017</v>
      </c>
      <c r="U4" s="142">
        <f t="shared" si="61"/>
        <v>2018</v>
      </c>
      <c r="V4" s="142">
        <f t="shared" si="61"/>
        <v>2019</v>
      </c>
      <c r="W4" s="143">
        <f t="shared" si="61"/>
        <v>2020</v>
      </c>
    </row>
    <row r="5">
      <c r="A5" s="144" t="s">
        <v>22</v>
      </c>
      <c r="B5" s="145" t="s">
        <v>109</v>
      </c>
      <c r="C5" s="146">
        <f t="shared" ref="C5:V5" si="62">C99</f>
        <v>24.255374</v>
      </c>
      <c r="D5" s="146">
        <f t="shared" si="62"/>
        <v>24.447949000000001</v>
      </c>
      <c r="E5" s="146">
        <f t="shared" si="62"/>
        <v>24.380507000000001</v>
      </c>
      <c r="F5" s="146">
        <f t="shared" si="62"/>
        <v>24.315009</v>
      </c>
      <c r="G5" s="146">
        <f t="shared" si="62"/>
        <v>24.667256999999999</v>
      </c>
      <c r="H5" s="146">
        <f t="shared" si="62"/>
        <v>23.865376000000001</v>
      </c>
      <c r="I5" s="146">
        <f t="shared" si="62"/>
        <v>24.026119999999999</v>
      </c>
      <c r="J5" s="146">
        <f t="shared" si="62"/>
        <v>24.463282</v>
      </c>
      <c r="K5" s="146">
        <f t="shared" si="62"/>
        <v>23.969868000000002</v>
      </c>
      <c r="L5" s="146">
        <f t="shared" si="62"/>
        <v>23.940850000000001</v>
      </c>
      <c r="M5" s="146">
        <f t="shared" si="62"/>
        <v>24.627644</v>
      </c>
      <c r="N5" s="146">
        <f t="shared" si="62"/>
        <v>24.858457999999999</v>
      </c>
      <c r="O5" s="146">
        <f t="shared" si="62"/>
        <v>24.396314</v>
      </c>
      <c r="P5" s="146">
        <f t="shared" si="62"/>
        <v>25.766483999999998</v>
      </c>
      <c r="Q5" s="146">
        <f t="shared" si="62"/>
        <v>25.214587999999999</v>
      </c>
      <c r="R5" s="146">
        <f t="shared" si="62"/>
        <v>25.624379000000001</v>
      </c>
      <c r="S5" s="146">
        <f t="shared" si="62"/>
        <v>26.013804</v>
      </c>
      <c r="T5" s="146">
        <f t="shared" si="62"/>
        <v>26.657764</v>
      </c>
      <c r="U5" s="146">
        <f t="shared" si="62"/>
        <v>25.460822</v>
      </c>
      <c r="V5" s="146">
        <f t="shared" si="62"/>
        <v>25.805907999999999</v>
      </c>
      <c r="W5" s="147"/>
    </row>
    <row r="6">
      <c r="A6" s="148" t="s">
        <v>23</v>
      </c>
      <c r="B6" s="145" t="str">
        <f t="shared" ref="B6:B10" si="63">B5</f>
        <v>G€2014</v>
      </c>
      <c r="C6" s="146">
        <f t="shared" ref="C6:W6" si="64">C34+C33+C97</f>
        <v>31.942511000000003</v>
      </c>
      <c r="D6" s="146">
        <f t="shared" si="64"/>
        <v>33.273386000000002</v>
      </c>
      <c r="E6" s="146">
        <f t="shared" si="64"/>
        <v>33.191317999999995</v>
      </c>
      <c r="F6" s="146">
        <f t="shared" si="64"/>
        <v>34.755954000000003</v>
      </c>
      <c r="G6" s="146">
        <f t="shared" si="64"/>
        <v>34.883828000000001</v>
      </c>
      <c r="H6" s="146">
        <f t="shared" si="64"/>
        <v>37.535786000000002</v>
      </c>
      <c r="I6" s="146">
        <f t="shared" si="64"/>
        <v>38.942272000000003</v>
      </c>
      <c r="J6" s="146">
        <f t="shared" si="64"/>
        <v>40.135964000000001</v>
      </c>
      <c r="K6" s="146">
        <f t="shared" si="64"/>
        <v>39.390090999999998</v>
      </c>
      <c r="L6" s="146">
        <f t="shared" si="64"/>
        <v>38.159934999999997</v>
      </c>
      <c r="M6" s="146">
        <f t="shared" si="64"/>
        <v>36.26484</v>
      </c>
      <c r="N6" s="146">
        <f t="shared" si="64"/>
        <v>38.769879000000003</v>
      </c>
      <c r="O6" s="146">
        <f t="shared" si="64"/>
        <v>39.070678000000001</v>
      </c>
      <c r="P6" s="146">
        <f t="shared" si="64"/>
        <v>39.992198999999999</v>
      </c>
      <c r="Q6" s="146">
        <f t="shared" si="64"/>
        <v>40.501538000000004</v>
      </c>
      <c r="R6" s="146">
        <f t="shared" si="64"/>
        <v>41.415126000000001</v>
      </c>
      <c r="S6" s="146">
        <f t="shared" si="64"/>
        <v>42.558777999999997</v>
      </c>
      <c r="T6" s="146">
        <f t="shared" si="64"/>
        <v>43.825743000000003</v>
      </c>
      <c r="U6" s="146">
        <f t="shared" si="64"/>
        <v>45.192982999999998</v>
      </c>
      <c r="V6" s="146">
        <f t="shared" si="64"/>
        <v>47.173411999999999</v>
      </c>
      <c r="W6" s="147">
        <f t="shared" si="64"/>
        <v>34.146974</v>
      </c>
    </row>
    <row r="7">
      <c r="A7" s="149" t="s">
        <v>24</v>
      </c>
      <c r="B7" s="145" t="str">
        <f t="shared" si="63"/>
        <v>G€2014</v>
      </c>
      <c r="C7" s="146">
        <f t="shared" ref="C7:V7" si="65">C98</f>
        <v>8.0903080000000003</v>
      </c>
      <c r="D7" s="146">
        <f t="shared" si="65"/>
        <v>7.9800120000000003</v>
      </c>
      <c r="E7" s="146">
        <f t="shared" si="65"/>
        <v>8.0445189999999993</v>
      </c>
      <c r="F7" s="146">
        <f t="shared" si="65"/>
        <v>8.0972279999999994</v>
      </c>
      <c r="G7" s="146">
        <f t="shared" si="65"/>
        <v>8.0322479999999992</v>
      </c>
      <c r="H7" s="146">
        <f t="shared" si="65"/>
        <v>7.9702590000000004</v>
      </c>
      <c r="I7" s="146">
        <f t="shared" si="65"/>
        <v>8.2548189999999995</v>
      </c>
      <c r="J7" s="146">
        <f t="shared" si="65"/>
        <v>8.416677</v>
      </c>
      <c r="K7" s="146">
        <f t="shared" si="65"/>
        <v>7.840287</v>
      </c>
      <c r="L7" s="146">
        <f t="shared" si="65"/>
        <v>6.9824710000000003</v>
      </c>
      <c r="M7" s="146">
        <f t="shared" si="65"/>
        <v>7.4149409999999998</v>
      </c>
      <c r="N7" s="146">
        <f t="shared" si="65"/>
        <v>8.1861669999999993</v>
      </c>
      <c r="O7" s="146">
        <f t="shared" si="65"/>
        <v>7.834263</v>
      </c>
      <c r="P7" s="146">
        <f t="shared" si="65"/>
        <v>7.5743799999999997</v>
      </c>
      <c r="Q7" s="146">
        <f t="shared" si="65"/>
        <v>7.7432129999999999</v>
      </c>
      <c r="R7" s="146">
        <f t="shared" si="65"/>
        <v>8.0230730000000001</v>
      </c>
      <c r="S7" s="146">
        <f t="shared" si="65"/>
        <v>8.0998359999999998</v>
      </c>
      <c r="T7" s="146">
        <f t="shared" si="65"/>
        <v>8.2923500000000008</v>
      </c>
      <c r="U7" s="146">
        <f t="shared" si="65"/>
        <v>8.2701740000000008</v>
      </c>
      <c r="V7" s="146">
        <f t="shared" si="65"/>
        <v>8.3584969999999998</v>
      </c>
      <c r="W7" s="147"/>
    </row>
    <row r="8">
      <c r="A8" s="150" t="s">
        <v>110</v>
      </c>
      <c r="B8" s="145" t="str">
        <f t="shared" si="63"/>
        <v>G€2014</v>
      </c>
      <c r="C8" s="146">
        <f t="shared" ref="C8:W8" si="66">C23</f>
        <v>37.851342000000002</v>
      </c>
      <c r="D8" s="146">
        <f t="shared" si="66"/>
        <v>36.603383000000001</v>
      </c>
      <c r="E8" s="146">
        <f t="shared" si="66"/>
        <v>37.547612000000001</v>
      </c>
      <c r="F8" s="146">
        <f t="shared" si="66"/>
        <v>39.651257000000001</v>
      </c>
      <c r="G8" s="146">
        <f t="shared" si="66"/>
        <v>40.609594999999999</v>
      </c>
      <c r="H8" s="146">
        <f t="shared" si="66"/>
        <v>40.848894000000001</v>
      </c>
      <c r="I8" s="146">
        <f t="shared" si="66"/>
        <v>40.817717000000002</v>
      </c>
      <c r="J8" s="146">
        <f t="shared" si="66"/>
        <v>41.448940999999998</v>
      </c>
      <c r="K8" s="146">
        <f t="shared" si="66"/>
        <v>37.907620999999999</v>
      </c>
      <c r="L8" s="146">
        <f t="shared" si="66"/>
        <v>38.774315999999999</v>
      </c>
      <c r="M8" s="146">
        <f t="shared" si="66"/>
        <v>40.455101999999997</v>
      </c>
      <c r="N8" s="146">
        <f t="shared" si="66"/>
        <v>42.097633000000002</v>
      </c>
      <c r="O8" s="146">
        <f t="shared" si="66"/>
        <v>41.755277999999997</v>
      </c>
      <c r="P8" s="146">
        <f t="shared" si="66"/>
        <v>41.636980999999999</v>
      </c>
      <c r="Q8" s="146">
        <f t="shared" si="66"/>
        <v>42.825800000000001</v>
      </c>
      <c r="R8" s="146">
        <f t="shared" si="66"/>
        <v>43.507950999999998</v>
      </c>
      <c r="S8" s="146">
        <f t="shared" si="66"/>
        <v>44.673572</v>
      </c>
      <c r="T8" s="146">
        <f t="shared" si="66"/>
        <v>45.485210000000002</v>
      </c>
      <c r="U8" s="146">
        <f t="shared" si="66"/>
        <v>45.279347999999999</v>
      </c>
      <c r="V8" s="146">
        <f t="shared" si="66"/>
        <v>45.598266000000002</v>
      </c>
      <c r="W8" s="147">
        <f t="shared" si="66"/>
        <v>44.167665</v>
      </c>
    </row>
    <row r="9">
      <c r="A9" s="151" t="s">
        <v>111</v>
      </c>
      <c r="B9" s="145" t="str">
        <f t="shared" si="63"/>
        <v>G€2014</v>
      </c>
      <c r="C9" s="146">
        <f t="shared" ref="C9:V9" si="67">C104+C105+C111</f>
        <v>62.795178</v>
      </c>
      <c r="D9" s="146">
        <f t="shared" si="67"/>
        <v>62.381359000000003</v>
      </c>
      <c r="E9" s="146">
        <f t="shared" si="67"/>
        <v>60.610973999999999</v>
      </c>
      <c r="F9" s="146">
        <f t="shared" si="67"/>
        <v>61.797167999999999</v>
      </c>
      <c r="G9" s="146">
        <f t="shared" si="67"/>
        <v>64.275343000000007</v>
      </c>
      <c r="H9" s="146">
        <f t="shared" si="67"/>
        <v>66.464110000000005</v>
      </c>
      <c r="I9" s="146">
        <f t="shared" si="67"/>
        <v>67.636186999999993</v>
      </c>
      <c r="J9" s="146">
        <f t="shared" si="67"/>
        <v>68.94769500000001</v>
      </c>
      <c r="K9" s="146">
        <f t="shared" si="67"/>
        <v>67.927361000000005</v>
      </c>
      <c r="L9" s="146">
        <f t="shared" si="67"/>
        <v>59.212614000000002</v>
      </c>
      <c r="M9" s="146">
        <f t="shared" si="67"/>
        <v>61.441162999999996</v>
      </c>
      <c r="N9" s="146">
        <f t="shared" si="67"/>
        <v>63.443430999999997</v>
      </c>
      <c r="O9" s="146">
        <f t="shared" si="67"/>
        <v>63.849208000000004</v>
      </c>
      <c r="P9" s="146">
        <f t="shared" si="67"/>
        <v>61.156238999999999</v>
      </c>
      <c r="Q9" s="146">
        <f t="shared" si="67"/>
        <v>60.859242000000002</v>
      </c>
      <c r="R9" s="146">
        <f t="shared" si="67"/>
        <v>60.173127999999998</v>
      </c>
      <c r="S9" s="146">
        <f t="shared" si="67"/>
        <v>59.026021</v>
      </c>
      <c r="T9" s="146">
        <f t="shared" si="67"/>
        <v>60.473290999999996</v>
      </c>
      <c r="U9" s="146">
        <f t="shared" si="67"/>
        <v>63.185553999999996</v>
      </c>
      <c r="V9" s="146">
        <f t="shared" si="67"/>
        <v>63.615233999999994</v>
      </c>
      <c r="W9" s="147"/>
    </row>
    <row r="10">
      <c r="A10" s="152" t="s">
        <v>29</v>
      </c>
      <c r="B10" s="145" t="str">
        <f t="shared" si="63"/>
        <v>G€2014</v>
      </c>
      <c r="C10" s="146">
        <f t="shared" ref="C10:W10" si="68">C38</f>
        <v>115.435343</v>
      </c>
      <c r="D10" s="146">
        <f t="shared" si="68"/>
        <v>119.966746</v>
      </c>
      <c r="E10" s="146">
        <f t="shared" si="68"/>
        <v>119.421395</v>
      </c>
      <c r="F10" s="146">
        <f t="shared" si="68"/>
        <v>119.08888899999999</v>
      </c>
      <c r="G10" s="146">
        <f t="shared" si="68"/>
        <v>121.36758</v>
      </c>
      <c r="H10" s="146">
        <f t="shared" si="68"/>
        <v>124.69868200000001</v>
      </c>
      <c r="I10" s="146">
        <f t="shared" si="68"/>
        <v>127.732686</v>
      </c>
      <c r="J10" s="146">
        <f t="shared" si="68"/>
        <v>133.59735499999999</v>
      </c>
      <c r="K10" s="146">
        <f t="shared" si="68"/>
        <v>131.61919700000001</v>
      </c>
      <c r="L10" s="146">
        <f t="shared" si="68"/>
        <v>123.99427300000001</v>
      </c>
      <c r="M10" s="146">
        <f t="shared" si="68"/>
        <v>120.903094</v>
      </c>
      <c r="N10" s="146">
        <f t="shared" si="68"/>
        <v>118.61881099999999</v>
      </c>
      <c r="O10" s="146">
        <f t="shared" si="68"/>
        <v>112.59388199999999</v>
      </c>
      <c r="P10" s="146">
        <f t="shared" si="68"/>
        <v>113.12113600000001</v>
      </c>
      <c r="Q10" s="146">
        <f t="shared" si="68"/>
        <v>110.115753</v>
      </c>
      <c r="R10" s="146">
        <f t="shared" si="68"/>
        <v>109.505257</v>
      </c>
      <c r="S10" s="146">
        <f t="shared" si="68"/>
        <v>108.449133</v>
      </c>
      <c r="T10" s="146">
        <f t="shared" si="68"/>
        <v>110.800995</v>
      </c>
      <c r="U10" s="146">
        <f t="shared" si="68"/>
        <v>111.94245100000001</v>
      </c>
      <c r="V10" s="146">
        <f t="shared" si="68"/>
        <v>114.881552</v>
      </c>
      <c r="W10" s="147">
        <f t="shared" si="68"/>
        <v>96.546553000000003</v>
      </c>
    </row>
    <row r="11">
      <c r="A11" s="153" t="s">
        <v>27</v>
      </c>
      <c r="B11" s="145" t="str">
        <f>B9</f>
        <v>G€2014</v>
      </c>
      <c r="C11" s="146">
        <f t="shared" ref="C11:V11" si="69">C31+C90+C91+C92+C109+C110</f>
        <v>25.817636999999998</v>
      </c>
      <c r="D11" s="146">
        <f t="shared" si="69"/>
        <v>27.181069999999998</v>
      </c>
      <c r="E11" s="146">
        <f t="shared" si="69"/>
        <v>26.584540999999998</v>
      </c>
      <c r="F11" s="146">
        <f t="shared" si="69"/>
        <v>26.466640999999999</v>
      </c>
      <c r="G11" s="146">
        <f t="shared" si="69"/>
        <v>26.299292000000001</v>
      </c>
      <c r="H11" s="146">
        <f t="shared" si="69"/>
        <v>25.722553000000001</v>
      </c>
      <c r="I11" s="146">
        <f t="shared" si="69"/>
        <v>25.213290999999998</v>
      </c>
      <c r="J11" s="146">
        <f t="shared" si="69"/>
        <v>25.722699999999996</v>
      </c>
      <c r="K11" s="146">
        <f t="shared" si="69"/>
        <v>25.294239999999999</v>
      </c>
      <c r="L11" s="146">
        <f t="shared" si="69"/>
        <v>23.75264</v>
      </c>
      <c r="M11" s="146">
        <f t="shared" si="69"/>
        <v>23.252610000000001</v>
      </c>
      <c r="N11" s="146">
        <f t="shared" si="69"/>
        <v>24.532299999999999</v>
      </c>
      <c r="O11" s="146">
        <f t="shared" si="69"/>
        <v>24.333483999999999</v>
      </c>
      <c r="P11" s="146">
        <f t="shared" si="69"/>
        <v>23.708504999999999</v>
      </c>
      <c r="Q11" s="146">
        <f t="shared" si="69"/>
        <v>23.559021000000001</v>
      </c>
      <c r="R11" s="146">
        <f t="shared" si="69"/>
        <v>23.294342999999998</v>
      </c>
      <c r="S11" s="146">
        <f t="shared" si="69"/>
        <v>23.04682</v>
      </c>
      <c r="T11" s="146">
        <f t="shared" si="69"/>
        <v>23.307596</v>
      </c>
      <c r="U11" s="146">
        <f t="shared" si="69"/>
        <v>23.241424000000002</v>
      </c>
      <c r="V11" s="146">
        <f t="shared" si="69"/>
        <v>23.721858999999998</v>
      </c>
      <c r="W11" s="147"/>
    </row>
    <row r="12"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</row>
    <row r="14">
      <c r="A14" s="155" t="s">
        <v>112</v>
      </c>
    </row>
    <row r="16">
      <c r="C16" s="155">
        <v>2000</v>
      </c>
      <c r="D16" s="155">
        <v>2001</v>
      </c>
      <c r="E16" s="155">
        <v>2002</v>
      </c>
      <c r="F16" s="155">
        <v>2003</v>
      </c>
      <c r="G16" s="155">
        <v>2004</v>
      </c>
      <c r="H16" s="155">
        <v>2005</v>
      </c>
      <c r="I16" s="155">
        <v>2006</v>
      </c>
      <c r="J16" s="155">
        <v>2007</v>
      </c>
      <c r="K16" s="155">
        <v>2008</v>
      </c>
      <c r="L16" s="155">
        <v>2009</v>
      </c>
      <c r="M16" s="155">
        <v>2010</v>
      </c>
      <c r="N16" s="155">
        <v>2011</v>
      </c>
      <c r="O16" s="155">
        <v>2012</v>
      </c>
      <c r="P16" s="155">
        <v>2013</v>
      </c>
      <c r="Q16" s="155">
        <v>2014</v>
      </c>
      <c r="R16" s="155">
        <v>2015</v>
      </c>
      <c r="S16" s="155">
        <v>2016</v>
      </c>
      <c r="T16" s="155">
        <v>2017</v>
      </c>
      <c r="U16" s="155">
        <v>2018</v>
      </c>
      <c r="V16" s="156">
        <v>2019</v>
      </c>
      <c r="W16" s="156">
        <v>2020</v>
      </c>
    </row>
    <row r="17">
      <c r="A17" s="1" t="s">
        <v>113</v>
      </c>
      <c r="B17" s="154" t="s">
        <v>114</v>
      </c>
      <c r="C17" s="157">
        <v>29.389969000000001</v>
      </c>
      <c r="D17" s="157">
        <v>28.546126000000001</v>
      </c>
      <c r="E17" s="157">
        <v>30.172436999999999</v>
      </c>
      <c r="F17" s="157">
        <v>25.571211999999999</v>
      </c>
      <c r="G17" s="157">
        <v>31.018657000000001</v>
      </c>
      <c r="H17" s="157">
        <v>29.214953000000001</v>
      </c>
      <c r="I17" s="157">
        <v>29.275853999999999</v>
      </c>
      <c r="J17" s="157">
        <v>29.047340999999999</v>
      </c>
      <c r="K17" s="157">
        <v>30.347363000000001</v>
      </c>
      <c r="L17" s="157">
        <v>32.327103999999999</v>
      </c>
      <c r="M17" s="157">
        <v>31.228936999999998</v>
      </c>
      <c r="N17" s="157">
        <v>32.475391999999999</v>
      </c>
      <c r="O17" s="157">
        <v>29.742467999999999</v>
      </c>
      <c r="P17" s="157">
        <v>29.169098000000002</v>
      </c>
      <c r="Q17" s="157">
        <v>33.458134000000001</v>
      </c>
      <c r="R17" s="157">
        <v>33.504586000000003</v>
      </c>
      <c r="S17" s="157">
        <v>29.362691999999999</v>
      </c>
      <c r="T17" s="157">
        <v>31.780947000000001</v>
      </c>
      <c r="U17" s="157">
        <v>33.024822999999998</v>
      </c>
      <c r="V17" s="157">
        <v>32.262165000000003</v>
      </c>
      <c r="W17" s="157">
        <v>32.214969000000004</v>
      </c>
    </row>
    <row r="18">
      <c r="A18" s="1" t="s">
        <v>115</v>
      </c>
      <c r="B18" s="154" t="s">
        <v>116</v>
      </c>
      <c r="C18" s="157">
        <v>251.25233299999999</v>
      </c>
      <c r="D18" s="157">
        <v>255.68560400000001</v>
      </c>
      <c r="E18" s="157">
        <v>257.88006799999999</v>
      </c>
      <c r="F18" s="157">
        <v>262.48102299999999</v>
      </c>
      <c r="G18" s="157">
        <v>269.12421000000001</v>
      </c>
      <c r="H18" s="157">
        <v>270.99702600000001</v>
      </c>
      <c r="I18" s="157">
        <v>275.58150999999998</v>
      </c>
      <c r="J18" s="157">
        <v>280.49002100000001</v>
      </c>
      <c r="K18" s="157">
        <v>270.352599</v>
      </c>
      <c r="L18" s="157">
        <v>254.038321</v>
      </c>
      <c r="M18" s="157">
        <v>258.73925600000001</v>
      </c>
      <c r="N18" s="157">
        <v>266.073939</v>
      </c>
      <c r="O18" s="157">
        <v>268.13092599999999</v>
      </c>
      <c r="P18" s="157">
        <v>270.12850400000002</v>
      </c>
      <c r="Q18" s="157">
        <v>271.38012099999997</v>
      </c>
      <c r="R18" s="157">
        <v>272.50423999999998</v>
      </c>
      <c r="S18" s="157">
        <v>273.29395199999999</v>
      </c>
      <c r="T18" s="157">
        <v>276.21136200000001</v>
      </c>
      <c r="U18" s="157">
        <v>282.17446999999999</v>
      </c>
      <c r="V18" s="157">
        <v>286.88732399999998</v>
      </c>
      <c r="W18" s="157">
        <v>259.86492399999997</v>
      </c>
    </row>
    <row r="19">
      <c r="A19" s="1" t="s">
        <v>117</v>
      </c>
      <c r="B19" s="154" t="s">
        <v>118</v>
      </c>
      <c r="C19" s="157">
        <v>52.436248999999997</v>
      </c>
      <c r="D19" s="157">
        <v>55.314064000000002</v>
      </c>
      <c r="E19" s="157">
        <v>59.034858</v>
      </c>
      <c r="F19" s="157">
        <v>58.792772999999997</v>
      </c>
      <c r="G19" s="157">
        <v>60.555283000000003</v>
      </c>
      <c r="H19" s="157">
        <v>58.023119999999999</v>
      </c>
      <c r="I19" s="157">
        <v>56.268000000000001</v>
      </c>
      <c r="J19" s="157">
        <v>56.650292</v>
      </c>
      <c r="K19" s="157">
        <v>53.452357999999997</v>
      </c>
      <c r="L19" s="157">
        <v>49.647824</v>
      </c>
      <c r="M19" s="157">
        <v>49.286099999999998</v>
      </c>
      <c r="N19" s="157">
        <v>47.758293999999999</v>
      </c>
      <c r="O19" s="157">
        <v>50.471072999999997</v>
      </c>
      <c r="P19" s="157">
        <v>52.836941000000003</v>
      </c>
      <c r="Q19" s="157">
        <v>50.375036000000001</v>
      </c>
      <c r="R19" s="157">
        <v>50.024189999999997</v>
      </c>
      <c r="S19" s="157">
        <v>48.903846999999999</v>
      </c>
      <c r="T19" s="157">
        <v>46.865982000000002</v>
      </c>
      <c r="U19" s="157">
        <v>48.963918999999997</v>
      </c>
      <c r="V19" s="157">
        <v>48.927565999999999</v>
      </c>
      <c r="W19" s="157">
        <v>47.506179000000003</v>
      </c>
    </row>
    <row r="20">
      <c r="A20" s="1" t="s">
        <v>119</v>
      </c>
      <c r="B20" s="154" t="s">
        <v>120</v>
      </c>
      <c r="C20" s="157">
        <v>4.5386470000000001</v>
      </c>
      <c r="D20" s="157">
        <v>4.0135860000000001</v>
      </c>
      <c r="E20" s="157">
        <v>3.7933680000000001</v>
      </c>
      <c r="F20" s="157">
        <v>3.3946230000000002</v>
      </c>
      <c r="G20" s="157">
        <v>3.1814100000000001</v>
      </c>
      <c r="H20" s="157">
        <v>2.9217170000000001</v>
      </c>
      <c r="I20" s="157">
        <v>3.0870039999999999</v>
      </c>
      <c r="J20" s="157">
        <v>3.1527029999999998</v>
      </c>
      <c r="K20" s="157">
        <v>2.929125</v>
      </c>
      <c r="L20" s="157">
        <v>2.658496</v>
      </c>
      <c r="M20" s="157">
        <v>2.578846</v>
      </c>
      <c r="N20" s="157">
        <v>2.5639889999999999</v>
      </c>
      <c r="O20" s="157">
        <v>2.415788</v>
      </c>
      <c r="P20" s="157">
        <v>2.1912600000000002</v>
      </c>
      <c r="Q20" s="157">
        <v>2.1840229999999998</v>
      </c>
      <c r="R20" s="157">
        <v>2.0490870000000001</v>
      </c>
      <c r="S20" s="157">
        <v>1.9746889999999999</v>
      </c>
      <c r="T20" s="157">
        <v>2.000931</v>
      </c>
      <c r="U20" s="157">
        <v>2.0008880000000002</v>
      </c>
      <c r="V20" s="157">
        <v>1.9820310000000001</v>
      </c>
      <c r="W20" s="157">
        <v>1.765396</v>
      </c>
    </row>
    <row r="21">
      <c r="A21" s="1" t="s">
        <v>121</v>
      </c>
      <c r="B21" s="154" t="s">
        <v>122</v>
      </c>
      <c r="C21" s="157">
        <v>36.495229999999999</v>
      </c>
      <c r="D21" s="157">
        <v>38.879345999999998</v>
      </c>
      <c r="E21" s="157">
        <v>42.148147999999999</v>
      </c>
      <c r="F21" s="157">
        <v>40.938017000000002</v>
      </c>
      <c r="G21" s="157">
        <v>43.334659000000002</v>
      </c>
      <c r="H21" s="157">
        <v>41.020854</v>
      </c>
      <c r="I21" s="157">
        <v>38.977260999999999</v>
      </c>
      <c r="J21" s="157">
        <v>39.198014999999998</v>
      </c>
      <c r="K21" s="157">
        <v>36.377786999999998</v>
      </c>
      <c r="L21" s="157">
        <v>32.280160000000002</v>
      </c>
      <c r="M21" s="157">
        <v>31.420501999999999</v>
      </c>
      <c r="N21" s="157">
        <v>30.06841</v>
      </c>
      <c r="O21" s="157">
        <v>33.414028000000002</v>
      </c>
      <c r="P21" s="157">
        <v>35.939242</v>
      </c>
      <c r="Q21" s="157">
        <v>34.085185000000003</v>
      </c>
      <c r="R21" s="157">
        <v>34.383324999999999</v>
      </c>
      <c r="S21" s="157">
        <v>33.533636999999999</v>
      </c>
      <c r="T21" s="157">
        <v>30.996842999999998</v>
      </c>
      <c r="U21" s="157">
        <v>33.131999999999998</v>
      </c>
      <c r="V21" s="157">
        <v>33.003774999999997</v>
      </c>
      <c r="W21" s="157">
        <v>31.522490000000001</v>
      </c>
    </row>
    <row r="22">
      <c r="A22" s="1" t="s">
        <v>123</v>
      </c>
      <c r="B22" s="154" t="s">
        <v>124</v>
      </c>
      <c r="C22" s="157">
        <v>12.546692</v>
      </c>
      <c r="D22" s="157">
        <v>13.336209</v>
      </c>
      <c r="E22" s="157">
        <v>13.965849</v>
      </c>
      <c r="F22" s="157">
        <v>15.097875999999999</v>
      </c>
      <c r="G22" s="157">
        <v>14.640784999999999</v>
      </c>
      <c r="H22" s="157">
        <v>14.563033000000001</v>
      </c>
      <c r="I22" s="157">
        <v>14.710312</v>
      </c>
      <c r="J22" s="157">
        <v>14.814892</v>
      </c>
      <c r="K22" s="157">
        <v>14.501436</v>
      </c>
      <c r="L22" s="157">
        <v>14.711707000000001</v>
      </c>
      <c r="M22" s="157">
        <v>15.254386</v>
      </c>
      <c r="N22" s="157">
        <v>15.058176</v>
      </c>
      <c r="O22" s="157">
        <v>14.618653</v>
      </c>
      <c r="P22" s="157">
        <v>14.716125</v>
      </c>
      <c r="Q22" s="157">
        <v>14.105828000000001</v>
      </c>
      <c r="R22" s="157">
        <v>13.591778</v>
      </c>
      <c r="S22" s="157">
        <v>13.392080999999999</v>
      </c>
      <c r="T22" s="157">
        <v>13.868116000000001</v>
      </c>
      <c r="U22" s="157">
        <v>13.829893999999999</v>
      </c>
      <c r="V22" s="157">
        <v>13.936655</v>
      </c>
      <c r="W22" s="157">
        <v>14.254647</v>
      </c>
    </row>
    <row r="23">
      <c r="A23" s="158" t="s">
        <v>125</v>
      </c>
      <c r="B23" s="158" t="s">
        <v>126</v>
      </c>
      <c r="C23" s="157">
        <v>37.851342000000002</v>
      </c>
      <c r="D23" s="157">
        <v>36.603383000000001</v>
      </c>
      <c r="E23" s="157">
        <v>37.547612000000001</v>
      </c>
      <c r="F23" s="157">
        <v>39.651257000000001</v>
      </c>
      <c r="G23" s="157">
        <v>40.609594999999999</v>
      </c>
      <c r="H23" s="157">
        <v>40.848894000000001</v>
      </c>
      <c r="I23" s="157">
        <v>40.817717000000002</v>
      </c>
      <c r="J23" s="157">
        <v>41.448940999999998</v>
      </c>
      <c r="K23" s="157">
        <v>37.907620999999999</v>
      </c>
      <c r="L23" s="157">
        <v>38.774315999999999</v>
      </c>
      <c r="M23" s="157">
        <v>40.455101999999997</v>
      </c>
      <c r="N23" s="157">
        <v>42.097633000000002</v>
      </c>
      <c r="O23" s="157">
        <v>41.755277999999997</v>
      </c>
      <c r="P23" s="157">
        <v>41.636980999999999</v>
      </c>
      <c r="Q23" s="157">
        <v>42.825800000000001</v>
      </c>
      <c r="R23" s="157">
        <v>43.507950999999998</v>
      </c>
      <c r="S23" s="157">
        <v>44.673572</v>
      </c>
      <c r="T23" s="157">
        <v>45.485210000000002</v>
      </c>
      <c r="U23" s="157">
        <v>45.279347999999999</v>
      </c>
      <c r="V23" s="157">
        <v>45.598266000000002</v>
      </c>
      <c r="W23" s="157">
        <v>44.167665</v>
      </c>
    </row>
    <row r="24">
      <c r="A24" s="1" t="s">
        <v>127</v>
      </c>
      <c r="B24" s="154" t="s">
        <v>128</v>
      </c>
      <c r="C24" s="157">
        <v>2.7592810000000001</v>
      </c>
      <c r="D24" s="157">
        <v>3.5851869999999999</v>
      </c>
      <c r="E24" s="157">
        <v>4.8666080000000003</v>
      </c>
      <c r="F24" s="157">
        <v>3.6326930000000002</v>
      </c>
      <c r="G24" s="157">
        <v>3.1179839999999999</v>
      </c>
      <c r="H24" s="157">
        <v>3.0913309999999998</v>
      </c>
      <c r="I24" s="157">
        <v>3.9526970000000001</v>
      </c>
      <c r="J24" s="157">
        <v>3.9187759999999998</v>
      </c>
      <c r="K24" s="157">
        <v>2.334962</v>
      </c>
      <c r="L24" s="157">
        <v>1.6934009999999999</v>
      </c>
      <c r="M24" s="157">
        <v>1.465033</v>
      </c>
      <c r="N24" s="157">
        <v>1.409505</v>
      </c>
      <c r="O24" s="157">
        <v>1.2097519999999999</v>
      </c>
      <c r="P24" s="157">
        <v>1.1432709999999999</v>
      </c>
      <c r="Q24" s="157">
        <v>2.2588059999999999</v>
      </c>
      <c r="R24" s="157">
        <v>2.4538679999999999</v>
      </c>
      <c r="S24" s="157">
        <v>2.6595680000000002</v>
      </c>
      <c r="T24" s="157">
        <v>2.6156109999999999</v>
      </c>
      <c r="U24" s="157">
        <v>3.1106199999999999</v>
      </c>
      <c r="V24" s="157">
        <v>3.0371320000000002</v>
      </c>
      <c r="W24" s="157">
        <v>3.7258819999999999</v>
      </c>
    </row>
    <row r="25">
      <c r="A25" s="1" t="s">
        <v>129</v>
      </c>
      <c r="B25" s="154" t="s">
        <v>130</v>
      </c>
      <c r="C25" s="157">
        <v>24.422138</v>
      </c>
      <c r="D25" s="157">
        <v>24.708074</v>
      </c>
      <c r="E25" s="157">
        <v>24.755929999999999</v>
      </c>
      <c r="F25" s="157">
        <v>24.817325</v>
      </c>
      <c r="G25" s="157">
        <v>27.069545999999999</v>
      </c>
      <c r="H25" s="157">
        <v>27.271519999999999</v>
      </c>
      <c r="I25" s="157">
        <v>29.532468000000001</v>
      </c>
      <c r="J25" s="157">
        <v>30.224132000000001</v>
      </c>
      <c r="K25" s="157">
        <v>30.255942999999998</v>
      </c>
      <c r="L25" s="157">
        <v>25.765826000000001</v>
      </c>
      <c r="M25" s="157">
        <v>28.044132000000001</v>
      </c>
      <c r="N25" s="157">
        <v>29.355011000000001</v>
      </c>
      <c r="O25" s="157">
        <v>29.514707999999999</v>
      </c>
      <c r="P25" s="157">
        <v>30.238057000000001</v>
      </c>
      <c r="Q25" s="157">
        <v>30.529464999999998</v>
      </c>
      <c r="R25" s="157">
        <v>29.862833999999999</v>
      </c>
      <c r="S25" s="157">
        <v>29.393823999999999</v>
      </c>
      <c r="T25" s="157">
        <v>29.732545000000002</v>
      </c>
      <c r="U25" s="157">
        <v>30.314031</v>
      </c>
      <c r="V25" s="157">
        <v>31.823128000000001</v>
      </c>
      <c r="W25" s="157">
        <v>28.029067999999999</v>
      </c>
    </row>
    <row r="26">
      <c r="A26" s="1" t="s">
        <v>131</v>
      </c>
      <c r="B26" s="154" t="s">
        <v>132</v>
      </c>
      <c r="C26" s="157">
        <v>5.3318079999999997</v>
      </c>
      <c r="D26" s="157">
        <v>5.2905439999999997</v>
      </c>
      <c r="E26" s="157">
        <v>5.5300229999999999</v>
      </c>
      <c r="F26" s="157">
        <v>5.6432200000000003</v>
      </c>
      <c r="G26" s="157">
        <v>6.2335419999999999</v>
      </c>
      <c r="H26" s="157">
        <v>6.5155560000000001</v>
      </c>
      <c r="I26" s="157">
        <v>7.5852810000000002</v>
      </c>
      <c r="J26" s="157">
        <v>7.6873519999999997</v>
      </c>
      <c r="K26" s="157">
        <v>7.9317039999999999</v>
      </c>
      <c r="L26" s="157">
        <v>7.4069649999999996</v>
      </c>
      <c r="M26" s="157">
        <v>9.0368230000000001</v>
      </c>
      <c r="N26" s="157">
        <v>9.379092</v>
      </c>
      <c r="O26" s="157">
        <v>9.8284249999999993</v>
      </c>
      <c r="P26" s="157">
        <v>10.702061</v>
      </c>
      <c r="Q26" s="157">
        <v>11.123084</v>
      </c>
      <c r="R26" s="157">
        <v>11.128679999999999</v>
      </c>
      <c r="S26" s="157">
        <v>11.394397</v>
      </c>
      <c r="T26" s="157">
        <v>11.786925</v>
      </c>
      <c r="U26" s="157">
        <v>12.260071999999999</v>
      </c>
      <c r="V26" s="157">
        <v>13.493798</v>
      </c>
      <c r="W26" s="157">
        <v>12.077309</v>
      </c>
    </row>
    <row r="27">
      <c r="A27" s="1" t="s">
        <v>133</v>
      </c>
      <c r="B27" s="154" t="s">
        <v>134</v>
      </c>
      <c r="C27" s="157">
        <v>10.617983000000001</v>
      </c>
      <c r="D27" s="157">
        <v>10.120741000000001</v>
      </c>
      <c r="E27" s="157">
        <v>9.6501640000000002</v>
      </c>
      <c r="F27" s="157">
        <v>9.0387540000000008</v>
      </c>
      <c r="G27" s="157">
        <v>9.7549010000000003</v>
      </c>
      <c r="H27" s="157">
        <v>9.2139299999999995</v>
      </c>
      <c r="I27" s="157">
        <v>8.9104919999999996</v>
      </c>
      <c r="J27" s="157">
        <v>9.1941249999999997</v>
      </c>
      <c r="K27" s="157">
        <v>8.9187309999999993</v>
      </c>
      <c r="L27" s="157">
        <v>7.5785689999999999</v>
      </c>
      <c r="M27" s="157">
        <v>7.7074259999999999</v>
      </c>
      <c r="N27" s="157">
        <v>7.3882000000000003</v>
      </c>
      <c r="O27" s="157">
        <v>7.2561330000000002</v>
      </c>
      <c r="P27" s="157">
        <v>7.1224829999999999</v>
      </c>
      <c r="Q27" s="157">
        <v>6.9197939999999996</v>
      </c>
      <c r="R27" s="157">
        <v>6.8595009999999998</v>
      </c>
      <c r="S27" s="157">
        <v>6.9052819999999997</v>
      </c>
      <c r="T27" s="157">
        <v>6.9433600000000002</v>
      </c>
      <c r="U27" s="157">
        <v>7.054011</v>
      </c>
      <c r="V27" s="157">
        <v>7.12005</v>
      </c>
      <c r="W27" s="157">
        <v>6.2023619999999999</v>
      </c>
    </row>
    <row r="28">
      <c r="A28" s="1" t="s">
        <v>135</v>
      </c>
      <c r="B28" s="154" t="s">
        <v>136</v>
      </c>
      <c r="C28" s="157">
        <v>11.485924000000001</v>
      </c>
      <c r="D28" s="157">
        <v>12.400689</v>
      </c>
      <c r="E28" s="157">
        <v>12.157581</v>
      </c>
      <c r="F28" s="157">
        <v>12.441276</v>
      </c>
      <c r="G28" s="157">
        <v>13.45471</v>
      </c>
      <c r="H28" s="157">
        <v>13.507080999999999</v>
      </c>
      <c r="I28" s="157">
        <v>14.390752000000001</v>
      </c>
      <c r="J28" s="157">
        <v>14.806767000000001</v>
      </c>
      <c r="K28" s="157">
        <v>14.643867</v>
      </c>
      <c r="L28" s="157">
        <v>11.404749000000001</v>
      </c>
      <c r="M28" s="157">
        <v>11.495244</v>
      </c>
      <c r="N28" s="157">
        <v>12.772231</v>
      </c>
      <c r="O28" s="157">
        <v>12.524309000000001</v>
      </c>
      <c r="P28" s="157">
        <v>12.428447</v>
      </c>
      <c r="Q28" s="157">
        <v>12.486587</v>
      </c>
      <c r="R28" s="157">
        <v>11.874653</v>
      </c>
      <c r="S28" s="157">
        <v>11.096029</v>
      </c>
      <c r="T28" s="157">
        <v>11.008343999999999</v>
      </c>
      <c r="U28" s="157">
        <v>11.013045999999999</v>
      </c>
      <c r="V28" s="157">
        <v>11.25338</v>
      </c>
      <c r="W28" s="157">
        <v>9.8018180000000008</v>
      </c>
    </row>
    <row r="29">
      <c r="A29" s="1" t="s">
        <v>137</v>
      </c>
      <c r="B29" s="154" t="s">
        <v>138</v>
      </c>
      <c r="C29" s="157">
        <v>31.312270999999999</v>
      </c>
      <c r="D29" s="157">
        <v>30.239395999999999</v>
      </c>
      <c r="E29" s="157">
        <v>28.800540999999999</v>
      </c>
      <c r="F29" s="157">
        <v>30.740936000000001</v>
      </c>
      <c r="G29" s="157">
        <v>31.458558</v>
      </c>
      <c r="H29" s="157">
        <v>32.540165000000002</v>
      </c>
      <c r="I29" s="157">
        <v>32.320242999999998</v>
      </c>
      <c r="J29" s="157">
        <v>32.323222000000001</v>
      </c>
      <c r="K29" s="157">
        <v>31.062785999999999</v>
      </c>
      <c r="L29" s="157">
        <v>26.000693999999999</v>
      </c>
      <c r="M29" s="157">
        <v>28.477751000000001</v>
      </c>
      <c r="N29" s="157">
        <v>28.441257</v>
      </c>
      <c r="O29" s="157">
        <v>28.448081999999999</v>
      </c>
      <c r="P29" s="157">
        <v>26.993219</v>
      </c>
      <c r="Q29" s="157">
        <v>27.034531000000001</v>
      </c>
      <c r="R29" s="157">
        <v>26.907309000000001</v>
      </c>
      <c r="S29" s="157">
        <v>27.063396999999998</v>
      </c>
      <c r="T29" s="157">
        <v>28.382299</v>
      </c>
      <c r="U29" s="157">
        <v>30.481016</v>
      </c>
      <c r="V29" s="157">
        <v>29.811316999999999</v>
      </c>
      <c r="W29" s="157">
        <v>21.588477999999999</v>
      </c>
    </row>
    <row r="30">
      <c r="A30" s="1" t="s">
        <v>139</v>
      </c>
      <c r="B30" s="154" t="s">
        <v>140</v>
      </c>
      <c r="C30" s="157">
        <v>107.636529</v>
      </c>
      <c r="D30" s="157">
        <v>110.73627</v>
      </c>
      <c r="E30" s="157">
        <v>110.26134500000001</v>
      </c>
      <c r="F30" s="157">
        <v>111.23528</v>
      </c>
      <c r="G30" s="157">
        <v>112.00391999999999</v>
      </c>
      <c r="H30" s="157">
        <v>114.19605799999999</v>
      </c>
      <c r="I30" s="157">
        <v>116.587794</v>
      </c>
      <c r="J30" s="157">
        <v>119.58060999999999</v>
      </c>
      <c r="K30" s="157">
        <v>117.839759</v>
      </c>
      <c r="L30" s="157">
        <v>114.039581</v>
      </c>
      <c r="M30" s="157">
        <v>112.603025</v>
      </c>
      <c r="N30" s="157">
        <v>118.184112</v>
      </c>
      <c r="O30" s="157">
        <v>118.120992</v>
      </c>
      <c r="P30" s="157">
        <v>118.71838099999999</v>
      </c>
      <c r="Q30" s="157">
        <v>118.356483</v>
      </c>
      <c r="R30" s="157">
        <v>119.748088</v>
      </c>
      <c r="S30" s="157">
        <v>120.605048</v>
      </c>
      <c r="T30" s="157">
        <v>123.135418</v>
      </c>
      <c r="U30" s="157">
        <v>123.838032</v>
      </c>
      <c r="V30" s="157">
        <v>127.564139</v>
      </c>
      <c r="W30" s="157">
        <v>115.423219</v>
      </c>
    </row>
    <row r="31">
      <c r="A31" s="159" t="s">
        <v>141</v>
      </c>
      <c r="B31" s="159" t="s">
        <v>142</v>
      </c>
      <c r="C31" s="157">
        <v>7.728758</v>
      </c>
      <c r="D31" s="157">
        <v>7.9163790000000001</v>
      </c>
      <c r="E31" s="157">
        <v>7.6195259999999996</v>
      </c>
      <c r="F31" s="157">
        <v>7.2813949999999998</v>
      </c>
      <c r="G31" s="157">
        <v>6.9169419999999997</v>
      </c>
      <c r="H31" s="157">
        <v>6.6159239999999997</v>
      </c>
      <c r="I31" s="157">
        <v>6.377637</v>
      </c>
      <c r="J31" s="157">
        <v>6.6093520000000003</v>
      </c>
      <c r="K31" s="157">
        <v>6.3567830000000001</v>
      </c>
      <c r="L31" s="157">
        <v>5.2001189999999999</v>
      </c>
      <c r="M31" s="157">
        <v>5.0222569999999997</v>
      </c>
      <c r="N31" s="157">
        <v>5.7206869999999999</v>
      </c>
      <c r="O31" s="157">
        <v>5.7848519999999999</v>
      </c>
      <c r="P31" s="157">
        <v>5.4665270000000001</v>
      </c>
      <c r="Q31" s="157">
        <v>5.0477809999999996</v>
      </c>
      <c r="R31" s="157">
        <v>5.2696180000000004</v>
      </c>
      <c r="S31" s="157">
        <v>5.2340429999999998</v>
      </c>
      <c r="T31" s="157">
        <v>5.4201540000000001</v>
      </c>
      <c r="U31" s="157">
        <v>5.7109880000000004</v>
      </c>
      <c r="V31" s="157">
        <v>5.7394429999999996</v>
      </c>
      <c r="W31" s="157">
        <v>4.7046559999999999</v>
      </c>
    </row>
    <row r="32">
      <c r="A32" s="1" t="s">
        <v>143</v>
      </c>
      <c r="B32" s="154" t="s">
        <v>144</v>
      </c>
      <c r="C32" s="157">
        <v>9.7555200000000006</v>
      </c>
      <c r="D32" s="157">
        <v>10.232670000000001</v>
      </c>
      <c r="E32" s="157">
        <v>10.209158</v>
      </c>
      <c r="F32" s="157">
        <v>10.472488</v>
      </c>
      <c r="G32" s="157">
        <v>10.47326</v>
      </c>
      <c r="H32" s="157">
        <v>10.245184999999999</v>
      </c>
      <c r="I32" s="157">
        <v>9.9934890000000003</v>
      </c>
      <c r="J32" s="157">
        <v>10.054644</v>
      </c>
      <c r="K32" s="157">
        <v>10.362041</v>
      </c>
      <c r="L32" s="157">
        <v>10.315694000000001</v>
      </c>
      <c r="M32" s="157">
        <v>10.129296</v>
      </c>
      <c r="N32" s="157">
        <v>10.804295</v>
      </c>
      <c r="O32" s="157">
        <v>10.891468</v>
      </c>
      <c r="P32" s="157">
        <v>10.932872</v>
      </c>
      <c r="Q32" s="157">
        <v>11.156261000000001</v>
      </c>
      <c r="R32" s="157">
        <v>10.876778</v>
      </c>
      <c r="S32" s="157">
        <v>10.965140999999999</v>
      </c>
      <c r="T32" s="157">
        <v>11.110309000000001</v>
      </c>
      <c r="U32" s="157">
        <v>10.568101</v>
      </c>
      <c r="V32" s="157">
        <v>10.878606</v>
      </c>
      <c r="W32" s="157">
        <v>9.9541070000000005</v>
      </c>
    </row>
    <row r="33">
      <c r="A33" s="160" t="s">
        <v>145</v>
      </c>
      <c r="B33" s="160" t="s">
        <v>146</v>
      </c>
      <c r="C33" s="157">
        <v>15.201510000000001</v>
      </c>
      <c r="D33" s="157">
        <v>14.763462000000001</v>
      </c>
      <c r="E33" s="157">
        <v>14.06606</v>
      </c>
      <c r="F33" s="157">
        <v>14.153542</v>
      </c>
      <c r="G33" s="157">
        <v>14.133512</v>
      </c>
      <c r="H33" s="157">
        <v>15.497234000000001</v>
      </c>
      <c r="I33" s="157">
        <v>14.823026</v>
      </c>
      <c r="J33" s="157">
        <v>15.47382</v>
      </c>
      <c r="K33" s="157">
        <v>14.488583</v>
      </c>
      <c r="L33" s="157">
        <v>15.200737999999999</v>
      </c>
      <c r="M33" s="157">
        <v>14.442672999999999</v>
      </c>
      <c r="N33" s="157">
        <v>15.151477999999999</v>
      </c>
      <c r="O33" s="157">
        <v>15.474824999999999</v>
      </c>
      <c r="P33" s="157">
        <v>17.462278000000001</v>
      </c>
      <c r="Q33" s="157">
        <v>18.203213000000002</v>
      </c>
      <c r="R33" s="157">
        <v>18.339183999999999</v>
      </c>
      <c r="S33" s="157">
        <v>19.159825999999999</v>
      </c>
      <c r="T33" s="157">
        <v>20.072040000000001</v>
      </c>
      <c r="U33" s="157">
        <v>19.723796</v>
      </c>
      <c r="V33" s="157">
        <v>20.784559000000002</v>
      </c>
      <c r="W33" s="157">
        <v>19.246948</v>
      </c>
    </row>
    <row r="34">
      <c r="A34" s="160" t="s">
        <v>147</v>
      </c>
      <c r="B34" s="160" t="s">
        <v>148</v>
      </c>
      <c r="C34" s="157">
        <v>7.0963750000000001</v>
      </c>
      <c r="D34" s="157">
        <v>8.1969740000000009</v>
      </c>
      <c r="E34" s="157">
        <v>8.5355059999999998</v>
      </c>
      <c r="F34" s="157">
        <v>8.835744</v>
      </c>
      <c r="G34" s="157">
        <v>8.5607190000000006</v>
      </c>
      <c r="H34" s="157">
        <v>9.2470180000000006</v>
      </c>
      <c r="I34" s="157">
        <v>10.981588</v>
      </c>
      <c r="J34" s="157">
        <v>11.226611999999999</v>
      </c>
      <c r="K34" s="157">
        <v>11.339971999999999</v>
      </c>
      <c r="L34" s="157">
        <v>11.000344</v>
      </c>
      <c r="M34" s="157">
        <v>10.984916</v>
      </c>
      <c r="N34" s="157">
        <v>11.392872000000001</v>
      </c>
      <c r="O34" s="157">
        <v>11.747849</v>
      </c>
      <c r="P34" s="157">
        <v>11.400753</v>
      </c>
      <c r="Q34" s="157">
        <v>11.517984999999999</v>
      </c>
      <c r="R34" s="157">
        <v>12.272225000000001</v>
      </c>
      <c r="S34" s="157">
        <v>12.81461</v>
      </c>
      <c r="T34" s="157">
        <v>13.152265</v>
      </c>
      <c r="U34" s="157">
        <v>13.967620999999999</v>
      </c>
      <c r="V34" s="157">
        <v>14.940269000000001</v>
      </c>
      <c r="W34" s="157">
        <v>14.900026</v>
      </c>
    </row>
    <row r="35">
      <c r="A35" s="1" t="s">
        <v>149</v>
      </c>
      <c r="B35" s="154" t="s">
        <v>150</v>
      </c>
      <c r="C35" s="157">
        <v>17.412953000000002</v>
      </c>
      <c r="D35" s="157">
        <v>18.055399000000001</v>
      </c>
      <c r="E35" s="157">
        <v>18.409973999999998</v>
      </c>
      <c r="F35" s="157">
        <v>19.716028999999999</v>
      </c>
      <c r="G35" s="157">
        <v>20.101071000000001</v>
      </c>
      <c r="H35" s="157">
        <v>20.671482999999998</v>
      </c>
      <c r="I35" s="157">
        <v>21.298949</v>
      </c>
      <c r="J35" s="157">
        <v>21.756567</v>
      </c>
      <c r="K35" s="157">
        <v>21.268037</v>
      </c>
      <c r="L35" s="157">
        <v>18.832214</v>
      </c>
      <c r="M35" s="157">
        <v>18.248799000000002</v>
      </c>
      <c r="N35" s="157">
        <v>20.400644</v>
      </c>
      <c r="O35" s="157">
        <v>19.666101999999999</v>
      </c>
      <c r="P35" s="157">
        <v>18.696278</v>
      </c>
      <c r="Q35" s="157">
        <v>18.523551999999999</v>
      </c>
      <c r="R35" s="157">
        <v>18.826789999999999</v>
      </c>
      <c r="S35" s="157">
        <v>18.676333</v>
      </c>
      <c r="T35" s="157">
        <v>18.876024999999998</v>
      </c>
      <c r="U35" s="157">
        <v>19.778382000000001</v>
      </c>
      <c r="V35" s="157">
        <v>19.812342999999998</v>
      </c>
      <c r="W35" s="157">
        <v>17.885584000000001</v>
      </c>
    </row>
    <row r="36">
      <c r="A36" s="161" t="s">
        <v>151</v>
      </c>
      <c r="B36" s="161" t="s">
        <v>152</v>
      </c>
      <c r="C36" s="157">
        <v>24.255374</v>
      </c>
      <c r="D36" s="157">
        <v>24.447949000000001</v>
      </c>
      <c r="E36" s="157">
        <v>24.380507000000001</v>
      </c>
      <c r="F36" s="157">
        <v>24.315009</v>
      </c>
      <c r="G36" s="157">
        <v>24.667256999999999</v>
      </c>
      <c r="H36" s="157">
        <v>23.865376000000001</v>
      </c>
      <c r="I36" s="157">
        <v>24.026119999999999</v>
      </c>
      <c r="J36" s="157">
        <v>24.463282</v>
      </c>
      <c r="K36" s="157">
        <v>23.969868000000002</v>
      </c>
      <c r="L36" s="157">
        <v>23.940850000000001</v>
      </c>
      <c r="M36" s="157">
        <v>24.627644</v>
      </c>
      <c r="N36" s="157">
        <v>24.858457999999999</v>
      </c>
      <c r="O36" s="157">
        <v>24.396314</v>
      </c>
      <c r="P36" s="157">
        <v>25.766483999999998</v>
      </c>
      <c r="Q36" s="157">
        <v>25.214587999999999</v>
      </c>
      <c r="R36" s="157">
        <v>25.624379000000001</v>
      </c>
      <c r="S36" s="157">
        <v>26.013804</v>
      </c>
      <c r="T36" s="157">
        <v>26.657764</v>
      </c>
      <c r="U36" s="157">
        <v>25.460822</v>
      </c>
      <c r="V36" s="157">
        <v>25.805907999999999</v>
      </c>
      <c r="W36" s="157">
        <v>21.701089</v>
      </c>
    </row>
    <row r="37">
      <c r="A37" s="1" t="s">
        <v>153</v>
      </c>
      <c r="B37" s="154" t="s">
        <v>154</v>
      </c>
      <c r="C37" s="157">
        <v>28.254632999999998</v>
      </c>
      <c r="D37" s="157">
        <v>28.725096000000001</v>
      </c>
      <c r="E37" s="157">
        <v>28.358239999999999</v>
      </c>
      <c r="F37" s="157">
        <v>27.245087999999999</v>
      </c>
      <c r="G37" s="157">
        <v>28.210153999999999</v>
      </c>
      <c r="H37" s="157">
        <v>29.230820999999999</v>
      </c>
      <c r="I37" s="157">
        <v>29.779657</v>
      </c>
      <c r="J37" s="157">
        <v>30.866015999999998</v>
      </c>
      <c r="K37" s="157">
        <v>30.781068000000001</v>
      </c>
      <c r="L37" s="157">
        <v>30.004085</v>
      </c>
      <c r="M37" s="157">
        <v>29.555235</v>
      </c>
      <c r="N37" s="157">
        <v>30.235903</v>
      </c>
      <c r="O37" s="157">
        <v>30.523461000000001</v>
      </c>
      <c r="P37" s="157">
        <v>29.043524000000001</v>
      </c>
      <c r="Q37" s="157">
        <v>28.693103000000001</v>
      </c>
      <c r="R37" s="157">
        <v>28.539113</v>
      </c>
      <c r="S37" s="157">
        <v>27.720690999999999</v>
      </c>
      <c r="T37" s="157">
        <v>27.869295999999999</v>
      </c>
      <c r="U37" s="157">
        <v>28.652469</v>
      </c>
      <c r="V37" s="157">
        <v>29.666309999999999</v>
      </c>
      <c r="W37" s="157">
        <v>27.234922000000001</v>
      </c>
    </row>
    <row r="38">
      <c r="A38" s="162" t="s">
        <v>155</v>
      </c>
      <c r="B38" s="163" t="s">
        <v>29</v>
      </c>
      <c r="C38" s="157">
        <v>115.435343</v>
      </c>
      <c r="D38" s="157">
        <v>119.966746</v>
      </c>
      <c r="E38" s="157">
        <v>119.421395</v>
      </c>
      <c r="F38" s="157">
        <v>119.08888899999999</v>
      </c>
      <c r="G38" s="157">
        <v>121.36758</v>
      </c>
      <c r="H38" s="157">
        <v>124.69868200000001</v>
      </c>
      <c r="I38" s="157">
        <v>127.732686</v>
      </c>
      <c r="J38" s="157">
        <v>133.59735499999999</v>
      </c>
      <c r="K38" s="157">
        <v>131.61919700000001</v>
      </c>
      <c r="L38" s="157">
        <v>123.99427300000001</v>
      </c>
      <c r="M38" s="157">
        <v>120.903094</v>
      </c>
      <c r="N38" s="157">
        <v>118.61881099999999</v>
      </c>
      <c r="O38" s="157">
        <v>112.59388199999999</v>
      </c>
      <c r="P38" s="157">
        <v>113.12113600000001</v>
      </c>
      <c r="Q38" s="157">
        <v>110.115753</v>
      </c>
      <c r="R38" s="157">
        <v>109.505257</v>
      </c>
      <c r="S38" s="157">
        <v>108.449133</v>
      </c>
      <c r="T38" s="157">
        <v>110.800995</v>
      </c>
      <c r="U38" s="157">
        <v>111.94245100000001</v>
      </c>
      <c r="V38" s="157">
        <v>114.881552</v>
      </c>
      <c r="W38" s="157">
        <v>96.546553000000003</v>
      </c>
    </row>
    <row r="39">
      <c r="A39" s="1" t="s">
        <v>156</v>
      </c>
      <c r="B39" s="154" t="s">
        <v>157</v>
      </c>
      <c r="C39" s="157">
        <v>854.66098099999999</v>
      </c>
      <c r="D39" s="157">
        <v>874.04384400000004</v>
      </c>
      <c r="E39" s="157">
        <v>886.50923899999998</v>
      </c>
      <c r="F39" s="157">
        <v>896.77774799999997</v>
      </c>
      <c r="G39" s="157">
        <v>923.68864900000005</v>
      </c>
      <c r="H39" s="157">
        <v>942.78867200000002</v>
      </c>
      <c r="I39" s="157">
        <v>972.29396899999995</v>
      </c>
      <c r="J39" s="157">
        <v>1003.958573</v>
      </c>
      <c r="K39" s="157">
        <v>1019.252011</v>
      </c>
      <c r="L39" s="157">
        <v>987.10458900000003</v>
      </c>
      <c r="M39" s="157">
        <v>1013.315817</v>
      </c>
      <c r="N39" s="157">
        <v>1041.90435</v>
      </c>
      <c r="O39" s="157">
        <v>1053.1905690000001</v>
      </c>
      <c r="P39" s="157">
        <v>1058.51658</v>
      </c>
      <c r="Q39" s="157">
        <v>1072.5710300000001</v>
      </c>
      <c r="R39" s="157">
        <v>1087.9917009999999</v>
      </c>
      <c r="S39" s="157">
        <v>1106.6541749999999</v>
      </c>
      <c r="T39" s="157">
        <v>1137.041563</v>
      </c>
      <c r="U39" s="157">
        <v>1163.337865</v>
      </c>
      <c r="V39" s="157">
        <v>1192.838761</v>
      </c>
      <c r="W39" s="157">
        <v>1092.6543059999999</v>
      </c>
    </row>
    <row r="40">
      <c r="A40" s="1" t="s">
        <v>158</v>
      </c>
      <c r="B40" s="154" t="s">
        <v>159</v>
      </c>
      <c r="C40" s="157">
        <v>290.84373199999999</v>
      </c>
      <c r="D40" s="157">
        <v>298.63553300000001</v>
      </c>
      <c r="E40" s="157">
        <v>301.47765600000002</v>
      </c>
      <c r="F40" s="157">
        <v>302.77336200000002</v>
      </c>
      <c r="G40" s="157">
        <v>307.17890899999998</v>
      </c>
      <c r="H40" s="157">
        <v>310.75261399999999</v>
      </c>
      <c r="I40" s="157">
        <v>316.59435000000002</v>
      </c>
      <c r="J40" s="157">
        <v>326.74801400000001</v>
      </c>
      <c r="K40" s="157">
        <v>331.68282699999997</v>
      </c>
      <c r="L40" s="157">
        <v>314.35572999999999</v>
      </c>
      <c r="M40" s="157">
        <v>321.78294599999998</v>
      </c>
      <c r="N40" s="157">
        <v>332.43240800000001</v>
      </c>
      <c r="O40" s="157">
        <v>333.55157400000002</v>
      </c>
      <c r="P40" s="157">
        <v>333.72658699999999</v>
      </c>
      <c r="Q40" s="157">
        <v>336.86556200000001</v>
      </c>
      <c r="R40" s="157">
        <v>344.02880599999997</v>
      </c>
      <c r="S40" s="157">
        <v>351.19842399999999</v>
      </c>
      <c r="T40" s="157">
        <v>358.51860699999997</v>
      </c>
      <c r="U40" s="157">
        <v>359.13032299999998</v>
      </c>
      <c r="V40" s="157">
        <v>367.57460900000001</v>
      </c>
      <c r="W40" s="157">
        <v>308.04420199999998</v>
      </c>
    </row>
    <row r="41">
      <c r="A41" s="1" t="s">
        <v>160</v>
      </c>
      <c r="B41" s="154" t="s">
        <v>161</v>
      </c>
      <c r="C41" s="157">
        <v>171.396061</v>
      </c>
      <c r="D41" s="157">
        <v>178.03922399999999</v>
      </c>
      <c r="E41" s="157">
        <v>180.91576800000001</v>
      </c>
      <c r="F41" s="157">
        <v>182.402727</v>
      </c>
      <c r="G41" s="157">
        <v>183.624863</v>
      </c>
      <c r="H41" s="157">
        <v>184.189009</v>
      </c>
      <c r="I41" s="157">
        <v>186.79444000000001</v>
      </c>
      <c r="J41" s="157">
        <v>192.82199299999999</v>
      </c>
      <c r="K41" s="157">
        <v>197.99284900000001</v>
      </c>
      <c r="L41" s="157">
        <v>186.68932599999999</v>
      </c>
      <c r="M41" s="157">
        <v>186.60430700000001</v>
      </c>
      <c r="N41" s="157">
        <v>192.73387</v>
      </c>
      <c r="O41" s="157">
        <v>192.943172</v>
      </c>
      <c r="P41" s="157">
        <v>194.75059899999999</v>
      </c>
      <c r="Q41" s="157">
        <v>198.270906</v>
      </c>
      <c r="R41" s="157">
        <v>208.25428199999999</v>
      </c>
      <c r="S41" s="157">
        <v>213.191136</v>
      </c>
      <c r="T41" s="157">
        <v>217.57671199999999</v>
      </c>
      <c r="U41" s="157">
        <v>219.716903</v>
      </c>
      <c r="V41" s="157">
        <v>221.64131</v>
      </c>
      <c r="W41" s="157">
        <v>208.11429000000001</v>
      </c>
    </row>
    <row r="42">
      <c r="A42" s="1" t="s">
        <v>162</v>
      </c>
      <c r="B42" s="154" t="s">
        <v>163</v>
      </c>
      <c r="C42" s="157">
        <v>74.157089999999997</v>
      </c>
      <c r="D42" s="157">
        <v>73.977934000000005</v>
      </c>
      <c r="E42" s="157">
        <v>75.008655000000005</v>
      </c>
      <c r="F42" s="157">
        <v>74.949951999999996</v>
      </c>
      <c r="G42" s="157">
        <v>78.468664000000004</v>
      </c>
      <c r="H42" s="157">
        <v>80.725566000000001</v>
      </c>
      <c r="I42" s="157">
        <v>83.277325000000005</v>
      </c>
      <c r="J42" s="157">
        <v>85.965557000000004</v>
      </c>
      <c r="K42" s="157">
        <v>85.510874000000001</v>
      </c>
      <c r="L42" s="157">
        <v>80.593101000000004</v>
      </c>
      <c r="M42" s="157">
        <v>86.680441999999999</v>
      </c>
      <c r="N42" s="157">
        <v>88.568935999999994</v>
      </c>
      <c r="O42" s="157">
        <v>89.679914999999994</v>
      </c>
      <c r="P42" s="157">
        <v>87.568494999999999</v>
      </c>
      <c r="Q42" s="157">
        <v>87.696288999999993</v>
      </c>
      <c r="R42" s="157">
        <v>85.025486000000001</v>
      </c>
      <c r="S42" s="157">
        <v>86.508730999999997</v>
      </c>
      <c r="T42" s="157">
        <v>88.749098000000004</v>
      </c>
      <c r="U42" s="157">
        <v>86.409052000000003</v>
      </c>
      <c r="V42" s="157">
        <v>89.755247999999995</v>
      </c>
      <c r="W42" s="157">
        <v>69.124375000000001</v>
      </c>
    </row>
    <row r="43">
      <c r="A43" s="1" t="s">
        <v>164</v>
      </c>
      <c r="B43" s="154" t="s">
        <v>165</v>
      </c>
      <c r="C43" s="157">
        <v>45.635714999999998</v>
      </c>
      <c r="D43" s="157">
        <v>46.779704000000002</v>
      </c>
      <c r="E43" s="157">
        <v>45.369385999999999</v>
      </c>
      <c r="F43" s="157">
        <v>45.165066000000003</v>
      </c>
      <c r="G43" s="157">
        <v>44.852884000000003</v>
      </c>
      <c r="H43" s="157">
        <v>45.738351999999999</v>
      </c>
      <c r="I43" s="157">
        <v>46.484977999999998</v>
      </c>
      <c r="J43" s="157">
        <v>47.918776999999999</v>
      </c>
      <c r="K43" s="157">
        <v>48.023831000000001</v>
      </c>
      <c r="L43" s="157">
        <v>47.010202</v>
      </c>
      <c r="M43" s="157">
        <v>48.664200999999998</v>
      </c>
      <c r="N43" s="157">
        <v>51.290877000000002</v>
      </c>
      <c r="O43" s="157">
        <v>51.133006000000002</v>
      </c>
      <c r="P43" s="157">
        <v>51.460731000000003</v>
      </c>
      <c r="Q43" s="157">
        <v>50.898366000000003</v>
      </c>
      <c r="R43" s="157">
        <v>50.749037999999999</v>
      </c>
      <c r="S43" s="157">
        <v>51.532573999999997</v>
      </c>
      <c r="T43" s="157">
        <v>52.221138000000003</v>
      </c>
      <c r="U43" s="157">
        <v>53.183914000000001</v>
      </c>
      <c r="V43" s="157">
        <v>56.056249999999999</v>
      </c>
      <c r="W43" s="157">
        <v>32.796370000000003</v>
      </c>
    </row>
    <row r="44">
      <c r="A44" s="1" t="s">
        <v>166</v>
      </c>
      <c r="B44" s="154" t="s">
        <v>167</v>
      </c>
      <c r="C44" s="157">
        <v>52.548471999999997</v>
      </c>
      <c r="D44" s="157">
        <v>56.908489000000003</v>
      </c>
      <c r="E44" s="157">
        <v>61.428776999999997</v>
      </c>
      <c r="F44" s="157">
        <v>63.721981999999997</v>
      </c>
      <c r="G44" s="157">
        <v>68.502025000000003</v>
      </c>
      <c r="H44" s="157">
        <v>69.330124999999995</v>
      </c>
      <c r="I44" s="157">
        <v>75.667862</v>
      </c>
      <c r="J44" s="157">
        <v>79.396192999999997</v>
      </c>
      <c r="K44" s="157">
        <v>82.105980000000002</v>
      </c>
      <c r="L44" s="157">
        <v>78.835273999999998</v>
      </c>
      <c r="M44" s="157">
        <v>81.816299999999998</v>
      </c>
      <c r="N44" s="157">
        <v>87.005201999999997</v>
      </c>
      <c r="O44" s="157">
        <v>91.059291000000002</v>
      </c>
      <c r="P44" s="157">
        <v>90.574571000000006</v>
      </c>
      <c r="Q44" s="157">
        <v>94.375947999999994</v>
      </c>
      <c r="R44" s="157">
        <v>97.953288999999998</v>
      </c>
      <c r="S44" s="157">
        <v>100.967552</v>
      </c>
      <c r="T44" s="157">
        <v>107.08545100000001</v>
      </c>
      <c r="U44" s="157">
        <v>113.027378</v>
      </c>
      <c r="V44" s="157">
        <v>118.480981</v>
      </c>
      <c r="W44" s="157">
        <v>119.644657</v>
      </c>
    </row>
    <row r="45">
      <c r="A45" s="1" t="s">
        <v>168</v>
      </c>
      <c r="B45" s="154" t="s">
        <v>169</v>
      </c>
      <c r="C45" s="157">
        <v>19.383137999999999</v>
      </c>
      <c r="D45" s="157">
        <v>19.889327000000002</v>
      </c>
      <c r="E45" s="157">
        <v>19.806692000000002</v>
      </c>
      <c r="F45" s="157">
        <v>20.317522</v>
      </c>
      <c r="G45" s="157">
        <v>21.897606</v>
      </c>
      <c r="H45" s="157">
        <v>22.440643000000001</v>
      </c>
      <c r="I45" s="157">
        <v>23.190992999999999</v>
      </c>
      <c r="J45" s="157">
        <v>24.019515999999999</v>
      </c>
      <c r="K45" s="157">
        <v>23.673562</v>
      </c>
      <c r="L45" s="157">
        <v>21.876767000000001</v>
      </c>
      <c r="M45" s="157">
        <v>22.751301999999999</v>
      </c>
      <c r="N45" s="157">
        <v>24.045839999999998</v>
      </c>
      <c r="O45" s="157">
        <v>23.243867999999999</v>
      </c>
      <c r="P45" s="157">
        <v>22.837195000000001</v>
      </c>
      <c r="Q45" s="157">
        <v>23.408149999999999</v>
      </c>
      <c r="R45" s="157">
        <v>23.429345000000001</v>
      </c>
      <c r="S45" s="157">
        <v>23.811530000000001</v>
      </c>
      <c r="T45" s="157">
        <v>25.365144000000001</v>
      </c>
      <c r="U45" s="157">
        <v>26.043462999999999</v>
      </c>
      <c r="V45" s="157">
        <v>26.845939999999999</v>
      </c>
      <c r="W45" s="157">
        <v>25.355122000000001</v>
      </c>
    </row>
    <row r="46">
      <c r="A46" s="1" t="s">
        <v>170</v>
      </c>
      <c r="B46" s="154" t="s">
        <v>171</v>
      </c>
      <c r="C46" s="157">
        <v>9.008286</v>
      </c>
      <c r="D46" s="157">
        <v>10.810107</v>
      </c>
      <c r="E46" s="157">
        <v>13.617540999999999</v>
      </c>
      <c r="F46" s="157">
        <v>13.938879</v>
      </c>
      <c r="G46" s="157">
        <v>15.007693</v>
      </c>
      <c r="H46" s="157">
        <v>15.022373999999999</v>
      </c>
      <c r="I46" s="157">
        <v>17.099734999999999</v>
      </c>
      <c r="J46" s="157">
        <v>17.901907000000001</v>
      </c>
      <c r="K46" s="157">
        <v>18.385791999999999</v>
      </c>
      <c r="L46" s="157">
        <v>17.932514000000001</v>
      </c>
      <c r="M46" s="157">
        <v>18.637521</v>
      </c>
      <c r="N46" s="157">
        <v>20.962475999999999</v>
      </c>
      <c r="O46" s="157">
        <v>23.168897999999999</v>
      </c>
      <c r="P46" s="157">
        <v>23.219666</v>
      </c>
      <c r="Q46" s="157">
        <v>24.141013999999998</v>
      </c>
      <c r="R46" s="157">
        <v>25.387605000000001</v>
      </c>
      <c r="S46" s="157">
        <v>24.902417</v>
      </c>
      <c r="T46" s="157">
        <v>26.110399999999998</v>
      </c>
      <c r="U46" s="157">
        <v>27.289002</v>
      </c>
      <c r="V46" s="157">
        <v>28.413038</v>
      </c>
      <c r="W46" s="157">
        <v>30.402187999999999</v>
      </c>
    </row>
    <row r="47">
      <c r="A47" s="1" t="s">
        <v>172</v>
      </c>
      <c r="B47" s="154" t="s">
        <v>173</v>
      </c>
      <c r="C47" s="157">
        <v>28.864281999999999</v>
      </c>
      <c r="D47" s="157">
        <v>29.842191</v>
      </c>
      <c r="E47" s="157">
        <v>29.690265</v>
      </c>
      <c r="F47" s="157">
        <v>31.339994000000001</v>
      </c>
      <c r="G47" s="157">
        <v>33.594562000000003</v>
      </c>
      <c r="H47" s="157">
        <v>34.078470000000003</v>
      </c>
      <c r="I47" s="157">
        <v>36.959558000000001</v>
      </c>
      <c r="J47" s="157">
        <v>39.130225000000003</v>
      </c>
      <c r="K47" s="157">
        <v>41.676504000000001</v>
      </c>
      <c r="L47" s="157">
        <v>40.287551999999998</v>
      </c>
      <c r="M47" s="157">
        <v>41.717910000000003</v>
      </c>
      <c r="N47" s="157">
        <v>42.608907000000002</v>
      </c>
      <c r="O47" s="157">
        <v>44.678975000000001</v>
      </c>
      <c r="P47" s="157">
        <v>44.511212999999998</v>
      </c>
      <c r="Q47" s="157">
        <v>46.826785000000001</v>
      </c>
      <c r="R47" s="157">
        <v>49.136339</v>
      </c>
      <c r="S47" s="157">
        <v>52.227702999999998</v>
      </c>
      <c r="T47" s="157">
        <v>55.573903999999999</v>
      </c>
      <c r="U47" s="157">
        <v>59.667560000000002</v>
      </c>
      <c r="V47" s="157">
        <v>63.189658000000001</v>
      </c>
      <c r="W47" s="157">
        <v>64.102996000000005</v>
      </c>
    </row>
    <row r="48">
      <c r="A48" s="1" t="s">
        <v>174</v>
      </c>
      <c r="B48" s="154" t="s">
        <v>175</v>
      </c>
      <c r="C48" s="157">
        <v>62.867615999999998</v>
      </c>
      <c r="D48" s="157">
        <v>61.420133999999997</v>
      </c>
      <c r="E48" s="157">
        <v>63.902166000000001</v>
      </c>
      <c r="F48" s="157">
        <v>64.976045999999997</v>
      </c>
      <c r="G48" s="157">
        <v>68.616904000000005</v>
      </c>
      <c r="H48" s="157">
        <v>68.926483000000005</v>
      </c>
      <c r="I48" s="157">
        <v>67.465087999999994</v>
      </c>
      <c r="J48" s="157">
        <v>72.481999000000002</v>
      </c>
      <c r="K48" s="157">
        <v>73.459676000000002</v>
      </c>
      <c r="L48" s="157">
        <v>78.393384999999995</v>
      </c>
      <c r="M48" s="157">
        <v>78.692867000000007</v>
      </c>
      <c r="N48" s="157">
        <v>83.877752999999998</v>
      </c>
      <c r="O48" s="157">
        <v>85.825554999999994</v>
      </c>
      <c r="P48" s="157">
        <v>85.828542999999996</v>
      </c>
      <c r="Q48" s="157">
        <v>86.922708</v>
      </c>
      <c r="R48" s="157">
        <v>87.092391000000006</v>
      </c>
      <c r="S48" s="157">
        <v>86.822427000000005</v>
      </c>
      <c r="T48" s="157">
        <v>87.271518999999998</v>
      </c>
      <c r="U48" s="157">
        <v>93.555757999999997</v>
      </c>
      <c r="V48" s="157">
        <v>95.154634999999999</v>
      </c>
      <c r="W48" s="157">
        <v>89.213160999999999</v>
      </c>
    </row>
    <row r="49">
      <c r="A49" s="1" t="s">
        <v>176</v>
      </c>
      <c r="B49" s="154" t="s">
        <v>177</v>
      </c>
      <c r="C49" s="157">
        <v>199.851969</v>
      </c>
      <c r="D49" s="157">
        <v>206.111817</v>
      </c>
      <c r="E49" s="157">
        <v>202.70647099999999</v>
      </c>
      <c r="F49" s="157">
        <v>204.07121699999999</v>
      </c>
      <c r="G49" s="157">
        <v>211.829916</v>
      </c>
      <c r="H49" s="157">
        <v>218.52077499999999</v>
      </c>
      <c r="I49" s="157">
        <v>225.14655400000001</v>
      </c>
      <c r="J49" s="157">
        <v>228.096936</v>
      </c>
      <c r="K49" s="157">
        <v>228.50703999999999</v>
      </c>
      <c r="L49" s="157">
        <v>230.21879000000001</v>
      </c>
      <c r="M49" s="157">
        <v>234.79736</v>
      </c>
      <c r="N49" s="157">
        <v>234.243888</v>
      </c>
      <c r="O49" s="157">
        <v>238.52232900000001</v>
      </c>
      <c r="P49" s="157">
        <v>243.20063300000001</v>
      </c>
      <c r="Q49" s="157">
        <v>245.92055199999999</v>
      </c>
      <c r="R49" s="157">
        <v>246.727453</v>
      </c>
      <c r="S49" s="157">
        <v>248.68389500000001</v>
      </c>
      <c r="T49" s="157">
        <v>250.644665</v>
      </c>
      <c r="U49" s="157">
        <v>253.901689</v>
      </c>
      <c r="V49" s="157">
        <v>258.66377299999999</v>
      </c>
      <c r="W49" s="157">
        <v>255.36476200000001</v>
      </c>
    </row>
    <row r="50">
      <c r="A50" s="1" t="s">
        <v>178</v>
      </c>
      <c r="B50" s="154" t="s">
        <v>179</v>
      </c>
      <c r="C50" s="157">
        <v>209.58815799999999</v>
      </c>
      <c r="D50" s="157">
        <v>208.524891</v>
      </c>
      <c r="E50" s="157">
        <v>210.816509</v>
      </c>
      <c r="F50" s="157">
        <v>212.73299900000001</v>
      </c>
      <c r="G50" s="157">
        <v>217.17214100000001</v>
      </c>
      <c r="H50" s="157">
        <v>224.640277</v>
      </c>
      <c r="I50" s="157">
        <v>233.861132</v>
      </c>
      <c r="J50" s="157">
        <v>242.27982399999999</v>
      </c>
      <c r="K50" s="157">
        <v>246.59453999999999</v>
      </c>
      <c r="L50" s="157">
        <v>228.91269199999999</v>
      </c>
      <c r="M50" s="157">
        <v>237.92855700000001</v>
      </c>
      <c r="N50" s="157">
        <v>246.16961900000001</v>
      </c>
      <c r="O50" s="157">
        <v>245.92675500000001</v>
      </c>
      <c r="P50" s="157">
        <v>246.89797999999999</v>
      </c>
      <c r="Q50" s="157">
        <v>250.22551000000001</v>
      </c>
      <c r="R50" s="157">
        <v>254.548956</v>
      </c>
      <c r="S50" s="157">
        <v>261.28500600000001</v>
      </c>
      <c r="T50" s="157">
        <v>274.961071</v>
      </c>
      <c r="U50" s="157">
        <v>284.70895300000001</v>
      </c>
      <c r="V50" s="157">
        <v>292.64949999999999</v>
      </c>
      <c r="W50" s="157">
        <v>274.46176000000003</v>
      </c>
    </row>
    <row r="51">
      <c r="A51" s="1" t="s">
        <v>180</v>
      </c>
      <c r="B51" s="154" t="s">
        <v>181</v>
      </c>
      <c r="C51" s="157">
        <v>69.865482999999998</v>
      </c>
      <c r="D51" s="157">
        <v>69.079357999999999</v>
      </c>
      <c r="E51" s="157">
        <v>72.161817999999997</v>
      </c>
      <c r="F51" s="157">
        <v>75.704161999999997</v>
      </c>
      <c r="G51" s="157">
        <v>78.426360000000003</v>
      </c>
      <c r="H51" s="157">
        <v>81.717325000000002</v>
      </c>
      <c r="I51" s="157">
        <v>87.155294999999995</v>
      </c>
      <c r="J51" s="157">
        <v>90.310184000000007</v>
      </c>
      <c r="K51" s="157">
        <v>92.020143000000004</v>
      </c>
      <c r="L51" s="157">
        <v>87.376951000000005</v>
      </c>
      <c r="M51" s="157">
        <v>92.349597000000003</v>
      </c>
      <c r="N51" s="157">
        <v>95.639998000000006</v>
      </c>
      <c r="O51" s="157">
        <v>97.611407</v>
      </c>
      <c r="P51" s="157">
        <v>98.985677999999993</v>
      </c>
      <c r="Q51" s="157">
        <v>100.60877600000001</v>
      </c>
      <c r="R51" s="157">
        <v>102.37482199999999</v>
      </c>
      <c r="S51" s="157">
        <v>105.076504</v>
      </c>
      <c r="T51" s="157">
        <v>110.17821600000001</v>
      </c>
      <c r="U51" s="157">
        <v>114.41453</v>
      </c>
      <c r="V51" s="157">
        <v>118.26093299999999</v>
      </c>
      <c r="W51" s="157">
        <v>112.490301</v>
      </c>
    </row>
    <row r="52">
      <c r="A52" s="1" t="s">
        <v>182</v>
      </c>
      <c r="B52" s="154" t="s">
        <v>183</v>
      </c>
      <c r="C52" s="157">
        <v>27.413891</v>
      </c>
      <c r="D52" s="157">
        <v>26.476153</v>
      </c>
      <c r="E52" s="157">
        <v>27.087040999999999</v>
      </c>
      <c r="F52" s="157">
        <v>26.676573000000001</v>
      </c>
      <c r="G52" s="157">
        <v>26.896056999999999</v>
      </c>
      <c r="H52" s="157">
        <v>26.565214000000001</v>
      </c>
      <c r="I52" s="157">
        <v>26.985468000000001</v>
      </c>
      <c r="J52" s="157">
        <v>27.641169999999999</v>
      </c>
      <c r="K52" s="157">
        <v>29.067184000000001</v>
      </c>
      <c r="L52" s="157">
        <v>29.596568999999999</v>
      </c>
      <c r="M52" s="157">
        <v>30.390976999999999</v>
      </c>
      <c r="N52" s="157">
        <v>31.111065</v>
      </c>
      <c r="O52" s="157">
        <v>31.905929</v>
      </c>
      <c r="P52" s="157">
        <v>32.930802</v>
      </c>
      <c r="Q52" s="157">
        <v>33.550325000000001</v>
      </c>
      <c r="R52" s="157">
        <v>33.455739000000001</v>
      </c>
      <c r="S52" s="157">
        <v>33.362495000000003</v>
      </c>
      <c r="T52" s="157">
        <v>35.352969000000002</v>
      </c>
      <c r="U52" s="157">
        <v>35.547234000000003</v>
      </c>
      <c r="V52" s="157">
        <v>36.015591999999998</v>
      </c>
      <c r="W52" s="157">
        <v>35.794105999999999</v>
      </c>
    </row>
    <row r="53">
      <c r="A53" s="1" t="s">
        <v>184</v>
      </c>
      <c r="B53" s="154" t="s">
        <v>185</v>
      </c>
      <c r="C53" s="157">
        <v>10.73372</v>
      </c>
      <c r="D53" s="157">
        <v>10.706769</v>
      </c>
      <c r="E53" s="157">
        <v>11.292026</v>
      </c>
      <c r="F53" s="157">
        <v>10.709196</v>
      </c>
      <c r="G53" s="157">
        <v>11.259017</v>
      </c>
      <c r="H53" s="157">
        <v>11.983407</v>
      </c>
      <c r="I53" s="157">
        <v>12.145346999999999</v>
      </c>
      <c r="J53" s="157">
        <v>12.519088</v>
      </c>
      <c r="K53" s="157">
        <v>12.700179</v>
      </c>
      <c r="L53" s="157">
        <v>12.485498</v>
      </c>
      <c r="M53" s="157">
        <v>13.040074000000001</v>
      </c>
      <c r="N53" s="157">
        <v>13.938494</v>
      </c>
      <c r="O53" s="157">
        <v>14.510355000000001</v>
      </c>
      <c r="P53" s="157">
        <v>14.326101</v>
      </c>
      <c r="Q53" s="157">
        <v>14.585618</v>
      </c>
      <c r="R53" s="157">
        <v>14.890879</v>
      </c>
      <c r="S53" s="157">
        <v>14.951174</v>
      </c>
      <c r="T53" s="157">
        <v>15.388038</v>
      </c>
      <c r="U53" s="157">
        <v>15.743112999999999</v>
      </c>
      <c r="V53" s="157">
        <v>16.322865</v>
      </c>
      <c r="W53" s="157">
        <v>16.311184999999998</v>
      </c>
    </row>
    <row r="54">
      <c r="A54" s="1" t="s">
        <v>186</v>
      </c>
      <c r="B54" s="154" t="s">
        <v>187</v>
      </c>
      <c r="C54" s="157">
        <v>103.006795</v>
      </c>
      <c r="D54" s="157">
        <v>103.789891</v>
      </c>
      <c r="E54" s="157">
        <v>101.41589500000001</v>
      </c>
      <c r="F54" s="157">
        <v>100.942015</v>
      </c>
      <c r="G54" s="157">
        <v>101.74891100000001</v>
      </c>
      <c r="H54" s="157">
        <v>105.558716</v>
      </c>
      <c r="I54" s="157">
        <v>108.780387</v>
      </c>
      <c r="J54" s="157">
        <v>113.118298</v>
      </c>
      <c r="K54" s="157">
        <v>114.033905</v>
      </c>
      <c r="L54" s="157">
        <v>99.930391</v>
      </c>
      <c r="M54" s="157">
        <v>102.496095</v>
      </c>
      <c r="N54" s="157">
        <v>105.78234999999999</v>
      </c>
      <c r="O54" s="157">
        <v>101.932438</v>
      </c>
      <c r="P54" s="157">
        <v>100.661902</v>
      </c>
      <c r="Q54" s="157">
        <v>101.480791</v>
      </c>
      <c r="R54" s="157">
        <v>103.827516</v>
      </c>
      <c r="S54" s="157">
        <v>107.887181</v>
      </c>
      <c r="T54" s="157">
        <v>114.034493</v>
      </c>
      <c r="U54" s="157">
        <v>119.003781</v>
      </c>
      <c r="V54" s="157">
        <v>122.04852700000001</v>
      </c>
      <c r="W54" s="157">
        <v>109.87823299999999</v>
      </c>
    </row>
    <row r="55">
      <c r="A55" s="1" t="s">
        <v>188</v>
      </c>
      <c r="B55" s="154" t="s">
        <v>189</v>
      </c>
      <c r="C55" s="157">
        <v>47.349400000000003</v>
      </c>
      <c r="D55" s="157">
        <v>49.062908999999998</v>
      </c>
      <c r="E55" s="157">
        <v>50.262763</v>
      </c>
      <c r="F55" s="157">
        <v>51.797640000000001</v>
      </c>
      <c r="G55" s="157">
        <v>52.844028999999999</v>
      </c>
      <c r="H55" s="157">
        <v>53.579524999999997</v>
      </c>
      <c r="I55" s="157">
        <v>55.184275999999997</v>
      </c>
      <c r="J55" s="157">
        <v>56.284261000000001</v>
      </c>
      <c r="K55" s="157">
        <v>58.073079</v>
      </c>
      <c r="L55" s="157">
        <v>57.844971000000001</v>
      </c>
      <c r="M55" s="157">
        <v>59.524766</v>
      </c>
      <c r="N55" s="157">
        <v>58.590950999999997</v>
      </c>
      <c r="O55" s="157">
        <v>58.430745999999999</v>
      </c>
      <c r="P55" s="157">
        <v>58.376353999999999</v>
      </c>
      <c r="Q55" s="157">
        <v>58.260748999999997</v>
      </c>
      <c r="R55" s="157">
        <v>57.640808</v>
      </c>
      <c r="S55" s="157">
        <v>57.707044000000003</v>
      </c>
      <c r="T55" s="157">
        <v>58.586410999999998</v>
      </c>
      <c r="U55" s="157">
        <v>59.620240000000003</v>
      </c>
      <c r="V55" s="157">
        <v>61.001089</v>
      </c>
      <c r="W55" s="157">
        <v>47.149341</v>
      </c>
    </row>
    <row r="56">
      <c r="A56" s="1" t="s">
        <v>190</v>
      </c>
      <c r="B56" s="154" t="s">
        <v>191</v>
      </c>
      <c r="C56" s="157">
        <v>18.263514000000001</v>
      </c>
      <c r="D56" s="157">
        <v>19.841491000000001</v>
      </c>
      <c r="E56" s="157">
        <v>21.669107</v>
      </c>
      <c r="F56" s="157">
        <v>22.937189</v>
      </c>
      <c r="G56" s="157">
        <v>22.858194999999998</v>
      </c>
      <c r="H56" s="157">
        <v>23.350496</v>
      </c>
      <c r="I56" s="157">
        <v>24.103404999999999</v>
      </c>
      <c r="J56" s="157">
        <v>24.564737000000001</v>
      </c>
      <c r="K56" s="157">
        <v>25.603321999999999</v>
      </c>
      <c r="L56" s="157">
        <v>25.858514</v>
      </c>
      <c r="M56" s="157">
        <v>26.642337999999999</v>
      </c>
      <c r="N56" s="157">
        <v>26.556215000000002</v>
      </c>
      <c r="O56" s="157">
        <v>26.344842</v>
      </c>
      <c r="P56" s="157">
        <v>26.826383</v>
      </c>
      <c r="Q56" s="157">
        <v>27.182728999999998</v>
      </c>
      <c r="R56" s="157">
        <v>27.423155000000001</v>
      </c>
      <c r="S56" s="157">
        <v>27.614006</v>
      </c>
      <c r="T56" s="157">
        <v>28.344080000000002</v>
      </c>
      <c r="U56" s="157">
        <v>29.583915999999999</v>
      </c>
      <c r="V56" s="157">
        <v>30.768329999999999</v>
      </c>
      <c r="W56" s="157">
        <v>20.895969999999998</v>
      </c>
    </row>
    <row r="57">
      <c r="A57" s="1" t="s">
        <v>192</v>
      </c>
      <c r="B57" s="154" t="s">
        <v>193</v>
      </c>
      <c r="C57" s="157">
        <v>25.364768000000002</v>
      </c>
      <c r="D57" s="157">
        <v>25.493660999999999</v>
      </c>
      <c r="E57" s="157">
        <v>24.713367999999999</v>
      </c>
      <c r="F57" s="157">
        <v>24.844024999999998</v>
      </c>
      <c r="G57" s="157">
        <v>25.827387000000002</v>
      </c>
      <c r="H57" s="157">
        <v>26.132898999999998</v>
      </c>
      <c r="I57" s="157">
        <v>27.004311999999999</v>
      </c>
      <c r="J57" s="157">
        <v>27.64751</v>
      </c>
      <c r="K57" s="157">
        <v>28.280308999999999</v>
      </c>
      <c r="L57" s="157">
        <v>27.827314000000001</v>
      </c>
      <c r="M57" s="157">
        <v>28.713318999999998</v>
      </c>
      <c r="N57" s="157">
        <v>27.987736999999999</v>
      </c>
      <c r="O57" s="157">
        <v>28.181688999999999</v>
      </c>
      <c r="P57" s="157">
        <v>27.832937000000001</v>
      </c>
      <c r="Q57" s="157">
        <v>27.475021000000002</v>
      </c>
      <c r="R57" s="157">
        <v>26.703652999999999</v>
      </c>
      <c r="S57" s="157">
        <v>26.529758999999999</v>
      </c>
      <c r="T57" s="157">
        <v>26.690853000000001</v>
      </c>
      <c r="U57" s="157">
        <v>26.593793999999999</v>
      </c>
      <c r="V57" s="157">
        <v>26.782654999999998</v>
      </c>
      <c r="W57" s="157">
        <v>23.416933</v>
      </c>
    </row>
    <row r="58">
      <c r="A58" s="1" t="s">
        <v>194</v>
      </c>
      <c r="B58" s="154" t="s">
        <v>195</v>
      </c>
      <c r="C58" s="157">
        <v>3.5362130000000001</v>
      </c>
      <c r="D58" s="157">
        <v>3.5740569999999998</v>
      </c>
      <c r="E58" s="157">
        <v>3.7888440000000001</v>
      </c>
      <c r="F58" s="157">
        <v>3.9649969999999999</v>
      </c>
      <c r="G58" s="157">
        <v>4.050351</v>
      </c>
      <c r="H58" s="157">
        <v>4.0165430000000004</v>
      </c>
      <c r="I58" s="157">
        <v>4.0245410000000001</v>
      </c>
      <c r="J58" s="157">
        <v>4.0350239999999999</v>
      </c>
      <c r="K58" s="157">
        <v>4.1594930000000003</v>
      </c>
      <c r="L58" s="157">
        <v>4.1420209999999997</v>
      </c>
      <c r="M58" s="157">
        <v>4.1555400000000002</v>
      </c>
      <c r="N58" s="157">
        <v>4.0399339999999997</v>
      </c>
      <c r="O58" s="157">
        <v>3.90144</v>
      </c>
      <c r="P58" s="157">
        <v>3.7180219999999999</v>
      </c>
      <c r="Q58" s="157">
        <v>3.6030000000000002</v>
      </c>
      <c r="R58" s="157">
        <v>3.5139999999999998</v>
      </c>
      <c r="S58" s="157">
        <v>3.5656469999999998</v>
      </c>
      <c r="T58" s="157">
        <v>3.5540289999999999</v>
      </c>
      <c r="U58" s="157">
        <v>3.4331429999999998</v>
      </c>
      <c r="V58" s="157">
        <v>3.3653550000000001</v>
      </c>
      <c r="W58" s="157">
        <v>2.8947080000000001</v>
      </c>
    </row>
    <row r="59">
      <c r="A59" s="1" t="s">
        <v>196</v>
      </c>
      <c r="B59" s="154" t="s">
        <v>197</v>
      </c>
      <c r="C59" s="157">
        <v>373.85223300000001</v>
      </c>
      <c r="D59" s="157">
        <v>379.65651700000001</v>
      </c>
      <c r="E59" s="157">
        <v>381.13677300000001</v>
      </c>
      <c r="F59" s="157">
        <v>383.384388</v>
      </c>
      <c r="G59" s="157">
        <v>391.12611800000002</v>
      </c>
      <c r="H59" s="157">
        <v>395.00195500000001</v>
      </c>
      <c r="I59" s="157">
        <v>401.38985400000001</v>
      </c>
      <c r="J59" s="157">
        <v>405.45388800000001</v>
      </c>
      <c r="K59" s="157">
        <v>409.79887600000001</v>
      </c>
      <c r="L59" s="157">
        <v>415.25059399999998</v>
      </c>
      <c r="M59" s="157">
        <v>419.03451000000001</v>
      </c>
      <c r="N59" s="157">
        <v>424.83819499999998</v>
      </c>
      <c r="O59" s="157">
        <v>430.79872699999999</v>
      </c>
      <c r="P59" s="157">
        <v>435.388668</v>
      </c>
      <c r="Q59" s="157">
        <v>439.70497399999999</v>
      </c>
      <c r="R59" s="157">
        <v>441.12714099999999</v>
      </c>
      <c r="S59" s="157">
        <v>445.87325700000002</v>
      </c>
      <c r="T59" s="157">
        <v>450.38135899999997</v>
      </c>
      <c r="U59" s="157">
        <v>453.51062200000001</v>
      </c>
      <c r="V59" s="157">
        <v>456.02377799999999</v>
      </c>
      <c r="W59" s="157">
        <v>434.61776300000002</v>
      </c>
    </row>
    <row r="60">
      <c r="A60" s="1" t="s">
        <v>198</v>
      </c>
      <c r="B60" s="154" t="s">
        <v>199</v>
      </c>
      <c r="C60" s="157">
        <v>140.701752</v>
      </c>
      <c r="D60" s="157">
        <v>141.958236</v>
      </c>
      <c r="E60" s="157">
        <v>139.55448200000001</v>
      </c>
      <c r="F60" s="157">
        <v>141.00774899999999</v>
      </c>
      <c r="G60" s="157">
        <v>143.419872</v>
      </c>
      <c r="H60" s="157">
        <v>146.115793</v>
      </c>
      <c r="I60" s="157">
        <v>147.61606599999999</v>
      </c>
      <c r="J60" s="157">
        <v>148.702191</v>
      </c>
      <c r="K60" s="157">
        <v>148.916079</v>
      </c>
      <c r="L60" s="157">
        <v>152.65422899999999</v>
      </c>
      <c r="M60" s="157">
        <v>153.429832</v>
      </c>
      <c r="N60" s="157">
        <v>154.05400900000001</v>
      </c>
      <c r="O60" s="157">
        <v>155.71086399999999</v>
      </c>
      <c r="P60" s="157">
        <v>157.27252100000001</v>
      </c>
      <c r="Q60" s="157">
        <v>158.179</v>
      </c>
      <c r="R60" s="157">
        <v>157.38033300000001</v>
      </c>
      <c r="S60" s="157">
        <v>157.60764399999999</v>
      </c>
      <c r="T60" s="157">
        <v>157.85339500000001</v>
      </c>
      <c r="U60" s="157">
        <v>159.499843</v>
      </c>
      <c r="V60" s="157">
        <v>161.57198399999999</v>
      </c>
      <c r="W60" s="157">
        <v>158.69573600000001</v>
      </c>
    </row>
    <row r="61">
      <c r="A61" s="1" t="s">
        <v>200</v>
      </c>
      <c r="B61" s="154" t="s">
        <v>201</v>
      </c>
      <c r="C61" s="157">
        <v>102.597251</v>
      </c>
      <c r="D61" s="157">
        <v>103.536886</v>
      </c>
      <c r="E61" s="157">
        <v>102.037848</v>
      </c>
      <c r="F61" s="157">
        <v>102.32972100000001</v>
      </c>
      <c r="G61" s="157">
        <v>103.315622</v>
      </c>
      <c r="H61" s="157">
        <v>102.704002</v>
      </c>
      <c r="I61" s="157">
        <v>102.036215</v>
      </c>
      <c r="J61" s="157">
        <v>103.078901</v>
      </c>
      <c r="K61" s="157">
        <v>102.20813800000001</v>
      </c>
      <c r="L61" s="157">
        <v>100.68663100000001</v>
      </c>
      <c r="M61" s="157">
        <v>100.518596</v>
      </c>
      <c r="N61" s="157">
        <v>101.13605099999999</v>
      </c>
      <c r="O61" s="157">
        <v>102.44456099999999</v>
      </c>
      <c r="P61" s="157">
        <v>102.85809500000001</v>
      </c>
      <c r="Q61" s="157">
        <v>103.454358</v>
      </c>
      <c r="R61" s="157">
        <v>103.977374</v>
      </c>
      <c r="S61" s="157">
        <v>105.42507999999999</v>
      </c>
      <c r="T61" s="157">
        <v>106.49440800000001</v>
      </c>
      <c r="U61" s="157">
        <v>107.64566600000001</v>
      </c>
      <c r="V61" s="157">
        <v>107.508837</v>
      </c>
      <c r="W61" s="157">
        <v>99.508636999999993</v>
      </c>
    </row>
    <row r="62">
      <c r="A62" s="1" t="s">
        <v>202</v>
      </c>
      <c r="B62" s="154" t="s">
        <v>203</v>
      </c>
      <c r="C62" s="157">
        <v>84.547804999999997</v>
      </c>
      <c r="D62" s="157">
        <v>86.992637999999999</v>
      </c>
      <c r="E62" s="157">
        <v>89.372179000000003</v>
      </c>
      <c r="F62" s="157">
        <v>89.155618000000004</v>
      </c>
      <c r="G62" s="157">
        <v>91.941986</v>
      </c>
      <c r="H62" s="157">
        <v>93.429440999999997</v>
      </c>
      <c r="I62" s="157">
        <v>94.226688999999993</v>
      </c>
      <c r="J62" s="157">
        <v>96.137833999999998</v>
      </c>
      <c r="K62" s="157">
        <v>99.803067999999996</v>
      </c>
      <c r="L62" s="157">
        <v>101.921138</v>
      </c>
      <c r="M62" s="157">
        <v>103.870937</v>
      </c>
      <c r="N62" s="157">
        <v>107.019245</v>
      </c>
      <c r="O62" s="157">
        <v>109.129424</v>
      </c>
      <c r="P62" s="157">
        <v>111.09665800000001</v>
      </c>
      <c r="Q62" s="157">
        <v>113.346187</v>
      </c>
      <c r="R62" s="157">
        <v>115.411078</v>
      </c>
      <c r="S62" s="157">
        <v>118.476882</v>
      </c>
      <c r="T62" s="157">
        <v>120.70052200000001</v>
      </c>
      <c r="U62" s="157">
        <v>121.16411600000001</v>
      </c>
      <c r="V62" s="157">
        <v>121.55774599999999</v>
      </c>
      <c r="W62" s="157">
        <v>113.086945</v>
      </c>
    </row>
    <row r="63">
      <c r="A63" s="1" t="s">
        <v>204</v>
      </c>
      <c r="B63" s="154" t="s">
        <v>205</v>
      </c>
      <c r="C63" s="157">
        <v>46.337989999999998</v>
      </c>
      <c r="D63" s="157">
        <v>47.500639</v>
      </c>
      <c r="E63" s="157">
        <v>50.694277</v>
      </c>
      <c r="F63" s="157">
        <v>51.461514000000001</v>
      </c>
      <c r="G63" s="157">
        <v>52.978431</v>
      </c>
      <c r="H63" s="157">
        <v>53.048422000000002</v>
      </c>
      <c r="I63" s="157">
        <v>58.030081000000003</v>
      </c>
      <c r="J63" s="157">
        <v>57.931693000000003</v>
      </c>
      <c r="K63" s="157">
        <v>59.019247999999997</v>
      </c>
      <c r="L63" s="157">
        <v>60.033957999999998</v>
      </c>
      <c r="M63" s="157">
        <v>61.246789</v>
      </c>
      <c r="N63" s="157">
        <v>62.638601000000001</v>
      </c>
      <c r="O63" s="157">
        <v>63.518251999999997</v>
      </c>
      <c r="P63" s="157">
        <v>64.161619999999999</v>
      </c>
      <c r="Q63" s="157">
        <v>64.725429000000005</v>
      </c>
      <c r="R63" s="157">
        <v>64.358356000000001</v>
      </c>
      <c r="S63" s="157">
        <v>64.365116</v>
      </c>
      <c r="T63" s="157">
        <v>65.329175000000006</v>
      </c>
      <c r="U63" s="157">
        <v>65.193813000000006</v>
      </c>
      <c r="V63" s="157">
        <v>65.391182999999998</v>
      </c>
      <c r="W63" s="157">
        <v>63.348976</v>
      </c>
    </row>
    <row r="64">
      <c r="A64" s="1" t="s">
        <v>81</v>
      </c>
      <c r="B64" s="154" t="s">
        <v>206</v>
      </c>
      <c r="C64" s="157">
        <v>1621.24485</v>
      </c>
      <c r="D64" s="157">
        <v>1653.4222569999999</v>
      </c>
      <c r="E64" s="157">
        <v>1671.8504760000001</v>
      </c>
      <c r="F64" s="157">
        <v>1683.7657730000001</v>
      </c>
      <c r="G64" s="157">
        <v>1734.7976839999999</v>
      </c>
      <c r="H64" s="157">
        <v>1760.5171069999999</v>
      </c>
      <c r="I64" s="157">
        <v>1804.1312479999999</v>
      </c>
      <c r="J64" s="157">
        <v>1850.186553</v>
      </c>
      <c r="K64" s="157">
        <v>1859.7010210000001</v>
      </c>
      <c r="L64" s="157">
        <v>1810.8865269999999</v>
      </c>
      <c r="M64" s="157">
        <v>1842.4244630000001</v>
      </c>
      <c r="N64" s="157">
        <v>1883.6692270000001</v>
      </c>
      <c r="O64" s="157">
        <v>1894.309037</v>
      </c>
      <c r="P64" s="157">
        <v>1906.042506</v>
      </c>
      <c r="Q64" s="157">
        <v>1927.230012</v>
      </c>
      <c r="R64" s="157">
        <v>1944.632926</v>
      </c>
      <c r="S64" s="157">
        <v>1963.4609029999999</v>
      </c>
      <c r="T64" s="157">
        <v>2006.1782390000001</v>
      </c>
      <c r="U64" s="157">
        <v>2043.9846809999999</v>
      </c>
      <c r="V64" s="157">
        <v>2082.657815</v>
      </c>
      <c r="W64" s="157">
        <v>1915.5922419999999</v>
      </c>
    </row>
    <row r="65">
      <c r="B65" s="154" t="s">
        <v>207</v>
      </c>
    </row>
    <row r="66">
      <c r="B66" s="154"/>
    </row>
    <row r="67">
      <c r="B67" s="164" t="s">
        <v>208</v>
      </c>
    </row>
    <row r="69">
      <c r="A69" s="155" t="s">
        <v>209</v>
      </c>
    </row>
    <row r="70">
      <c r="C70" s="156">
        <v>2000</v>
      </c>
      <c r="D70" s="156">
        <v>2001</v>
      </c>
      <c r="E70" s="156">
        <v>2002</v>
      </c>
      <c r="F70" s="156">
        <v>2003</v>
      </c>
      <c r="G70" s="156">
        <v>2004</v>
      </c>
      <c r="H70" s="156">
        <v>2005</v>
      </c>
      <c r="I70" s="156">
        <v>2006</v>
      </c>
      <c r="J70" s="156">
        <v>2007</v>
      </c>
      <c r="K70" s="156">
        <v>2008</v>
      </c>
      <c r="L70" s="156">
        <v>2009</v>
      </c>
      <c r="M70" s="156">
        <v>2010</v>
      </c>
      <c r="N70" s="156">
        <v>2011</v>
      </c>
      <c r="O70" s="156">
        <v>2012</v>
      </c>
      <c r="P70" s="156">
        <v>2013</v>
      </c>
      <c r="Q70" s="156">
        <v>2014</v>
      </c>
      <c r="R70" s="156">
        <v>2015</v>
      </c>
      <c r="S70" s="156">
        <v>2016</v>
      </c>
      <c r="T70" s="156">
        <v>2017</v>
      </c>
      <c r="U70" s="156">
        <v>2018</v>
      </c>
      <c r="V70" s="156">
        <v>2019</v>
      </c>
    </row>
    <row r="71">
      <c r="A71" s="1" t="s">
        <v>210</v>
      </c>
      <c r="B71" s="154" t="s">
        <v>114</v>
      </c>
      <c r="C71" s="157">
        <v>29.390118000000001</v>
      </c>
      <c r="D71" s="157">
        <v>28.546222</v>
      </c>
      <c r="E71" s="157">
        <v>30.172536000000001</v>
      </c>
      <c r="F71" s="157">
        <v>25.571261</v>
      </c>
      <c r="G71" s="157">
        <v>31.018730999999999</v>
      </c>
      <c r="H71" s="157">
        <v>29.214993</v>
      </c>
      <c r="I71" s="157">
        <v>29.275862</v>
      </c>
      <c r="J71" s="157">
        <v>29.047318000000001</v>
      </c>
      <c r="K71" s="157">
        <v>30.347297999999999</v>
      </c>
      <c r="L71" s="157">
        <v>32.326985999999998</v>
      </c>
      <c r="M71" s="157">
        <v>31.228867000000001</v>
      </c>
      <c r="N71" s="157">
        <v>32.475355999999998</v>
      </c>
      <c r="O71" s="157">
        <v>29.742453999999999</v>
      </c>
      <c r="P71" s="157">
        <v>29.169098000000002</v>
      </c>
      <c r="Q71" s="157">
        <v>33.458134000000001</v>
      </c>
      <c r="R71" s="157">
        <v>33.504586000000003</v>
      </c>
      <c r="S71" s="157">
        <v>29.362691999999999</v>
      </c>
      <c r="T71" s="157">
        <v>31.780947000000001</v>
      </c>
      <c r="U71" s="157">
        <v>33.024822999999998</v>
      </c>
      <c r="V71" s="157">
        <v>32.262165000000003</v>
      </c>
    </row>
    <row r="72">
      <c r="A72" s="1" t="s">
        <v>211</v>
      </c>
      <c r="B72" s="154" t="s">
        <v>212</v>
      </c>
      <c r="C72" s="157">
        <v>25.332661999999999</v>
      </c>
      <c r="D72" s="157">
        <v>24.233353999999999</v>
      </c>
      <c r="E72" s="157">
        <v>25.989148</v>
      </c>
      <c r="F72" s="157">
        <v>22.037272000000002</v>
      </c>
      <c r="G72" s="157">
        <v>27.113160000000001</v>
      </c>
      <c r="H72" s="157">
        <v>25.422478999999999</v>
      </c>
      <c r="I72" s="157">
        <v>25.582253000000001</v>
      </c>
      <c r="J72" s="157">
        <v>25.291295999999999</v>
      </c>
      <c r="K72" s="157">
        <v>26.879681999999999</v>
      </c>
      <c r="L72" s="157">
        <v>29.099205999999999</v>
      </c>
      <c r="M72" s="157">
        <v>27.887471999999999</v>
      </c>
      <c r="N72" s="157">
        <v>29.022328999999999</v>
      </c>
      <c r="O72" s="157">
        <v>26.337357999999998</v>
      </c>
      <c r="P72" s="157">
        <v>25.699656999999998</v>
      </c>
      <c r="Q72" s="157">
        <v>29.690875999999999</v>
      </c>
      <c r="R72" s="157">
        <v>29.699065999999998</v>
      </c>
      <c r="S72" s="157">
        <v>25.727701</v>
      </c>
      <c r="T72" s="157">
        <v>28.138798000000001</v>
      </c>
      <c r="U72" s="157">
        <v>29.374351999999998</v>
      </c>
      <c r="V72" s="157">
        <v>28.680539</v>
      </c>
    </row>
    <row r="73">
      <c r="A73" s="1" t="s">
        <v>213</v>
      </c>
      <c r="B73" s="154" t="s">
        <v>214</v>
      </c>
      <c r="C73" s="157">
        <v>3.5091969999999999</v>
      </c>
      <c r="D73" s="157">
        <v>4.1343750000000004</v>
      </c>
      <c r="E73" s="157">
        <v>3.7998479999999999</v>
      </c>
      <c r="F73" s="157">
        <v>2.921548</v>
      </c>
      <c r="G73" s="157">
        <v>3.151885</v>
      </c>
      <c r="H73" s="157">
        <v>3.1363430000000001</v>
      </c>
      <c r="I73" s="157">
        <v>3.0021399999999998</v>
      </c>
      <c r="J73" s="157">
        <v>3.0962640000000001</v>
      </c>
      <c r="K73" s="157">
        <v>2.8446739999999999</v>
      </c>
      <c r="L73" s="157">
        <v>2.5398849999999999</v>
      </c>
      <c r="M73" s="157">
        <v>2.6872699999999998</v>
      </c>
      <c r="N73" s="157">
        <v>2.8096160000000001</v>
      </c>
      <c r="O73" s="157">
        <v>2.7663600000000002</v>
      </c>
      <c r="P73" s="157">
        <v>2.888541</v>
      </c>
      <c r="Q73" s="157">
        <v>3.0663330000000002</v>
      </c>
      <c r="R73" s="157">
        <v>3.1593140000000002</v>
      </c>
      <c r="S73" s="157">
        <v>2.9867509999999999</v>
      </c>
      <c r="T73" s="157">
        <v>2.9070819999999999</v>
      </c>
      <c r="U73" s="157">
        <v>2.9278810000000002</v>
      </c>
      <c r="V73" s="157">
        <v>2.8515890000000002</v>
      </c>
    </row>
    <row r="74">
      <c r="A74" s="1" t="s">
        <v>215</v>
      </c>
      <c r="B74" s="154" t="s">
        <v>216</v>
      </c>
      <c r="C74" s="157">
        <v>0.83082699999999998</v>
      </c>
      <c r="D74" s="157">
        <v>0.81041399999999997</v>
      </c>
      <c r="E74" s="157">
        <v>0.79404699999999995</v>
      </c>
      <c r="F74" s="157">
        <v>0.81817499999999999</v>
      </c>
      <c r="G74" s="157">
        <v>0.79580300000000004</v>
      </c>
      <c r="H74" s="157">
        <v>0.76583699999999999</v>
      </c>
      <c r="I74" s="157">
        <v>0.74345000000000006</v>
      </c>
      <c r="J74" s="157">
        <v>0.73288299999999995</v>
      </c>
      <c r="K74" s="157">
        <v>0.63100199999999995</v>
      </c>
      <c r="L74" s="157">
        <v>0.63431300000000002</v>
      </c>
      <c r="M74" s="157">
        <v>0.62348599999999998</v>
      </c>
      <c r="N74" s="157">
        <v>0.61711499999999997</v>
      </c>
      <c r="O74" s="157">
        <v>0.63404799999999994</v>
      </c>
      <c r="P74" s="157">
        <v>0.64042699999999997</v>
      </c>
      <c r="Q74" s="157">
        <v>0.70092500000000002</v>
      </c>
      <c r="R74" s="157">
        <v>0.64620599999999995</v>
      </c>
      <c r="S74" s="157">
        <v>0.643567</v>
      </c>
      <c r="T74" s="157">
        <v>0.70751500000000001</v>
      </c>
      <c r="U74" s="157">
        <v>0.68858799999999998</v>
      </c>
      <c r="V74" s="157">
        <v>0.697403</v>
      </c>
    </row>
    <row r="75">
      <c r="A75" s="1" t="s">
        <v>119</v>
      </c>
      <c r="B75" s="154" t="s">
        <v>217</v>
      </c>
      <c r="C75" s="157">
        <v>4.5386470000000001</v>
      </c>
      <c r="D75" s="157">
        <v>4.0135860000000001</v>
      </c>
      <c r="E75" s="157">
        <v>3.7933680000000001</v>
      </c>
      <c r="F75" s="157">
        <v>3.3946230000000002</v>
      </c>
      <c r="G75" s="157">
        <v>3.1814100000000001</v>
      </c>
      <c r="H75" s="157">
        <v>2.9217170000000001</v>
      </c>
      <c r="I75" s="157">
        <v>3.0870039999999999</v>
      </c>
      <c r="J75" s="157">
        <v>3.1527029999999998</v>
      </c>
      <c r="K75" s="157">
        <v>2.929125</v>
      </c>
      <c r="L75" s="157">
        <v>2.658496</v>
      </c>
      <c r="M75" s="157">
        <v>2.578846</v>
      </c>
      <c r="N75" s="157">
        <v>2.5639889999999999</v>
      </c>
      <c r="O75" s="157">
        <v>2.415788</v>
      </c>
      <c r="P75" s="157">
        <v>2.1912600000000002</v>
      </c>
      <c r="Q75" s="157">
        <v>2.1840229999999998</v>
      </c>
      <c r="R75" s="157">
        <v>2.0490870000000001</v>
      </c>
      <c r="S75" s="157">
        <v>1.9746889999999999</v>
      </c>
      <c r="T75" s="157">
        <v>2.000931</v>
      </c>
      <c r="U75" s="157">
        <v>2.0008880000000002</v>
      </c>
      <c r="V75" s="157">
        <v>1.9820310000000001</v>
      </c>
    </row>
    <row r="76">
      <c r="A76" s="1" t="s">
        <v>218</v>
      </c>
      <c r="B76" s="154" t="s">
        <v>219</v>
      </c>
      <c r="C76" s="157">
        <v>0</v>
      </c>
      <c r="D76" s="157">
        <v>0</v>
      </c>
      <c r="E76" s="157">
        <v>0</v>
      </c>
      <c r="F76" s="157">
        <v>0</v>
      </c>
      <c r="G76" s="157">
        <v>0</v>
      </c>
      <c r="H76" s="157">
        <v>0</v>
      </c>
      <c r="I76" s="157">
        <v>0</v>
      </c>
      <c r="J76" s="157">
        <v>0</v>
      </c>
      <c r="K76" s="157">
        <v>0</v>
      </c>
      <c r="L76" s="157">
        <v>0</v>
      </c>
      <c r="M76" s="157">
        <v>0</v>
      </c>
      <c r="N76" s="157">
        <v>0</v>
      </c>
      <c r="O76" s="157">
        <v>0</v>
      </c>
      <c r="P76" s="157">
        <v>0</v>
      </c>
      <c r="Q76" s="157">
        <v>0</v>
      </c>
      <c r="R76" s="157">
        <v>0</v>
      </c>
      <c r="S76" s="157">
        <v>0</v>
      </c>
      <c r="T76" s="157">
        <v>0</v>
      </c>
      <c r="U76" s="157">
        <v>0</v>
      </c>
      <c r="V76" s="157">
        <v>0</v>
      </c>
    </row>
    <row r="77">
      <c r="A77" s="1" t="s">
        <v>220</v>
      </c>
      <c r="B77" s="154" t="s">
        <v>221</v>
      </c>
      <c r="C77" s="157">
        <v>0.55559499999999995</v>
      </c>
      <c r="D77" s="157">
        <v>0.45626699999999998</v>
      </c>
      <c r="E77" s="157">
        <v>0.50504899999999997</v>
      </c>
      <c r="F77" s="157">
        <v>0.41454999999999997</v>
      </c>
      <c r="G77" s="157">
        <v>0.37730799999999998</v>
      </c>
      <c r="H77" s="157">
        <v>0.37456299999999998</v>
      </c>
      <c r="I77" s="157">
        <v>0.42200500000000002</v>
      </c>
      <c r="J77" s="157">
        <v>0.39789200000000002</v>
      </c>
      <c r="K77" s="157">
        <v>0.36213600000000001</v>
      </c>
      <c r="L77" s="157">
        <v>0.32514599999999999</v>
      </c>
      <c r="M77" s="157">
        <v>0.31289699999999998</v>
      </c>
      <c r="N77" s="157">
        <v>0.26839200000000002</v>
      </c>
      <c r="O77" s="157">
        <v>0.26365499999999997</v>
      </c>
      <c r="P77" s="157">
        <v>0.19556299999999999</v>
      </c>
      <c r="Q77" s="157">
        <v>0.29641400000000001</v>
      </c>
      <c r="R77" s="157">
        <v>0.35799999999999998</v>
      </c>
      <c r="S77" s="157">
        <v>0.332675</v>
      </c>
      <c r="T77" s="157">
        <v>0.240948</v>
      </c>
      <c r="U77" s="157">
        <v>0.22254599999999999</v>
      </c>
      <c r="V77" s="157">
        <v>0.19840099999999999</v>
      </c>
    </row>
    <row r="78">
      <c r="A78" s="1" t="s">
        <v>222</v>
      </c>
      <c r="B78" s="154" t="s">
        <v>223</v>
      </c>
      <c r="C78" s="157">
        <v>0</v>
      </c>
      <c r="D78" s="157">
        <v>0</v>
      </c>
      <c r="E78" s="157">
        <v>0</v>
      </c>
      <c r="F78" s="157">
        <v>0</v>
      </c>
      <c r="G78" s="157">
        <v>0</v>
      </c>
      <c r="H78" s="157">
        <v>0</v>
      </c>
      <c r="I78" s="157">
        <v>0</v>
      </c>
      <c r="J78" s="157">
        <v>0</v>
      </c>
      <c r="K78" s="157">
        <v>0</v>
      </c>
      <c r="L78" s="157">
        <v>0</v>
      </c>
      <c r="M78" s="157">
        <v>0</v>
      </c>
      <c r="N78" s="157">
        <v>0</v>
      </c>
      <c r="O78" s="157">
        <v>0</v>
      </c>
      <c r="P78" s="157">
        <v>0</v>
      </c>
      <c r="Q78" s="157">
        <v>0</v>
      </c>
      <c r="R78" s="157">
        <v>0</v>
      </c>
      <c r="S78" s="157">
        <v>0</v>
      </c>
      <c r="T78" s="157">
        <v>0</v>
      </c>
      <c r="U78" s="157">
        <v>0</v>
      </c>
      <c r="V78" s="157">
        <v>0</v>
      </c>
    </row>
    <row r="79">
      <c r="A79" s="1" t="s">
        <v>224</v>
      </c>
      <c r="B79" s="154" t="s">
        <v>225</v>
      </c>
      <c r="C79" s="157">
        <v>3.5129450000000002</v>
      </c>
      <c r="D79" s="157">
        <v>3.196167</v>
      </c>
      <c r="E79" s="157">
        <v>2.9685589999999999</v>
      </c>
      <c r="F79" s="157">
        <v>2.7636889999999998</v>
      </c>
      <c r="G79" s="157">
        <v>2.6451750000000001</v>
      </c>
      <c r="H79" s="157">
        <v>2.449201</v>
      </c>
      <c r="I79" s="157">
        <v>2.5992850000000001</v>
      </c>
      <c r="J79" s="157">
        <v>2.6859459999999999</v>
      </c>
      <c r="K79" s="157">
        <v>2.5158109999999998</v>
      </c>
      <c r="L79" s="157">
        <v>2.245047</v>
      </c>
      <c r="M79" s="157">
        <v>2.2150729999999998</v>
      </c>
      <c r="N79" s="157">
        <v>2.2632690000000002</v>
      </c>
      <c r="O79" s="157">
        <v>2.092689</v>
      </c>
      <c r="P79" s="157">
        <v>1.9414739999999999</v>
      </c>
      <c r="Q79" s="157">
        <v>1.721052</v>
      </c>
      <c r="R79" s="157">
        <v>1.5887530000000001</v>
      </c>
      <c r="S79" s="157">
        <v>1.5007470000000001</v>
      </c>
      <c r="T79" s="157">
        <v>1.566808</v>
      </c>
      <c r="U79" s="157">
        <v>1.5580639999999999</v>
      </c>
      <c r="V79" s="157">
        <v>1.5813839999999999</v>
      </c>
    </row>
    <row r="80">
      <c r="A80" s="1" t="s">
        <v>226</v>
      </c>
      <c r="B80" s="154" t="s">
        <v>227</v>
      </c>
      <c r="C80" s="157">
        <v>0.067122000000000001</v>
      </c>
      <c r="D80" s="157">
        <v>0.066432000000000005</v>
      </c>
      <c r="E80" s="157">
        <v>0.067303000000000002</v>
      </c>
      <c r="F80" s="157">
        <v>0.059938999999999999</v>
      </c>
      <c r="G80" s="157">
        <v>0.047254999999999998</v>
      </c>
      <c r="H80" s="157">
        <v>0.045259000000000001</v>
      </c>
      <c r="I80" s="157">
        <v>0.040483999999999999</v>
      </c>
      <c r="J80" s="157">
        <v>0.042544999999999999</v>
      </c>
      <c r="K80" s="157">
        <v>0.051660999999999999</v>
      </c>
      <c r="L80" s="157">
        <v>0.062206999999999998</v>
      </c>
      <c r="M80" s="157">
        <v>0.047640000000000002</v>
      </c>
      <c r="N80" s="157">
        <v>0.036968000000000001</v>
      </c>
      <c r="O80" s="157">
        <v>0.037990999999999997</v>
      </c>
      <c r="P80" s="157">
        <v>0.042000000000000003</v>
      </c>
      <c r="Q80" s="157">
        <v>0.13</v>
      </c>
      <c r="R80" s="157">
        <v>0.069000000000000006</v>
      </c>
      <c r="S80" s="157">
        <v>0.098000000000000004</v>
      </c>
      <c r="T80" s="157">
        <v>0.128409</v>
      </c>
      <c r="U80" s="157">
        <v>0.15112800000000001</v>
      </c>
      <c r="V80" s="157">
        <v>0.13142200000000001</v>
      </c>
    </row>
    <row r="81">
      <c r="A81" s="1" t="s">
        <v>228</v>
      </c>
      <c r="B81" s="154" t="s">
        <v>229</v>
      </c>
      <c r="C81" s="157">
        <v>37.851342000000002</v>
      </c>
      <c r="D81" s="157">
        <v>36.603383000000001</v>
      </c>
      <c r="E81" s="157">
        <v>37.547612000000001</v>
      </c>
      <c r="F81" s="157">
        <v>39.651257000000001</v>
      </c>
      <c r="G81" s="157">
        <v>40.609594999999999</v>
      </c>
      <c r="H81" s="157">
        <v>40.848894000000001</v>
      </c>
      <c r="I81" s="157">
        <v>40.817717000000002</v>
      </c>
      <c r="J81" s="157">
        <v>41.448940999999998</v>
      </c>
      <c r="K81" s="157">
        <v>37.907620999999999</v>
      </c>
      <c r="L81" s="157">
        <v>38.774315999999999</v>
      </c>
      <c r="M81" s="157">
        <v>40.455101999999997</v>
      </c>
      <c r="N81" s="157">
        <v>42.097633000000002</v>
      </c>
      <c r="O81" s="157">
        <v>41.755277999999997</v>
      </c>
      <c r="P81" s="157">
        <v>41.636980999999999</v>
      </c>
      <c r="Q81" s="157">
        <v>42.825800000000001</v>
      </c>
      <c r="R81" s="157">
        <v>43.507950999999998</v>
      </c>
      <c r="S81" s="157">
        <v>44.673572</v>
      </c>
      <c r="T81" s="157">
        <v>45.485210000000002</v>
      </c>
      <c r="U81" s="157">
        <v>45.279347999999999</v>
      </c>
      <c r="V81" s="157">
        <v>45.598266000000002</v>
      </c>
    </row>
    <row r="82">
      <c r="A82" s="1" t="s">
        <v>230</v>
      </c>
      <c r="B82" s="154" t="s">
        <v>231</v>
      </c>
      <c r="C82" s="157">
        <v>29.762302999999999</v>
      </c>
      <c r="D82" s="157">
        <v>28.586917</v>
      </c>
      <c r="E82" s="157">
        <v>29.570685999999998</v>
      </c>
      <c r="F82" s="157">
        <v>30.995165</v>
      </c>
      <c r="G82" s="157">
        <v>32.130209000000001</v>
      </c>
      <c r="H82" s="157">
        <v>32.371513999999998</v>
      </c>
      <c r="I82" s="157">
        <v>32.609327999999998</v>
      </c>
      <c r="J82" s="157">
        <v>33.444873000000001</v>
      </c>
      <c r="K82" s="157">
        <v>30.406323</v>
      </c>
      <c r="L82" s="157">
        <v>31.703175000000002</v>
      </c>
      <c r="M82" s="157">
        <v>33.854795000000003</v>
      </c>
      <c r="N82" s="157">
        <v>35.227919</v>
      </c>
      <c r="O82" s="157">
        <v>34.936715999999997</v>
      </c>
      <c r="P82" s="157">
        <v>35.388181000000003</v>
      </c>
      <c r="Q82" s="157">
        <v>37.039306000000003</v>
      </c>
      <c r="R82" s="157">
        <v>37.530867000000001</v>
      </c>
      <c r="S82" s="157">
        <v>38.768967000000004</v>
      </c>
      <c r="T82" s="157">
        <v>39.296081000000001</v>
      </c>
      <c r="U82" s="157">
        <v>39.249040999999998</v>
      </c>
      <c r="V82" s="157">
        <v>39.644911</v>
      </c>
    </row>
    <row r="83">
      <c r="A83" s="1" t="s">
        <v>232</v>
      </c>
      <c r="B83" s="154" t="s">
        <v>233</v>
      </c>
      <c r="C83" s="157">
        <v>7.8220900000000002</v>
      </c>
      <c r="D83" s="157">
        <v>7.8139940000000001</v>
      </c>
      <c r="E83" s="157">
        <v>7.7045640000000004</v>
      </c>
      <c r="F83" s="157">
        <v>8.5478570000000005</v>
      </c>
      <c r="G83" s="157">
        <v>8.2990340000000007</v>
      </c>
      <c r="H83" s="157">
        <v>8.2463160000000002</v>
      </c>
      <c r="I83" s="157">
        <v>7.678032</v>
      </c>
      <c r="J83" s="157">
        <v>7.6493250000000002</v>
      </c>
      <c r="K83" s="157">
        <v>7.4744120000000001</v>
      </c>
      <c r="L83" s="157">
        <v>6.4918889999999996</v>
      </c>
      <c r="M83" s="157">
        <v>5.9628779999999999</v>
      </c>
      <c r="N83" s="157">
        <v>6.3108069999999996</v>
      </c>
      <c r="O83" s="157">
        <v>6.2689589999999997</v>
      </c>
      <c r="P83" s="157">
        <v>5.8199379999999996</v>
      </c>
      <c r="Q83" s="157">
        <v>5.4895659999999999</v>
      </c>
      <c r="R83" s="157">
        <v>5.8047110000000002</v>
      </c>
      <c r="S83" s="157">
        <v>5.734388</v>
      </c>
      <c r="T83" s="157">
        <v>6.0343349999999996</v>
      </c>
      <c r="U83" s="157">
        <v>5.9338879999999996</v>
      </c>
      <c r="V83" s="157">
        <v>5.8758970000000001</v>
      </c>
    </row>
    <row r="84">
      <c r="A84" s="1" t="s">
        <v>234</v>
      </c>
      <c r="B84" s="154" t="s">
        <v>235</v>
      </c>
      <c r="C84" s="157">
        <v>2.2719930000000002</v>
      </c>
      <c r="D84" s="157">
        <v>2.3441299999999998</v>
      </c>
      <c r="E84" s="157">
        <v>2.1195499999999998</v>
      </c>
      <c r="F84" s="157">
        <v>2.282305</v>
      </c>
      <c r="G84" s="157">
        <v>1.960887</v>
      </c>
      <c r="H84" s="157">
        <v>1.9887049999999999</v>
      </c>
      <c r="I84" s="157">
        <v>2.1154389999999998</v>
      </c>
      <c r="J84" s="157">
        <v>1.3892359999999999</v>
      </c>
      <c r="K84" s="157">
        <v>1.047825</v>
      </c>
      <c r="L84" s="157">
        <v>1.195406</v>
      </c>
      <c r="M84" s="157">
        <v>0.94345999999999997</v>
      </c>
      <c r="N84" s="157">
        <v>0.82709299999999997</v>
      </c>
      <c r="O84" s="157">
        <v>0.81397299999999995</v>
      </c>
      <c r="P84" s="157">
        <v>0.54557100000000003</v>
      </c>
      <c r="Q84" s="157">
        <v>0.29692800000000003</v>
      </c>
      <c r="R84" s="157">
        <v>0.172372</v>
      </c>
      <c r="S84" s="157">
        <v>0.18145800000000001</v>
      </c>
      <c r="T84" s="157">
        <v>0.152367</v>
      </c>
      <c r="U84" s="157">
        <v>0.082465999999999998</v>
      </c>
      <c r="V84" s="157">
        <v>0.069058999999999995</v>
      </c>
    </row>
    <row r="85">
      <c r="A85" s="1" t="s">
        <v>141</v>
      </c>
      <c r="B85" s="154" t="s">
        <v>236</v>
      </c>
      <c r="C85" s="157">
        <v>7.728758</v>
      </c>
      <c r="D85" s="157">
        <v>7.9163790000000001</v>
      </c>
      <c r="E85" s="157">
        <v>7.6195259999999996</v>
      </c>
      <c r="F85" s="157">
        <v>7.2813949999999998</v>
      </c>
      <c r="G85" s="157">
        <v>6.9169419999999997</v>
      </c>
      <c r="H85" s="157">
        <v>6.6159239999999997</v>
      </c>
      <c r="I85" s="157">
        <v>6.377637</v>
      </c>
      <c r="J85" s="157">
        <v>6.6093520000000003</v>
      </c>
      <c r="K85" s="157">
        <v>6.3567830000000001</v>
      </c>
      <c r="L85" s="157">
        <v>5.2001189999999999</v>
      </c>
      <c r="M85" s="157">
        <v>5.0222569999999997</v>
      </c>
      <c r="N85" s="157">
        <v>5.7206869999999999</v>
      </c>
      <c r="O85" s="157">
        <v>5.7848519999999999</v>
      </c>
      <c r="P85" s="157">
        <v>5.4665270000000001</v>
      </c>
      <c r="Q85" s="157">
        <v>5.0477809999999996</v>
      </c>
      <c r="R85" s="157">
        <v>5.2696180000000004</v>
      </c>
      <c r="S85" s="157">
        <v>5.2340429999999998</v>
      </c>
      <c r="T85" s="157">
        <v>5.4201540000000001</v>
      </c>
      <c r="U85" s="157">
        <v>5.7109880000000004</v>
      </c>
      <c r="V85" s="157">
        <v>5.7394429999999996</v>
      </c>
    </row>
    <row r="86">
      <c r="A86" s="1" t="s">
        <v>237</v>
      </c>
      <c r="B86" s="154" t="s">
        <v>238</v>
      </c>
      <c r="C86" s="157">
        <v>2.8957359999999999</v>
      </c>
      <c r="D86" s="157">
        <v>2.8660290000000002</v>
      </c>
      <c r="E86" s="157">
        <v>2.6769289999999999</v>
      </c>
      <c r="F86" s="157">
        <v>2.5549439999999999</v>
      </c>
      <c r="G86" s="157">
        <v>2.3881540000000001</v>
      </c>
      <c r="H86" s="157">
        <v>2.3434370000000002</v>
      </c>
      <c r="I86" s="157">
        <v>2.3318979999999998</v>
      </c>
      <c r="J86" s="157">
        <v>2.3579460000000001</v>
      </c>
      <c r="K86" s="157">
        <v>2.26085</v>
      </c>
      <c r="L86" s="157">
        <v>1.933324</v>
      </c>
      <c r="M86" s="157">
        <v>1.9013009999999999</v>
      </c>
      <c r="N86" s="157">
        <v>2.1157370000000002</v>
      </c>
      <c r="O86" s="157">
        <v>2.0758670000000001</v>
      </c>
      <c r="P86" s="157">
        <v>2.038535</v>
      </c>
      <c r="Q86" s="157">
        <v>1.8702449999999999</v>
      </c>
      <c r="R86" s="157">
        <v>1.862665</v>
      </c>
      <c r="S86" s="157">
        <v>1.814314</v>
      </c>
      <c r="T86" s="157">
        <v>1.833494</v>
      </c>
      <c r="U86" s="157">
        <v>1.748877</v>
      </c>
      <c r="V86" s="157">
        <v>1.6241730000000001</v>
      </c>
    </row>
    <row r="87">
      <c r="A87" s="1" t="s">
        <v>239</v>
      </c>
      <c r="B87" s="154" t="s">
        <v>240</v>
      </c>
      <c r="C87" s="157">
        <v>2.3012579999999998</v>
      </c>
      <c r="D87" s="157">
        <v>2.477239</v>
      </c>
      <c r="E87" s="157">
        <v>2.5833080000000002</v>
      </c>
      <c r="F87" s="157">
        <v>2.514329</v>
      </c>
      <c r="G87" s="157">
        <v>2.6291259999999999</v>
      </c>
      <c r="H87" s="157">
        <v>2.4041450000000002</v>
      </c>
      <c r="I87" s="157">
        <v>2.2165509999999999</v>
      </c>
      <c r="J87" s="157">
        <v>2.3677999999999999</v>
      </c>
      <c r="K87" s="157">
        <v>2.2579549999999999</v>
      </c>
      <c r="L87" s="157">
        <v>1.7617940000000001</v>
      </c>
      <c r="M87" s="157">
        <v>1.6461840000000001</v>
      </c>
      <c r="N87" s="157">
        <v>1.939314</v>
      </c>
      <c r="O87" s="157">
        <v>1.934043</v>
      </c>
      <c r="P87" s="157">
        <v>1.833836</v>
      </c>
      <c r="Q87" s="157">
        <v>1.7769349999999999</v>
      </c>
      <c r="R87" s="157">
        <v>1.963543</v>
      </c>
      <c r="S87" s="157">
        <v>2.0688270000000002</v>
      </c>
      <c r="T87" s="157">
        <v>2.151932</v>
      </c>
      <c r="U87" s="157">
        <v>2.4559069999999998</v>
      </c>
      <c r="V87" s="157">
        <v>2.4888970000000001</v>
      </c>
    </row>
    <row r="88">
      <c r="A88" s="1" t="s">
        <v>241</v>
      </c>
      <c r="B88" s="154" t="s">
        <v>242</v>
      </c>
      <c r="C88" s="157">
        <v>3.0098699999999998</v>
      </c>
      <c r="D88" s="157">
        <v>3.042189</v>
      </c>
      <c r="E88" s="157">
        <v>2.6424699999999999</v>
      </c>
      <c r="F88" s="157">
        <v>2.4255610000000001</v>
      </c>
      <c r="G88" s="157">
        <v>1.8535809999999999</v>
      </c>
      <c r="H88" s="157">
        <v>1.8694249999999999</v>
      </c>
      <c r="I88" s="157">
        <v>1.838354</v>
      </c>
      <c r="J88" s="157">
        <v>1.8892199999999999</v>
      </c>
      <c r="K88" s="157">
        <v>1.864028</v>
      </c>
      <c r="L88" s="157">
        <v>1.5106919999999999</v>
      </c>
      <c r="M88" s="157">
        <v>1.489358</v>
      </c>
      <c r="N88" s="157">
        <v>1.6801280000000001</v>
      </c>
      <c r="O88" s="157">
        <v>1.8054300000000001</v>
      </c>
      <c r="P88" s="157">
        <v>1.606786</v>
      </c>
      <c r="Q88" s="157">
        <v>1.4006019999999999</v>
      </c>
      <c r="R88" s="157">
        <v>1.4434100000000001</v>
      </c>
      <c r="S88" s="157">
        <v>1.3678110000000001</v>
      </c>
      <c r="T88" s="157">
        <v>1.4510909999999999</v>
      </c>
      <c r="U88" s="157">
        <v>1.564495</v>
      </c>
      <c r="V88" s="157">
        <v>1.682739</v>
      </c>
    </row>
    <row r="89">
      <c r="A89" s="1" t="s">
        <v>143</v>
      </c>
      <c r="B89" s="154" t="s">
        <v>243</v>
      </c>
      <c r="C89" s="157">
        <v>9.7555200000000006</v>
      </c>
      <c r="D89" s="157">
        <v>10.232670000000001</v>
      </c>
      <c r="E89" s="157">
        <v>10.209158</v>
      </c>
      <c r="F89" s="157">
        <v>10.472488</v>
      </c>
      <c r="G89" s="157">
        <v>10.47326</v>
      </c>
      <c r="H89" s="157">
        <v>10.245184999999999</v>
      </c>
      <c r="I89" s="157">
        <v>9.9934890000000003</v>
      </c>
      <c r="J89" s="157">
        <v>10.054644</v>
      </c>
      <c r="K89" s="157">
        <v>10.362041</v>
      </c>
      <c r="L89" s="157">
        <v>10.315694000000001</v>
      </c>
      <c r="M89" s="157">
        <v>10.129296</v>
      </c>
      <c r="N89" s="157">
        <v>10.804295</v>
      </c>
      <c r="O89" s="157">
        <v>10.891468</v>
      </c>
      <c r="P89" s="157">
        <v>10.932872</v>
      </c>
      <c r="Q89" s="157">
        <v>11.156261000000001</v>
      </c>
      <c r="R89" s="157">
        <v>10.876778</v>
      </c>
      <c r="S89" s="157">
        <v>10.965140999999999</v>
      </c>
      <c r="T89" s="157">
        <v>11.110309000000001</v>
      </c>
      <c r="U89" s="157">
        <v>10.568101</v>
      </c>
      <c r="V89" s="157">
        <v>10.878606</v>
      </c>
    </row>
    <row r="90">
      <c r="A90" s="159" t="s">
        <v>244</v>
      </c>
      <c r="B90" s="159" t="s">
        <v>245</v>
      </c>
      <c r="C90" s="157">
        <v>2.2203029999999999</v>
      </c>
      <c r="D90" s="157">
        <v>2.4258389999999999</v>
      </c>
      <c r="E90" s="157">
        <v>2.7137720000000001</v>
      </c>
      <c r="F90" s="157">
        <v>3.0993219999999999</v>
      </c>
      <c r="G90" s="157">
        <v>2.8852329999999999</v>
      </c>
      <c r="H90" s="157">
        <v>2.6350099999999999</v>
      </c>
      <c r="I90" s="157">
        <v>2.6722999999999999</v>
      </c>
      <c r="J90" s="157">
        <v>2.7264390000000001</v>
      </c>
      <c r="K90" s="157">
        <v>3.0050819999999998</v>
      </c>
      <c r="L90" s="157">
        <v>2.8125580000000001</v>
      </c>
      <c r="M90" s="157">
        <v>2.7364860000000002</v>
      </c>
      <c r="N90" s="157">
        <v>2.9806249999999999</v>
      </c>
      <c r="O90" s="157">
        <v>2.867721</v>
      </c>
      <c r="P90" s="157">
        <v>2.9706800000000002</v>
      </c>
      <c r="Q90" s="157">
        <v>2.9019300000000001</v>
      </c>
      <c r="R90" s="157">
        <v>2.7446830000000002</v>
      </c>
      <c r="S90" s="157">
        <v>2.8410150000000001</v>
      </c>
      <c r="T90" s="157">
        <v>2.959012</v>
      </c>
      <c r="U90" s="157">
        <v>2.6847660000000002</v>
      </c>
      <c r="V90" s="157">
        <v>2.773155</v>
      </c>
    </row>
    <row r="91">
      <c r="A91" s="159" t="s">
        <v>246</v>
      </c>
      <c r="B91" s="159" t="s">
        <v>247</v>
      </c>
      <c r="C91" s="157">
        <v>4.204739</v>
      </c>
      <c r="D91" s="157">
        <v>4.4584289999999998</v>
      </c>
      <c r="E91" s="157">
        <v>4.1650640000000001</v>
      </c>
      <c r="F91" s="157">
        <v>4.1524669999999997</v>
      </c>
      <c r="G91" s="157">
        <v>4.2976510000000001</v>
      </c>
      <c r="H91" s="157">
        <v>4.2915150000000004</v>
      </c>
      <c r="I91" s="157">
        <v>3.8043520000000002</v>
      </c>
      <c r="J91" s="157">
        <v>3.8638379999999999</v>
      </c>
      <c r="K91" s="157">
        <v>3.7469570000000001</v>
      </c>
      <c r="L91" s="157">
        <v>4.1213449999999998</v>
      </c>
      <c r="M91" s="157">
        <v>3.8804449999999999</v>
      </c>
      <c r="N91" s="157">
        <v>4.0299699999999996</v>
      </c>
      <c r="O91" s="157">
        <v>4.2375129999999999</v>
      </c>
      <c r="P91" s="157">
        <v>4.1447370000000001</v>
      </c>
      <c r="Q91" s="157">
        <v>4.2239040000000001</v>
      </c>
      <c r="R91" s="157">
        <v>4.290565</v>
      </c>
      <c r="S91" s="157">
        <v>4.2703069999999999</v>
      </c>
      <c r="T91" s="157">
        <v>4.2797260000000001</v>
      </c>
      <c r="U91" s="157">
        <v>3.9975969999999998</v>
      </c>
      <c r="V91" s="157">
        <v>4.1436440000000001</v>
      </c>
    </row>
    <row r="92">
      <c r="A92" s="159" t="s">
        <v>248</v>
      </c>
      <c r="B92" s="159" t="s">
        <v>249</v>
      </c>
      <c r="C92" s="157">
        <v>3.42815</v>
      </c>
      <c r="D92" s="157">
        <v>3.4605220000000001</v>
      </c>
      <c r="E92" s="157">
        <v>3.4359359999999999</v>
      </c>
      <c r="F92" s="157">
        <v>3.3746960000000001</v>
      </c>
      <c r="G92" s="157">
        <v>3.414514</v>
      </c>
      <c r="H92" s="157">
        <v>3.4063639999999999</v>
      </c>
      <c r="I92" s="157">
        <v>3.5329839999999999</v>
      </c>
      <c r="J92" s="157">
        <v>3.4946480000000002</v>
      </c>
      <c r="K92" s="157">
        <v>3.632647</v>
      </c>
      <c r="L92" s="157">
        <v>3.4204720000000002</v>
      </c>
      <c r="M92" s="157">
        <v>3.5157129999999999</v>
      </c>
      <c r="N92" s="157">
        <v>3.7879399999999999</v>
      </c>
      <c r="O92" s="157">
        <v>3.7914560000000002</v>
      </c>
      <c r="P92" s="157">
        <v>3.8131400000000002</v>
      </c>
      <c r="Q92" s="157">
        <v>4.0304270000000004</v>
      </c>
      <c r="R92" s="157">
        <v>3.8415300000000001</v>
      </c>
      <c r="S92" s="157">
        <v>3.8499989999999999</v>
      </c>
      <c r="T92" s="157">
        <v>3.866047</v>
      </c>
      <c r="U92" s="157">
        <v>3.8919049999999999</v>
      </c>
      <c r="V92" s="157">
        <v>3.960718</v>
      </c>
    </row>
    <row r="93">
      <c r="A93" s="1" t="s">
        <v>250</v>
      </c>
      <c r="B93" s="154" t="s">
        <v>251</v>
      </c>
      <c r="C93" s="157">
        <v>2.7592810000000001</v>
      </c>
      <c r="D93" s="157">
        <v>3.5851869999999999</v>
      </c>
      <c r="E93" s="157">
        <v>4.8666080000000003</v>
      </c>
      <c r="F93" s="157">
        <v>3.6326930000000002</v>
      </c>
      <c r="G93" s="157">
        <v>3.1179839999999999</v>
      </c>
      <c r="H93" s="157">
        <v>3.0913309999999998</v>
      </c>
      <c r="I93" s="157">
        <v>3.9526970000000001</v>
      </c>
      <c r="J93" s="157">
        <v>3.9187759999999998</v>
      </c>
      <c r="K93" s="157">
        <v>2.334962</v>
      </c>
      <c r="L93" s="157">
        <v>1.6934009999999999</v>
      </c>
      <c r="M93" s="157">
        <v>1.465033</v>
      </c>
      <c r="N93" s="157">
        <v>1.409505</v>
      </c>
      <c r="O93" s="157">
        <v>1.2097519999999999</v>
      </c>
      <c r="P93" s="157">
        <v>1.1432709999999999</v>
      </c>
      <c r="Q93" s="157">
        <v>2.2588059999999999</v>
      </c>
      <c r="R93" s="157">
        <v>2.4538679999999999</v>
      </c>
      <c r="S93" s="157">
        <v>2.6595680000000002</v>
      </c>
      <c r="T93" s="157">
        <v>2.6156109999999999</v>
      </c>
      <c r="U93" s="157">
        <v>3.1106199999999999</v>
      </c>
      <c r="V93" s="157">
        <v>3.0371320000000002</v>
      </c>
    </row>
    <row r="94">
      <c r="A94" s="1" t="s">
        <v>145</v>
      </c>
      <c r="B94" s="154" t="s">
        <v>252</v>
      </c>
      <c r="C94" s="157">
        <v>15.201510000000001</v>
      </c>
      <c r="D94" s="157">
        <v>14.763462000000001</v>
      </c>
      <c r="E94" s="157">
        <v>14.06606</v>
      </c>
      <c r="F94" s="157">
        <v>14.153542</v>
      </c>
      <c r="G94" s="157">
        <v>14.133512</v>
      </c>
      <c r="H94" s="157">
        <v>15.497234000000001</v>
      </c>
      <c r="I94" s="157">
        <v>14.823026</v>
      </c>
      <c r="J94" s="157">
        <v>15.47382</v>
      </c>
      <c r="K94" s="157">
        <v>14.488583</v>
      </c>
      <c r="L94" s="157">
        <v>15.200737999999999</v>
      </c>
      <c r="M94" s="157">
        <v>14.442672999999999</v>
      </c>
      <c r="N94" s="157">
        <v>15.151477999999999</v>
      </c>
      <c r="O94" s="157">
        <v>15.474824999999999</v>
      </c>
      <c r="P94" s="157">
        <v>17.462278000000001</v>
      </c>
      <c r="Q94" s="157">
        <v>18.203213000000002</v>
      </c>
      <c r="R94" s="157">
        <v>18.339183999999999</v>
      </c>
      <c r="S94" s="157">
        <v>19.159825999999999</v>
      </c>
      <c r="T94" s="157">
        <v>20.072040000000001</v>
      </c>
      <c r="U94" s="157">
        <v>19.723796</v>
      </c>
      <c r="V94" s="157">
        <v>20.784559000000002</v>
      </c>
    </row>
    <row r="95">
      <c r="A95" s="1" t="s">
        <v>147</v>
      </c>
      <c r="B95" s="154" t="s">
        <v>253</v>
      </c>
      <c r="C95" s="157">
        <v>7.0963750000000001</v>
      </c>
      <c r="D95" s="157">
        <v>8.1969740000000009</v>
      </c>
      <c r="E95" s="157">
        <v>8.5355059999999998</v>
      </c>
      <c r="F95" s="157">
        <v>8.835744</v>
      </c>
      <c r="G95" s="157">
        <v>8.5607190000000006</v>
      </c>
      <c r="H95" s="157">
        <v>9.2470180000000006</v>
      </c>
      <c r="I95" s="157">
        <v>10.981588</v>
      </c>
      <c r="J95" s="157">
        <v>11.226611999999999</v>
      </c>
      <c r="K95" s="157">
        <v>11.339971999999999</v>
      </c>
      <c r="L95" s="157">
        <v>11.000344</v>
      </c>
      <c r="M95" s="157">
        <v>10.984916</v>
      </c>
      <c r="N95" s="157">
        <v>11.392872000000001</v>
      </c>
      <c r="O95" s="157">
        <v>11.747849</v>
      </c>
      <c r="P95" s="157">
        <v>11.400753</v>
      </c>
      <c r="Q95" s="157">
        <v>11.517984999999999</v>
      </c>
      <c r="R95" s="157">
        <v>12.272225000000001</v>
      </c>
      <c r="S95" s="157">
        <v>12.81461</v>
      </c>
      <c r="T95" s="157">
        <v>13.152265</v>
      </c>
      <c r="U95" s="157">
        <v>13.967620999999999</v>
      </c>
      <c r="V95" s="157">
        <v>14.940269000000001</v>
      </c>
    </row>
    <row r="96">
      <c r="A96" s="1" t="s">
        <v>149</v>
      </c>
      <c r="B96" s="154" t="s">
        <v>254</v>
      </c>
      <c r="C96" s="157">
        <v>17.412953000000002</v>
      </c>
      <c r="D96" s="157">
        <v>18.055399000000001</v>
      </c>
      <c r="E96" s="157">
        <v>18.409973999999998</v>
      </c>
      <c r="F96" s="157">
        <v>19.716028999999999</v>
      </c>
      <c r="G96" s="157">
        <v>20.101071000000001</v>
      </c>
      <c r="H96" s="157">
        <v>20.671482999999998</v>
      </c>
      <c r="I96" s="157">
        <v>21.298949</v>
      </c>
      <c r="J96" s="157">
        <v>21.756567</v>
      </c>
      <c r="K96" s="157">
        <v>21.268037</v>
      </c>
      <c r="L96" s="157">
        <v>18.832214</v>
      </c>
      <c r="M96" s="157">
        <v>18.248799000000002</v>
      </c>
      <c r="N96" s="157">
        <v>20.400644</v>
      </c>
      <c r="O96" s="157">
        <v>19.666101999999999</v>
      </c>
      <c r="P96" s="157">
        <v>18.696278</v>
      </c>
      <c r="Q96" s="157">
        <v>18.523551999999999</v>
      </c>
      <c r="R96" s="157">
        <v>18.826789999999999</v>
      </c>
      <c r="S96" s="157">
        <v>18.676333</v>
      </c>
      <c r="T96" s="157">
        <v>18.876024999999998</v>
      </c>
      <c r="U96" s="157">
        <v>19.778382000000001</v>
      </c>
      <c r="V96" s="157">
        <v>19.812342999999998</v>
      </c>
    </row>
    <row r="97">
      <c r="A97" s="160" t="s">
        <v>255</v>
      </c>
      <c r="B97" s="160" t="s">
        <v>256</v>
      </c>
      <c r="C97" s="157">
        <v>9.6446260000000006</v>
      </c>
      <c r="D97" s="157">
        <v>10.312950000000001</v>
      </c>
      <c r="E97" s="157">
        <v>10.589752000000001</v>
      </c>
      <c r="F97" s="157">
        <v>11.766667999999999</v>
      </c>
      <c r="G97" s="157">
        <v>12.189596999999999</v>
      </c>
      <c r="H97" s="157">
        <v>12.791534</v>
      </c>
      <c r="I97" s="157">
        <v>13.137658</v>
      </c>
      <c r="J97" s="157">
        <v>13.435532</v>
      </c>
      <c r="K97" s="157">
        <v>13.561536</v>
      </c>
      <c r="L97" s="157">
        <v>11.958853</v>
      </c>
      <c r="M97" s="157">
        <v>10.837251</v>
      </c>
      <c r="N97" s="157">
        <v>12.225529</v>
      </c>
      <c r="O97" s="157">
        <v>11.848004</v>
      </c>
      <c r="P97" s="157">
        <v>11.129168</v>
      </c>
      <c r="Q97" s="157">
        <v>10.780340000000001</v>
      </c>
      <c r="R97" s="157">
        <v>10.803717000000001</v>
      </c>
      <c r="S97" s="157">
        <v>10.584341999999999</v>
      </c>
      <c r="T97" s="157">
        <v>10.601438</v>
      </c>
      <c r="U97" s="157">
        <v>11.501566</v>
      </c>
      <c r="V97" s="157">
        <v>11.448584</v>
      </c>
    </row>
    <row r="98">
      <c r="A98" s="165" t="s">
        <v>257</v>
      </c>
      <c r="B98" s="165" t="s">
        <v>258</v>
      </c>
      <c r="C98" s="157">
        <v>8.0903080000000003</v>
      </c>
      <c r="D98" s="157">
        <v>7.9800120000000003</v>
      </c>
      <c r="E98" s="157">
        <v>8.0445189999999993</v>
      </c>
      <c r="F98" s="157">
        <v>8.0972279999999994</v>
      </c>
      <c r="G98" s="157">
        <v>8.0322479999999992</v>
      </c>
      <c r="H98" s="157">
        <v>7.9702590000000004</v>
      </c>
      <c r="I98" s="157">
        <v>8.2548189999999995</v>
      </c>
      <c r="J98" s="157">
        <v>8.416677</v>
      </c>
      <c r="K98" s="157">
        <v>7.840287</v>
      </c>
      <c r="L98" s="157">
        <v>6.9824710000000003</v>
      </c>
      <c r="M98" s="157">
        <v>7.4149409999999998</v>
      </c>
      <c r="N98" s="157">
        <v>8.1861669999999993</v>
      </c>
      <c r="O98" s="157">
        <v>7.834263</v>
      </c>
      <c r="P98" s="157">
        <v>7.5743799999999997</v>
      </c>
      <c r="Q98" s="157">
        <v>7.7432129999999999</v>
      </c>
      <c r="R98" s="157">
        <v>8.0230730000000001</v>
      </c>
      <c r="S98" s="157">
        <v>8.0998359999999998</v>
      </c>
      <c r="T98" s="157">
        <v>8.2923500000000008</v>
      </c>
      <c r="U98" s="157">
        <v>8.2701740000000008</v>
      </c>
      <c r="V98" s="157">
        <v>8.3584969999999998</v>
      </c>
    </row>
    <row r="99">
      <c r="A99" s="161" t="s">
        <v>151</v>
      </c>
      <c r="B99" s="161" t="s">
        <v>259</v>
      </c>
      <c r="C99" s="157">
        <v>24.255374</v>
      </c>
      <c r="D99" s="157">
        <v>24.447949000000001</v>
      </c>
      <c r="E99" s="157">
        <v>24.380507000000001</v>
      </c>
      <c r="F99" s="157">
        <v>24.315009</v>
      </c>
      <c r="G99" s="157">
        <v>24.667256999999999</v>
      </c>
      <c r="H99" s="157">
        <v>23.865376000000001</v>
      </c>
      <c r="I99" s="157">
        <v>24.026119999999999</v>
      </c>
      <c r="J99" s="157">
        <v>24.463282</v>
      </c>
      <c r="K99" s="157">
        <v>23.969868000000002</v>
      </c>
      <c r="L99" s="157">
        <v>23.940850000000001</v>
      </c>
      <c r="M99" s="157">
        <v>24.627644</v>
      </c>
      <c r="N99" s="157">
        <v>24.858457999999999</v>
      </c>
      <c r="O99" s="157">
        <v>24.396314</v>
      </c>
      <c r="P99" s="157">
        <v>25.766483999999998</v>
      </c>
      <c r="Q99" s="157">
        <v>25.214587999999999</v>
      </c>
      <c r="R99" s="157">
        <v>25.624379000000001</v>
      </c>
      <c r="S99" s="157">
        <v>26.013804</v>
      </c>
      <c r="T99" s="157">
        <v>26.657764</v>
      </c>
      <c r="U99" s="157">
        <v>25.460822</v>
      </c>
      <c r="V99" s="157">
        <v>25.805907999999999</v>
      </c>
    </row>
    <row r="100">
      <c r="A100" s="1" t="s">
        <v>260</v>
      </c>
      <c r="B100" s="1" t="s">
        <v>261</v>
      </c>
      <c r="C100" s="157">
        <v>5.8707409999999998</v>
      </c>
      <c r="D100" s="157">
        <v>5.7037110000000002</v>
      </c>
      <c r="E100" s="157">
        <v>5.9039149999999996</v>
      </c>
      <c r="F100" s="157">
        <v>5.7612100000000002</v>
      </c>
      <c r="G100" s="157">
        <v>5.5004359999999997</v>
      </c>
      <c r="H100" s="157">
        <v>5.1969180000000001</v>
      </c>
      <c r="I100" s="157">
        <v>4.7876390000000004</v>
      </c>
      <c r="J100" s="157">
        <v>4.8590179999999998</v>
      </c>
      <c r="K100" s="157">
        <v>4.8591759999999997</v>
      </c>
      <c r="L100" s="157">
        <v>6.3924459999999996</v>
      </c>
      <c r="M100" s="157">
        <v>5.8092579999999998</v>
      </c>
      <c r="N100" s="157">
        <v>5.8211349999999999</v>
      </c>
      <c r="O100" s="157">
        <v>5.5506130000000002</v>
      </c>
      <c r="P100" s="157">
        <v>6.4536300000000004</v>
      </c>
      <c r="Q100" s="157">
        <v>5.8232530000000002</v>
      </c>
      <c r="R100" s="157">
        <v>6.3026080000000002</v>
      </c>
      <c r="S100" s="157">
        <v>7.0381970000000003</v>
      </c>
      <c r="T100" s="157">
        <v>7.2122590000000004</v>
      </c>
      <c r="U100" s="157">
        <v>5.816732</v>
      </c>
      <c r="V100" s="157">
        <v>5.9845490000000003</v>
      </c>
    </row>
    <row r="101">
      <c r="A101" s="1" t="s">
        <v>262</v>
      </c>
      <c r="B101" s="154" t="s">
        <v>263</v>
      </c>
      <c r="C101" s="157">
        <v>19.404259</v>
      </c>
      <c r="D101" s="157">
        <v>19.860689000000001</v>
      </c>
      <c r="E101" s="157">
        <v>19.524709000000001</v>
      </c>
      <c r="F101" s="157">
        <v>19.614986999999999</v>
      </c>
      <c r="G101" s="157">
        <v>20.281328999999999</v>
      </c>
      <c r="H101" s="157">
        <v>19.793566999999999</v>
      </c>
      <c r="I101" s="157">
        <v>20.572875</v>
      </c>
      <c r="J101" s="157">
        <v>20.971878</v>
      </c>
      <c r="K101" s="157">
        <v>20.379166999999999</v>
      </c>
      <c r="L101" s="157">
        <v>17.605535</v>
      </c>
      <c r="M101" s="157">
        <v>18.835312999999999</v>
      </c>
      <c r="N101" s="157">
        <v>19.058634999999999</v>
      </c>
      <c r="O101" s="157">
        <v>18.907675999999999</v>
      </c>
      <c r="P101" s="157">
        <v>19.350933000000001</v>
      </c>
      <c r="Q101" s="157">
        <v>19.391335000000002</v>
      </c>
      <c r="R101" s="157">
        <v>19.321770999999998</v>
      </c>
      <c r="S101" s="157">
        <v>18.988880999999999</v>
      </c>
      <c r="T101" s="157">
        <v>19.459074000000001</v>
      </c>
      <c r="U101" s="157">
        <v>19.483629000000001</v>
      </c>
      <c r="V101" s="157">
        <v>19.659434000000001</v>
      </c>
    </row>
    <row r="102">
      <c r="A102" s="1" t="s">
        <v>131</v>
      </c>
      <c r="B102" s="154" t="s">
        <v>264</v>
      </c>
      <c r="C102" s="157">
        <v>5.3318079999999997</v>
      </c>
      <c r="D102" s="157">
        <v>5.2905439999999997</v>
      </c>
      <c r="E102" s="157">
        <v>5.5300229999999999</v>
      </c>
      <c r="F102" s="157">
        <v>5.6432200000000003</v>
      </c>
      <c r="G102" s="157">
        <v>6.2335419999999999</v>
      </c>
      <c r="H102" s="157">
        <v>6.5155560000000001</v>
      </c>
      <c r="I102" s="157">
        <v>7.5852810000000002</v>
      </c>
      <c r="J102" s="157">
        <v>7.6873519999999997</v>
      </c>
      <c r="K102" s="157">
        <v>7.9317039999999999</v>
      </c>
      <c r="L102" s="157">
        <v>7.4069649999999996</v>
      </c>
      <c r="M102" s="157">
        <v>9.0368230000000001</v>
      </c>
      <c r="N102" s="157">
        <v>9.379092</v>
      </c>
      <c r="O102" s="157">
        <v>9.8284249999999993</v>
      </c>
      <c r="P102" s="157">
        <v>10.702061</v>
      </c>
      <c r="Q102" s="157">
        <v>11.123084</v>
      </c>
      <c r="R102" s="157">
        <v>11.128679999999999</v>
      </c>
      <c r="S102" s="157">
        <v>11.394397</v>
      </c>
      <c r="T102" s="157">
        <v>11.786925</v>
      </c>
      <c r="U102" s="157">
        <v>12.260071999999999</v>
      </c>
      <c r="V102" s="157">
        <v>13.493798</v>
      </c>
    </row>
    <row r="103">
      <c r="A103" s="1" t="s">
        <v>133</v>
      </c>
      <c r="B103" s="154" t="s">
        <v>265</v>
      </c>
      <c r="C103" s="157">
        <v>10.617983000000001</v>
      </c>
      <c r="D103" s="157">
        <v>10.120741000000001</v>
      </c>
      <c r="E103" s="157">
        <v>9.6501640000000002</v>
      </c>
      <c r="F103" s="157">
        <v>9.0387540000000008</v>
      </c>
      <c r="G103" s="157">
        <v>9.7549010000000003</v>
      </c>
      <c r="H103" s="157">
        <v>9.2139299999999995</v>
      </c>
      <c r="I103" s="157">
        <v>8.9104919999999996</v>
      </c>
      <c r="J103" s="157">
        <v>9.1941249999999997</v>
      </c>
      <c r="K103" s="157">
        <v>8.9187309999999993</v>
      </c>
      <c r="L103" s="157">
        <v>7.5785689999999999</v>
      </c>
      <c r="M103" s="157">
        <v>7.7074259999999999</v>
      </c>
      <c r="N103" s="157">
        <v>7.3882000000000003</v>
      </c>
      <c r="O103" s="157">
        <v>7.2561330000000002</v>
      </c>
      <c r="P103" s="157">
        <v>7.1224829999999999</v>
      </c>
      <c r="Q103" s="157">
        <v>6.9197939999999996</v>
      </c>
      <c r="R103" s="157">
        <v>6.8595009999999998</v>
      </c>
      <c r="S103" s="157">
        <v>6.9052819999999997</v>
      </c>
      <c r="T103" s="157">
        <v>6.9433600000000002</v>
      </c>
      <c r="U103" s="157">
        <v>7.054011</v>
      </c>
      <c r="V103" s="157">
        <v>7.12005</v>
      </c>
    </row>
    <row r="104">
      <c r="A104" s="166" t="s">
        <v>135</v>
      </c>
      <c r="B104" s="166" t="s">
        <v>266</v>
      </c>
      <c r="C104" s="157">
        <v>11.485924000000001</v>
      </c>
      <c r="D104" s="157">
        <v>12.400689</v>
      </c>
      <c r="E104" s="157">
        <v>12.157581</v>
      </c>
      <c r="F104" s="157">
        <v>12.441276</v>
      </c>
      <c r="G104" s="157">
        <v>13.45471</v>
      </c>
      <c r="H104" s="157">
        <v>13.507080999999999</v>
      </c>
      <c r="I104" s="157">
        <v>14.390752000000001</v>
      </c>
      <c r="J104" s="157">
        <v>14.806767000000001</v>
      </c>
      <c r="K104" s="157">
        <v>14.643867</v>
      </c>
      <c r="L104" s="157">
        <v>11.404749000000001</v>
      </c>
      <c r="M104" s="157">
        <v>11.495244</v>
      </c>
      <c r="N104" s="157">
        <v>12.772231</v>
      </c>
      <c r="O104" s="157">
        <v>12.524309000000001</v>
      </c>
      <c r="P104" s="157">
        <v>12.428447</v>
      </c>
      <c r="Q104" s="157">
        <v>12.486587</v>
      </c>
      <c r="R104" s="157">
        <v>11.874653</v>
      </c>
      <c r="S104" s="157">
        <v>11.096029</v>
      </c>
      <c r="T104" s="157">
        <v>11.008343999999999</v>
      </c>
      <c r="U104" s="157">
        <v>11.013045999999999</v>
      </c>
      <c r="V104" s="157">
        <v>11.25338</v>
      </c>
    </row>
    <row r="105">
      <c r="A105" s="166" t="s">
        <v>267</v>
      </c>
      <c r="B105" s="166" t="s">
        <v>268</v>
      </c>
      <c r="C105" s="157">
        <v>31.312270999999999</v>
      </c>
      <c r="D105" s="157">
        <v>30.239395999999999</v>
      </c>
      <c r="E105" s="157">
        <v>28.800540999999999</v>
      </c>
      <c r="F105" s="157">
        <v>30.740936000000001</v>
      </c>
      <c r="G105" s="157">
        <v>31.458558</v>
      </c>
      <c r="H105" s="157">
        <v>32.540165000000002</v>
      </c>
      <c r="I105" s="157">
        <v>32.320242999999998</v>
      </c>
      <c r="J105" s="157">
        <v>32.323222000000001</v>
      </c>
      <c r="K105" s="157">
        <v>31.062785999999999</v>
      </c>
      <c r="L105" s="157">
        <v>26.000693999999999</v>
      </c>
      <c r="M105" s="157">
        <v>28.477751000000001</v>
      </c>
      <c r="N105" s="157">
        <v>28.441257</v>
      </c>
      <c r="O105" s="157">
        <v>28.448081999999999</v>
      </c>
      <c r="P105" s="157">
        <v>26.993219</v>
      </c>
      <c r="Q105" s="157">
        <v>27.034531000000001</v>
      </c>
      <c r="R105" s="157">
        <v>26.907309000000001</v>
      </c>
      <c r="S105" s="157">
        <v>27.063396999999998</v>
      </c>
      <c r="T105" s="157">
        <v>28.382299</v>
      </c>
      <c r="U105" s="157">
        <v>30.481016</v>
      </c>
      <c r="V105" s="157">
        <v>29.811316999999999</v>
      </c>
    </row>
    <row r="106">
      <c r="A106" s="1" t="s">
        <v>269</v>
      </c>
      <c r="B106" s="154" t="s">
        <v>270</v>
      </c>
      <c r="C106" s="157">
        <v>20.354437999999998</v>
      </c>
      <c r="D106" s="157">
        <v>19.480934999999999</v>
      </c>
      <c r="E106" s="157">
        <v>19.568905000000001</v>
      </c>
      <c r="F106" s="157">
        <v>20.340807999999999</v>
      </c>
      <c r="G106" s="157">
        <v>21.698671000000001</v>
      </c>
      <c r="H106" s="157">
        <v>20.832203</v>
      </c>
      <c r="I106" s="157">
        <v>20.514844</v>
      </c>
      <c r="J106" s="157">
        <v>20.161345000000001</v>
      </c>
      <c r="K106" s="157">
        <v>18.361038000000001</v>
      </c>
      <c r="L106" s="157">
        <v>13.636471</v>
      </c>
      <c r="M106" s="157">
        <v>15.627941</v>
      </c>
      <c r="N106" s="157">
        <v>16.514938000000001</v>
      </c>
      <c r="O106" s="157">
        <v>14.521451000000001</v>
      </c>
      <c r="P106" s="157">
        <v>12.609652000000001</v>
      </c>
      <c r="Q106" s="157">
        <v>12.585031000000001</v>
      </c>
      <c r="R106" s="157">
        <v>12.654173999999999</v>
      </c>
      <c r="S106" s="157">
        <v>12.426857</v>
      </c>
      <c r="T106" s="157">
        <v>13.469141</v>
      </c>
      <c r="U106" s="157">
        <v>13.02356</v>
      </c>
      <c r="V106" s="157">
        <v>13.038845</v>
      </c>
    </row>
    <row r="107">
      <c r="A107" s="1" t="s">
        <v>271</v>
      </c>
      <c r="B107" s="154" t="s">
        <v>272</v>
      </c>
      <c r="C107" s="157">
        <v>11.208796</v>
      </c>
      <c r="D107" s="157">
        <v>11.045203000000001</v>
      </c>
      <c r="E107" s="157">
        <v>9.384036</v>
      </c>
      <c r="F107" s="157">
        <v>10.569376</v>
      </c>
      <c r="G107" s="157">
        <v>9.8204279999999997</v>
      </c>
      <c r="H107" s="157">
        <v>12.144292999999999</v>
      </c>
      <c r="I107" s="157">
        <v>12.2582</v>
      </c>
      <c r="J107" s="157">
        <v>12.593268</v>
      </c>
      <c r="K107" s="157">
        <v>13.062334</v>
      </c>
      <c r="L107" s="157">
        <v>12.516994</v>
      </c>
      <c r="M107" s="157">
        <v>13.000316</v>
      </c>
      <c r="N107" s="157">
        <v>12.030248</v>
      </c>
      <c r="O107" s="157">
        <v>14.007463</v>
      </c>
      <c r="P107" s="157">
        <v>14.381936</v>
      </c>
      <c r="Q107" s="157">
        <v>14.4495</v>
      </c>
      <c r="R107" s="157">
        <v>14.253136</v>
      </c>
      <c r="S107" s="157">
        <v>14.604545999999999</v>
      </c>
      <c r="T107" s="157">
        <v>14.902965999999999</v>
      </c>
      <c r="U107" s="157">
        <v>17.326832</v>
      </c>
      <c r="V107" s="157">
        <v>16.668766999999999</v>
      </c>
    </row>
    <row r="108">
      <c r="A108" s="1" t="s">
        <v>153</v>
      </c>
      <c r="B108" s="154" t="s">
        <v>273</v>
      </c>
      <c r="C108" s="157">
        <v>28.254632999999998</v>
      </c>
      <c r="D108" s="157">
        <v>28.725096000000001</v>
      </c>
      <c r="E108" s="157">
        <v>28.358239999999999</v>
      </c>
      <c r="F108" s="157">
        <v>27.245087999999999</v>
      </c>
      <c r="G108" s="157">
        <v>28.210153999999999</v>
      </c>
      <c r="H108" s="157">
        <v>29.230820999999999</v>
      </c>
      <c r="I108" s="157">
        <v>29.779657</v>
      </c>
      <c r="J108" s="157">
        <v>30.866015999999998</v>
      </c>
      <c r="K108" s="157">
        <v>30.781068000000001</v>
      </c>
      <c r="L108" s="157">
        <v>30.004085</v>
      </c>
      <c r="M108" s="157">
        <v>29.555235</v>
      </c>
      <c r="N108" s="157">
        <v>30.235903</v>
      </c>
      <c r="O108" s="157">
        <v>30.523461000000001</v>
      </c>
      <c r="P108" s="157">
        <v>29.043524000000001</v>
      </c>
      <c r="Q108" s="157">
        <v>28.693103000000001</v>
      </c>
      <c r="R108" s="157">
        <v>28.539113</v>
      </c>
      <c r="S108" s="157">
        <v>27.720690999999999</v>
      </c>
      <c r="T108" s="157">
        <v>27.869295999999999</v>
      </c>
      <c r="U108" s="157">
        <v>28.652469</v>
      </c>
      <c r="V108" s="157">
        <v>29.666309999999999</v>
      </c>
    </row>
    <row r="109">
      <c r="A109" s="159" t="s">
        <v>274</v>
      </c>
      <c r="B109" s="159" t="s">
        <v>275</v>
      </c>
      <c r="C109" s="157">
        <v>3.697276</v>
      </c>
      <c r="D109" s="157">
        <v>3.9559310000000001</v>
      </c>
      <c r="E109" s="157">
        <v>3.79786</v>
      </c>
      <c r="F109" s="157">
        <v>3.7520910000000001</v>
      </c>
      <c r="G109" s="157">
        <v>3.660444</v>
      </c>
      <c r="H109" s="157">
        <v>3.751045</v>
      </c>
      <c r="I109" s="157">
        <v>3.7622439999999999</v>
      </c>
      <c r="J109" s="157">
        <v>3.7272639999999999</v>
      </c>
      <c r="K109" s="157">
        <v>3.269593</v>
      </c>
      <c r="L109" s="157">
        <v>3.1220050000000001</v>
      </c>
      <c r="M109" s="157">
        <v>2.8895719999999998</v>
      </c>
      <c r="N109" s="157">
        <v>2.806756</v>
      </c>
      <c r="O109" s="157">
        <v>2.7169490000000001</v>
      </c>
      <c r="P109" s="157">
        <v>2.4824999999999999</v>
      </c>
      <c r="Q109" s="157">
        <v>2.3909790000000002</v>
      </c>
      <c r="R109" s="157">
        <v>2.3811420000000001</v>
      </c>
      <c r="S109" s="157">
        <v>2.1533699999999998</v>
      </c>
      <c r="T109" s="157">
        <v>2.2145800000000002</v>
      </c>
      <c r="U109" s="157">
        <v>2.1962299999999999</v>
      </c>
      <c r="V109" s="157">
        <v>2.1792940000000001</v>
      </c>
    </row>
    <row r="110">
      <c r="A110" s="159" t="s">
        <v>276</v>
      </c>
      <c r="B110" s="159" t="s">
        <v>277</v>
      </c>
      <c r="C110" s="157">
        <v>4.538411</v>
      </c>
      <c r="D110" s="157">
        <v>4.9639699999999998</v>
      </c>
      <c r="E110" s="157">
        <v>4.8523829999999997</v>
      </c>
      <c r="F110" s="157">
        <v>4.8066700000000004</v>
      </c>
      <c r="G110" s="157">
        <v>5.1245079999999996</v>
      </c>
      <c r="H110" s="157">
        <v>5.0226949999999997</v>
      </c>
      <c r="I110" s="157">
        <v>5.0637740000000004</v>
      </c>
      <c r="J110" s="157">
        <v>5.3011590000000002</v>
      </c>
      <c r="K110" s="157">
        <v>5.2831780000000004</v>
      </c>
      <c r="L110" s="157">
        <v>5.0761409999999998</v>
      </c>
      <c r="M110" s="157">
        <v>5.2081369999999998</v>
      </c>
      <c r="N110" s="157">
        <v>5.2063220000000001</v>
      </c>
      <c r="O110" s="157">
        <v>4.9349930000000004</v>
      </c>
      <c r="P110" s="157">
        <v>4.830921</v>
      </c>
      <c r="Q110" s="157">
        <v>4.9640000000000004</v>
      </c>
      <c r="R110" s="157">
        <v>4.7668049999999997</v>
      </c>
      <c r="S110" s="157">
        <v>4.698086</v>
      </c>
      <c r="T110" s="157">
        <v>4.5680769999999997</v>
      </c>
      <c r="U110" s="157">
        <v>4.759938</v>
      </c>
      <c r="V110" s="157">
        <v>4.925605</v>
      </c>
    </row>
    <row r="111">
      <c r="A111" s="166" t="s">
        <v>278</v>
      </c>
      <c r="B111" s="166" t="s">
        <v>279</v>
      </c>
      <c r="C111" s="157">
        <v>19.996983</v>
      </c>
      <c r="D111" s="157">
        <v>19.741274000000001</v>
      </c>
      <c r="E111" s="157">
        <v>19.652851999999999</v>
      </c>
      <c r="F111" s="157">
        <v>18.614955999999999</v>
      </c>
      <c r="G111" s="157">
        <v>19.362075000000001</v>
      </c>
      <c r="H111" s="157">
        <v>20.416864</v>
      </c>
      <c r="I111" s="157">
        <v>20.925191999999999</v>
      </c>
      <c r="J111" s="157">
        <v>21.817706000000001</v>
      </c>
      <c r="K111" s="157">
        <v>22.220707999999998</v>
      </c>
      <c r="L111" s="157">
        <v>21.807171</v>
      </c>
      <c r="M111" s="157">
        <v>21.468167999999999</v>
      </c>
      <c r="N111" s="157">
        <v>22.229942999999999</v>
      </c>
      <c r="O111" s="157">
        <v>22.876816999999999</v>
      </c>
      <c r="P111" s="157">
        <v>21.734573000000001</v>
      </c>
      <c r="Q111" s="157">
        <v>21.338124000000001</v>
      </c>
      <c r="R111" s="157">
        <v>21.391165999999998</v>
      </c>
      <c r="S111" s="157">
        <v>20.866595</v>
      </c>
      <c r="T111" s="157">
        <v>21.082647999999999</v>
      </c>
      <c r="U111" s="157">
        <v>21.691492</v>
      </c>
      <c r="V111" s="157">
        <v>22.550536999999998</v>
      </c>
    </row>
    <row r="112">
      <c r="A112" s="1" t="s">
        <v>121</v>
      </c>
      <c r="B112" s="154" t="s">
        <v>280</v>
      </c>
      <c r="C112" s="157">
        <v>36.495229999999999</v>
      </c>
      <c r="D112" s="157">
        <v>38.879345999999998</v>
      </c>
      <c r="E112" s="157">
        <v>42.148147999999999</v>
      </c>
      <c r="F112" s="157">
        <v>40.938017000000002</v>
      </c>
      <c r="G112" s="157">
        <v>43.334659000000002</v>
      </c>
      <c r="H112" s="157">
        <v>41.020854</v>
      </c>
      <c r="I112" s="157">
        <v>38.977260999999999</v>
      </c>
      <c r="J112" s="157">
        <v>39.198014999999998</v>
      </c>
      <c r="K112" s="157">
        <v>36.377786999999998</v>
      </c>
      <c r="L112" s="157">
        <v>32.280160000000002</v>
      </c>
      <c r="M112" s="157">
        <v>31.420501999999999</v>
      </c>
      <c r="N112" s="157">
        <v>30.06841</v>
      </c>
      <c r="O112" s="157">
        <v>33.414028000000002</v>
      </c>
      <c r="P112" s="157">
        <v>35.939242</v>
      </c>
      <c r="Q112" s="157">
        <v>34.085185000000003</v>
      </c>
      <c r="R112" s="157">
        <v>34.383324999999999</v>
      </c>
      <c r="S112" s="157">
        <v>33.533636999999999</v>
      </c>
      <c r="T112" s="157">
        <v>30.996842999999998</v>
      </c>
      <c r="U112" s="157">
        <v>33.131999999999998</v>
      </c>
      <c r="V112" s="157">
        <v>33.003774999999997</v>
      </c>
    </row>
    <row r="113">
      <c r="A113" s="1" t="s">
        <v>123</v>
      </c>
      <c r="B113" s="154" t="s">
        <v>281</v>
      </c>
      <c r="C113" s="157">
        <v>12.546692</v>
      </c>
      <c r="D113" s="157">
        <v>13.336209</v>
      </c>
      <c r="E113" s="157">
        <v>13.965849</v>
      </c>
      <c r="F113" s="157">
        <v>15.097875999999999</v>
      </c>
      <c r="G113" s="157">
        <v>14.640784999999999</v>
      </c>
      <c r="H113" s="157">
        <v>14.563033000000001</v>
      </c>
      <c r="I113" s="157">
        <v>14.710312</v>
      </c>
      <c r="J113" s="157">
        <v>14.814892</v>
      </c>
      <c r="K113" s="157">
        <v>14.501436</v>
      </c>
      <c r="L113" s="157">
        <v>14.711707000000001</v>
      </c>
      <c r="M113" s="157">
        <v>15.254386</v>
      </c>
      <c r="N113" s="157">
        <v>15.058176</v>
      </c>
      <c r="O113" s="157">
        <v>14.618653</v>
      </c>
      <c r="P113" s="157">
        <v>14.716125</v>
      </c>
      <c r="Q113" s="157">
        <v>14.105828000000001</v>
      </c>
      <c r="R113" s="157">
        <v>13.591778</v>
      </c>
      <c r="S113" s="157">
        <v>13.392080999999999</v>
      </c>
      <c r="T113" s="157">
        <v>13.868116000000001</v>
      </c>
      <c r="U113" s="157">
        <v>13.829893999999999</v>
      </c>
      <c r="V113" s="157">
        <v>13.936655</v>
      </c>
    </row>
    <row r="114">
      <c r="A114" s="1" t="s">
        <v>282</v>
      </c>
      <c r="B114" s="154" t="s">
        <v>283</v>
      </c>
      <c r="C114" s="157">
        <v>2.1262379999999999</v>
      </c>
      <c r="D114" s="157">
        <v>2.4001809999999999</v>
      </c>
      <c r="E114" s="157">
        <v>2.6089250000000002</v>
      </c>
      <c r="F114" s="157">
        <v>3.439381</v>
      </c>
      <c r="G114" s="157">
        <v>3.0105620000000002</v>
      </c>
      <c r="H114" s="157">
        <v>3.1473080000000002</v>
      </c>
      <c r="I114" s="157">
        <v>3.120981</v>
      </c>
      <c r="J114" s="157">
        <v>3.2109160000000001</v>
      </c>
      <c r="K114" s="157">
        <v>2.931276</v>
      </c>
      <c r="L114" s="157">
        <v>2.871464</v>
      </c>
      <c r="M114" s="157">
        <v>3.0329989999999998</v>
      </c>
      <c r="N114" s="157">
        <v>3.1508379999999998</v>
      </c>
      <c r="O114" s="157">
        <v>3.2397499999999999</v>
      </c>
      <c r="P114" s="157">
        <v>3.2659470000000002</v>
      </c>
      <c r="Q114" s="157">
        <v>3.3125260000000001</v>
      </c>
      <c r="R114" s="157">
        <v>3.1227279999999999</v>
      </c>
      <c r="S114" s="157">
        <v>3.1364969999999999</v>
      </c>
      <c r="T114" s="157">
        <v>3.2672159999999999</v>
      </c>
      <c r="U114" s="157">
        <v>3.250362</v>
      </c>
      <c r="V114" s="157">
        <v>3.261781</v>
      </c>
    </row>
    <row r="115">
      <c r="A115" s="1" t="s">
        <v>284</v>
      </c>
      <c r="B115" s="154" t="s">
        <v>285</v>
      </c>
      <c r="C115" s="157">
        <v>4.4576200000000004</v>
      </c>
      <c r="D115" s="157">
        <v>4.6175569999999997</v>
      </c>
      <c r="E115" s="157">
        <v>4.742686</v>
      </c>
      <c r="F115" s="157">
        <v>4.5214590000000001</v>
      </c>
      <c r="G115" s="157">
        <v>4.4983979999999999</v>
      </c>
      <c r="H115" s="157">
        <v>4.3276240000000001</v>
      </c>
      <c r="I115" s="157">
        <v>4.3984990000000002</v>
      </c>
      <c r="J115" s="157">
        <v>4.3696200000000003</v>
      </c>
      <c r="K115" s="157">
        <v>4.3502409999999996</v>
      </c>
      <c r="L115" s="157">
        <v>4.7304000000000004</v>
      </c>
      <c r="M115" s="157">
        <v>4.8190929999999996</v>
      </c>
      <c r="N115" s="157">
        <v>4.671564</v>
      </c>
      <c r="O115" s="157">
        <v>4.4446810000000001</v>
      </c>
      <c r="P115" s="157">
        <v>4.7090699999999996</v>
      </c>
      <c r="Q115" s="157">
        <v>4.6813370000000001</v>
      </c>
      <c r="R115" s="157">
        <v>4.6071710000000001</v>
      </c>
      <c r="S115" s="157">
        <v>4.6304119999999998</v>
      </c>
      <c r="T115" s="157">
        <v>4.9151119999999997</v>
      </c>
      <c r="U115" s="157">
        <v>4.8510980000000004</v>
      </c>
      <c r="V115" s="157">
        <v>4.7938960000000002</v>
      </c>
    </row>
    <row r="116">
      <c r="A116" s="1" t="s">
        <v>286</v>
      </c>
      <c r="B116" s="154" t="s">
        <v>287</v>
      </c>
      <c r="C116" s="157">
        <v>6.3495590000000002</v>
      </c>
      <c r="D116" s="157">
        <v>6.5838330000000003</v>
      </c>
      <c r="E116" s="157">
        <v>6.8278889999999999</v>
      </c>
      <c r="F116" s="157">
        <v>6.8144309999999999</v>
      </c>
      <c r="G116" s="157">
        <v>7.0195860000000003</v>
      </c>
      <c r="H116" s="157">
        <v>6.8850730000000002</v>
      </c>
      <c r="I116" s="157">
        <v>7.0322129999999996</v>
      </c>
      <c r="J116" s="157">
        <v>7.0287420000000003</v>
      </c>
      <c r="K116" s="157">
        <v>7.0980270000000001</v>
      </c>
      <c r="L116" s="157">
        <v>6.9731839999999998</v>
      </c>
      <c r="M116" s="157">
        <v>7.2056459999999998</v>
      </c>
      <c r="N116" s="157">
        <v>7.0060789999999997</v>
      </c>
      <c r="O116" s="157">
        <v>6.5771519999999999</v>
      </c>
      <c r="P116" s="157">
        <v>6.3133889999999999</v>
      </c>
      <c r="Q116" s="157">
        <v>5.6512039999999999</v>
      </c>
      <c r="R116" s="157">
        <v>5.3921409999999996</v>
      </c>
      <c r="S116" s="157">
        <v>5.1642150000000004</v>
      </c>
      <c r="T116" s="157">
        <v>5.2290979999999996</v>
      </c>
      <c r="U116" s="157">
        <v>5.2925800000000001</v>
      </c>
      <c r="V116" s="157">
        <v>5.4224730000000001</v>
      </c>
    </row>
    <row r="117">
      <c r="A117" s="1" t="s">
        <v>288</v>
      </c>
      <c r="B117" s="154" t="s">
        <v>289</v>
      </c>
      <c r="C117" s="157">
        <v>0.180535</v>
      </c>
      <c r="D117" s="157">
        <v>0.184894</v>
      </c>
      <c r="E117" s="157">
        <v>0.18185100000000001</v>
      </c>
      <c r="F117" s="157">
        <v>0.182391</v>
      </c>
      <c r="G117" s="157">
        <v>0.18562799999999999</v>
      </c>
      <c r="H117" s="157">
        <v>0.18209600000000001</v>
      </c>
      <c r="I117" s="157">
        <v>0.17925199999999999</v>
      </c>
      <c r="J117" s="157">
        <v>0.186165</v>
      </c>
      <c r="K117" s="157">
        <v>0.19934399999999999</v>
      </c>
      <c r="L117" s="157">
        <v>0.25804700000000003</v>
      </c>
      <c r="M117" s="157">
        <v>0.29677399999999998</v>
      </c>
      <c r="N117" s="157">
        <v>0.28502100000000002</v>
      </c>
      <c r="O117" s="157">
        <v>0.36522100000000002</v>
      </c>
      <c r="P117" s="157">
        <v>0.44229400000000002</v>
      </c>
      <c r="Q117" s="157">
        <v>0.46076</v>
      </c>
      <c r="R117" s="157">
        <v>0.46973700000000002</v>
      </c>
      <c r="S117" s="157">
        <v>0.45827699999999999</v>
      </c>
      <c r="T117" s="157">
        <v>0.46028599999999997</v>
      </c>
      <c r="U117" s="157">
        <v>0.43673600000000001</v>
      </c>
      <c r="V117" s="157">
        <v>0.45635300000000001</v>
      </c>
    </row>
    <row r="118">
      <c r="A118" s="1" t="s">
        <v>290</v>
      </c>
      <c r="B118" s="154" t="s">
        <v>29</v>
      </c>
      <c r="C118" s="157">
        <v>115.435468</v>
      </c>
      <c r="D118" s="157">
        <v>119.96694599999999</v>
      </c>
      <c r="E118" s="157">
        <v>119.421508</v>
      </c>
      <c r="F118" s="157">
        <v>119.08902500000001</v>
      </c>
      <c r="G118" s="157">
        <v>121.36767399999999</v>
      </c>
      <c r="H118" s="157">
        <v>124.698756</v>
      </c>
      <c r="I118" s="157">
        <v>127.73272900000001</v>
      </c>
      <c r="J118" s="157">
        <v>133.59743800000001</v>
      </c>
      <c r="K118" s="157">
        <v>131.61927</v>
      </c>
      <c r="L118" s="157">
        <v>123.994381</v>
      </c>
      <c r="M118" s="157">
        <v>120.903156</v>
      </c>
      <c r="N118" s="157">
        <v>118.618848</v>
      </c>
      <c r="O118" s="157">
        <v>112.59392800000001</v>
      </c>
      <c r="P118" s="157">
        <v>113.12113600000001</v>
      </c>
      <c r="Q118" s="157">
        <v>110.115753</v>
      </c>
      <c r="R118" s="157">
        <v>109.505257</v>
      </c>
      <c r="S118" s="157">
        <v>108.449133</v>
      </c>
      <c r="T118" s="157">
        <v>110.800995</v>
      </c>
      <c r="U118" s="157">
        <v>111.94245100000001</v>
      </c>
      <c r="V118" s="157">
        <v>114.881552</v>
      </c>
    </row>
    <row r="119">
      <c r="A119" s="1" t="s">
        <v>291</v>
      </c>
      <c r="B119" s="154" t="s">
        <v>292</v>
      </c>
      <c r="C119" s="157">
        <v>15.174170999999999</v>
      </c>
      <c r="D119" s="157">
        <v>15.925606</v>
      </c>
      <c r="E119" s="157">
        <v>16.613848999999998</v>
      </c>
      <c r="F119" s="157">
        <v>17.08295</v>
      </c>
      <c r="G119" s="157">
        <v>17.307489</v>
      </c>
      <c r="H119" s="157">
        <v>17.964963000000001</v>
      </c>
      <c r="I119" s="157">
        <v>18.265056000000001</v>
      </c>
      <c r="J119" s="157">
        <v>19.104334000000001</v>
      </c>
      <c r="K119" s="157">
        <v>17.660342</v>
      </c>
      <c r="L119" s="157">
        <v>15.219435000000001</v>
      </c>
      <c r="M119" s="157">
        <v>14.509734999999999</v>
      </c>
      <c r="N119" s="157">
        <v>13.642486</v>
      </c>
      <c r="O119" s="157">
        <v>12.65793</v>
      </c>
      <c r="P119" s="157">
        <v>12.643257</v>
      </c>
      <c r="Q119" s="157">
        <v>11.645498999999999</v>
      </c>
      <c r="R119" s="157">
        <v>11.854081000000001</v>
      </c>
      <c r="S119" s="157">
        <v>12.428925</v>
      </c>
      <c r="T119" s="157">
        <v>13.049835</v>
      </c>
      <c r="U119" s="157">
        <v>13.616289999999999</v>
      </c>
      <c r="V119" s="157">
        <v>13.850389</v>
      </c>
    </row>
    <row r="120">
      <c r="A120" s="1" t="s">
        <v>293</v>
      </c>
      <c r="B120" s="154" t="s">
        <v>294</v>
      </c>
      <c r="C120" s="157">
        <v>15.207917</v>
      </c>
      <c r="D120" s="157">
        <v>15.770747</v>
      </c>
      <c r="E120" s="157">
        <v>14.602512000000001</v>
      </c>
      <c r="F120" s="157">
        <v>14.922072999999999</v>
      </c>
      <c r="G120" s="157">
        <v>14.887397999999999</v>
      </c>
      <c r="H120" s="157">
        <v>15.05437</v>
      </c>
      <c r="I120" s="157">
        <v>15.080594</v>
      </c>
      <c r="J120" s="157">
        <v>15.937390000000001</v>
      </c>
      <c r="K120" s="157">
        <v>15.033066</v>
      </c>
      <c r="L120" s="157">
        <v>14.188385</v>
      </c>
      <c r="M120" s="157">
        <v>12.315127</v>
      </c>
      <c r="N120" s="157">
        <v>11.844605</v>
      </c>
      <c r="O120" s="157">
        <v>11.050191999999999</v>
      </c>
      <c r="P120" s="157">
        <v>11.642829000000001</v>
      </c>
      <c r="Q120" s="157">
        <v>12.277013999999999</v>
      </c>
      <c r="R120" s="157">
        <v>13.337477</v>
      </c>
      <c r="S120" s="157">
        <v>12.378685000000001</v>
      </c>
      <c r="T120" s="157">
        <v>12.569179999999999</v>
      </c>
      <c r="U120" s="157">
        <v>11.963148</v>
      </c>
      <c r="V120" s="157">
        <v>12.567174</v>
      </c>
    </row>
    <row r="121">
      <c r="A121" s="1" t="s">
        <v>295</v>
      </c>
      <c r="B121" s="154" t="s">
        <v>296</v>
      </c>
      <c r="C121" s="157">
        <v>85.391503999999998</v>
      </c>
      <c r="D121" s="157">
        <v>88.630094</v>
      </c>
      <c r="E121" s="157">
        <v>88.455128000000002</v>
      </c>
      <c r="F121" s="157">
        <v>87.397408999999996</v>
      </c>
      <c r="G121" s="157">
        <v>89.451554000000002</v>
      </c>
      <c r="H121" s="157">
        <v>91.941700999999995</v>
      </c>
      <c r="I121" s="157">
        <v>94.613219999999998</v>
      </c>
      <c r="J121" s="157">
        <v>98.815579</v>
      </c>
      <c r="K121" s="157">
        <v>99.085008000000002</v>
      </c>
      <c r="L121" s="157">
        <v>94.782062999999994</v>
      </c>
      <c r="M121" s="157">
        <v>94.111052999999998</v>
      </c>
      <c r="N121" s="157">
        <v>93.156074000000004</v>
      </c>
      <c r="O121" s="157">
        <v>88.921546000000006</v>
      </c>
      <c r="P121" s="157">
        <v>88.857812999999993</v>
      </c>
      <c r="Q121" s="157">
        <v>86.193240000000003</v>
      </c>
      <c r="R121" s="157">
        <v>84.313699999999997</v>
      </c>
      <c r="S121" s="157">
        <v>83.562126000000006</v>
      </c>
      <c r="T121" s="157">
        <v>85.084568000000004</v>
      </c>
      <c r="U121" s="157">
        <v>86.167542999999995</v>
      </c>
      <c r="V121" s="157">
        <v>88.290665000000004</v>
      </c>
    </row>
    <row r="122">
      <c r="A122" s="1" t="s">
        <v>297</v>
      </c>
      <c r="B122" s="154" t="s">
        <v>298</v>
      </c>
      <c r="C122" s="157">
        <v>171.396061</v>
      </c>
      <c r="D122" s="157">
        <v>178.03922399999999</v>
      </c>
      <c r="E122" s="157">
        <v>180.91576800000001</v>
      </c>
      <c r="F122" s="157">
        <v>182.402727</v>
      </c>
      <c r="G122" s="157">
        <v>183.624863</v>
      </c>
      <c r="H122" s="157">
        <v>184.189009</v>
      </c>
      <c r="I122" s="157">
        <v>186.79444000000001</v>
      </c>
      <c r="J122" s="157">
        <v>192.82199299999999</v>
      </c>
      <c r="K122" s="157">
        <v>197.99284900000001</v>
      </c>
      <c r="L122" s="157">
        <v>186.68932599999999</v>
      </c>
      <c r="M122" s="157">
        <v>186.60430700000001</v>
      </c>
      <c r="N122" s="157">
        <v>192.73387</v>
      </c>
      <c r="O122" s="157">
        <v>192.943172</v>
      </c>
      <c r="P122" s="157">
        <v>194.75059899999999</v>
      </c>
      <c r="Q122" s="157">
        <v>198.270906</v>
      </c>
      <c r="R122" s="157">
        <v>208.25428199999999</v>
      </c>
      <c r="S122" s="157">
        <v>213.191136</v>
      </c>
      <c r="T122" s="157">
        <v>217.57671199999999</v>
      </c>
      <c r="U122" s="157">
        <v>219.716903</v>
      </c>
      <c r="V122" s="157">
        <v>221.64131</v>
      </c>
    </row>
    <row r="123">
      <c r="A123" s="1" t="s">
        <v>299</v>
      </c>
      <c r="B123" s="154" t="s">
        <v>300</v>
      </c>
      <c r="C123" s="157">
        <v>29.203372999999999</v>
      </c>
      <c r="D123" s="157">
        <v>29.904609000000001</v>
      </c>
      <c r="E123" s="157">
        <v>29.948851999999999</v>
      </c>
      <c r="F123" s="157">
        <v>28.361971</v>
      </c>
      <c r="G123" s="157">
        <v>28.095711000000001</v>
      </c>
      <c r="H123" s="157">
        <v>28.145648000000001</v>
      </c>
      <c r="I123" s="157">
        <v>28.313542999999999</v>
      </c>
      <c r="J123" s="157">
        <v>29.013341</v>
      </c>
      <c r="K123" s="157">
        <v>28.498778000000001</v>
      </c>
      <c r="L123" s="157">
        <v>26.937567000000001</v>
      </c>
      <c r="M123" s="157">
        <v>27.578992</v>
      </c>
      <c r="N123" s="157">
        <v>29.321497999999998</v>
      </c>
      <c r="O123" s="157">
        <v>28.527004000000002</v>
      </c>
      <c r="P123" s="157">
        <v>28.783114000000001</v>
      </c>
      <c r="Q123" s="157">
        <v>28.437884</v>
      </c>
      <c r="R123" s="157">
        <v>25.647694999999999</v>
      </c>
      <c r="S123" s="157">
        <v>28.700997999999998</v>
      </c>
      <c r="T123" s="157">
        <v>26.101271000000001</v>
      </c>
      <c r="U123" s="157">
        <v>26.663219000000002</v>
      </c>
      <c r="V123" s="157">
        <v>27.499234000000001</v>
      </c>
    </row>
    <row r="124">
      <c r="A124" s="1" t="s">
        <v>301</v>
      </c>
      <c r="B124" s="154" t="s">
        <v>302</v>
      </c>
      <c r="C124" s="157">
        <v>90.205083000000002</v>
      </c>
      <c r="D124" s="157">
        <v>93.417383999999998</v>
      </c>
      <c r="E124" s="157">
        <v>94.028747999999993</v>
      </c>
      <c r="F124" s="157">
        <v>96.084774999999993</v>
      </c>
      <c r="G124" s="157">
        <v>95.824399999999997</v>
      </c>
      <c r="H124" s="157">
        <v>97.168408999999997</v>
      </c>
      <c r="I124" s="157">
        <v>100.617542</v>
      </c>
      <c r="J124" s="157">
        <v>104.70624100000001</v>
      </c>
      <c r="K124" s="157">
        <v>110.174149</v>
      </c>
      <c r="L124" s="157">
        <v>99.578639999999993</v>
      </c>
      <c r="M124" s="157">
        <v>88.119512</v>
      </c>
      <c r="N124" s="157">
        <v>86.425252</v>
      </c>
      <c r="O124" s="157">
        <v>88.589676999999995</v>
      </c>
      <c r="P124" s="157">
        <v>89.354827</v>
      </c>
      <c r="Q124" s="157">
        <v>90.693911999999997</v>
      </c>
      <c r="R124" s="157">
        <v>95.808576000000002</v>
      </c>
      <c r="S124" s="157">
        <v>96.027846999999994</v>
      </c>
      <c r="T124" s="157">
        <v>104.19269300000001</v>
      </c>
      <c r="U124" s="157">
        <v>104.43102500000001</v>
      </c>
      <c r="V124" s="157">
        <v>105.39436000000001</v>
      </c>
    </row>
    <row r="125">
      <c r="A125" s="1" t="s">
        <v>303</v>
      </c>
      <c r="B125" s="154" t="s">
        <v>304</v>
      </c>
      <c r="C125" s="157">
        <v>55.897754999999997</v>
      </c>
      <c r="D125" s="157">
        <v>58.581617999999999</v>
      </c>
      <c r="E125" s="157">
        <v>60.557845</v>
      </c>
      <c r="F125" s="157">
        <v>61.316808000000002</v>
      </c>
      <c r="G125" s="157">
        <v>62.784080000000003</v>
      </c>
      <c r="H125" s="157">
        <v>62.167158000000001</v>
      </c>
      <c r="I125" s="157">
        <v>61.591189</v>
      </c>
      <c r="J125" s="157">
        <v>63.106313</v>
      </c>
      <c r="K125" s="157">
        <v>63.863996999999998</v>
      </c>
      <c r="L125" s="157">
        <v>63.360446000000003</v>
      </c>
      <c r="M125" s="157">
        <v>71.353615000000005</v>
      </c>
      <c r="N125" s="157">
        <v>77.058875</v>
      </c>
      <c r="O125" s="157">
        <v>75.875298999999998</v>
      </c>
      <c r="P125" s="157">
        <v>76.659138999999996</v>
      </c>
      <c r="Q125" s="157">
        <v>79.139110000000002</v>
      </c>
      <c r="R125" s="157">
        <v>86.798011000000002</v>
      </c>
      <c r="S125" s="157">
        <v>88.222932</v>
      </c>
      <c r="T125" s="157">
        <v>87.498583999999994</v>
      </c>
      <c r="U125" s="157">
        <v>88.733746999999994</v>
      </c>
      <c r="V125" s="157">
        <v>88.737717000000004</v>
      </c>
    </row>
    <row r="126">
      <c r="A126" s="1" t="s">
        <v>305</v>
      </c>
      <c r="B126" s="154" t="s">
        <v>306</v>
      </c>
      <c r="C126" s="157">
        <v>74.157089999999997</v>
      </c>
      <c r="D126" s="157">
        <v>73.977934000000005</v>
      </c>
      <c r="E126" s="157">
        <v>75.008655000000005</v>
      </c>
      <c r="F126" s="157">
        <v>74.949951999999996</v>
      </c>
      <c r="G126" s="157">
        <v>78.468664000000004</v>
      </c>
      <c r="H126" s="157">
        <v>80.725566000000001</v>
      </c>
      <c r="I126" s="157">
        <v>83.277325000000005</v>
      </c>
      <c r="J126" s="157">
        <v>85.965557000000004</v>
      </c>
      <c r="K126" s="157">
        <v>85.510874000000001</v>
      </c>
      <c r="L126" s="157">
        <v>80.593101000000004</v>
      </c>
      <c r="M126" s="157">
        <v>86.680441999999999</v>
      </c>
      <c r="N126" s="157">
        <v>88.568935999999994</v>
      </c>
      <c r="O126" s="157">
        <v>89.679914999999994</v>
      </c>
      <c r="P126" s="157">
        <v>87.568494999999999</v>
      </c>
      <c r="Q126" s="157">
        <v>87.696288999999993</v>
      </c>
      <c r="R126" s="157">
        <v>85.025486000000001</v>
      </c>
      <c r="S126" s="157">
        <v>86.508730999999997</v>
      </c>
      <c r="T126" s="157">
        <v>88.749098000000004</v>
      </c>
      <c r="U126" s="157">
        <v>86.409052000000003</v>
      </c>
      <c r="V126" s="157">
        <v>89.755247999999995</v>
      </c>
    </row>
    <row r="127">
      <c r="A127" s="1" t="s">
        <v>307</v>
      </c>
      <c r="B127" s="154" t="s">
        <v>308</v>
      </c>
      <c r="C127" s="157">
        <v>32.767749999999999</v>
      </c>
      <c r="D127" s="157">
        <v>33.538136999999999</v>
      </c>
      <c r="E127" s="157">
        <v>34.058219000000001</v>
      </c>
      <c r="F127" s="157">
        <v>34.317661999999999</v>
      </c>
      <c r="G127" s="157">
        <v>35.888402999999997</v>
      </c>
      <c r="H127" s="157">
        <v>37.114021000000001</v>
      </c>
      <c r="I127" s="157">
        <v>38.569423999999998</v>
      </c>
      <c r="J127" s="157">
        <v>39.930532999999997</v>
      </c>
      <c r="K127" s="157">
        <v>39.727345999999997</v>
      </c>
      <c r="L127" s="157">
        <v>37.942093999999997</v>
      </c>
      <c r="M127" s="157">
        <v>39.422035000000001</v>
      </c>
      <c r="N127" s="157">
        <v>40.650064</v>
      </c>
      <c r="O127" s="157">
        <v>41.839663000000002</v>
      </c>
      <c r="P127" s="157">
        <v>41.778827</v>
      </c>
      <c r="Q127" s="157">
        <v>41.428558000000002</v>
      </c>
      <c r="R127" s="157">
        <v>40.731569</v>
      </c>
      <c r="S127" s="157">
        <v>41.295005000000003</v>
      </c>
      <c r="T127" s="157">
        <v>42.207416000000002</v>
      </c>
      <c r="U127" s="157">
        <v>41.528517999999998</v>
      </c>
      <c r="V127" s="157">
        <v>43.493702999999996</v>
      </c>
    </row>
    <row r="128">
      <c r="A128" s="1" t="s">
        <v>309</v>
      </c>
      <c r="B128" s="154" t="s">
        <v>310</v>
      </c>
      <c r="C128" s="157">
        <v>0.48627599999999999</v>
      </c>
      <c r="D128" s="157">
        <v>0.53817899999999996</v>
      </c>
      <c r="E128" s="157">
        <v>0.53498900000000005</v>
      </c>
      <c r="F128" s="157">
        <v>0.59182000000000001</v>
      </c>
      <c r="G128" s="157">
        <v>0.61446299999999998</v>
      </c>
      <c r="H128" s="157">
        <v>0.56724699999999995</v>
      </c>
      <c r="I128" s="157">
        <v>0.40984300000000001</v>
      </c>
      <c r="J128" s="157">
        <v>0.43836199999999997</v>
      </c>
      <c r="K128" s="157">
        <v>0.47567300000000001</v>
      </c>
      <c r="L128" s="157">
        <v>0.18660199999999999</v>
      </c>
      <c r="M128" s="157">
        <v>0.76783199999999996</v>
      </c>
      <c r="N128" s="157">
        <v>0.571461</v>
      </c>
      <c r="O128" s="157">
        <v>1.4182680000000001</v>
      </c>
      <c r="P128" s="157">
        <v>1.450483</v>
      </c>
      <c r="Q128" s="157">
        <v>2.0325980000000001</v>
      </c>
      <c r="R128" s="157">
        <v>1.8852640000000001</v>
      </c>
      <c r="S128" s="157">
        <v>2.325971</v>
      </c>
      <c r="T128" s="157">
        <v>2.4612560000000001</v>
      </c>
      <c r="U128" s="157">
        <v>2.323753</v>
      </c>
      <c r="V128" s="157">
        <v>2.8332410000000001</v>
      </c>
    </row>
    <row r="129">
      <c r="A129" s="1" t="s">
        <v>311</v>
      </c>
      <c r="B129" s="154" t="s">
        <v>312</v>
      </c>
      <c r="C129" s="157">
        <v>3.3178860000000001</v>
      </c>
      <c r="D129" s="157">
        <v>2.8986510000000001</v>
      </c>
      <c r="E129" s="157">
        <v>3.177934</v>
      </c>
      <c r="F129" s="157">
        <v>3.2046960000000002</v>
      </c>
      <c r="G129" s="157">
        <v>3.8087070000000001</v>
      </c>
      <c r="H129" s="157">
        <v>4.1210659999999999</v>
      </c>
      <c r="I129" s="157">
        <v>4.6702789999999998</v>
      </c>
      <c r="J129" s="157">
        <v>4.9469370000000001</v>
      </c>
      <c r="K129" s="157">
        <v>5.0310040000000003</v>
      </c>
      <c r="L129" s="157">
        <v>4.0788120000000001</v>
      </c>
      <c r="M129" s="157">
        <v>5.6668500000000002</v>
      </c>
      <c r="N129" s="157">
        <v>6.1493669999999998</v>
      </c>
      <c r="O129" s="157">
        <v>6.583094</v>
      </c>
      <c r="P129" s="157">
        <v>6.6329279999999997</v>
      </c>
      <c r="Q129" s="157">
        <v>6.226737</v>
      </c>
      <c r="R129" s="157">
        <v>5.8078060000000002</v>
      </c>
      <c r="S129" s="157">
        <v>6.0255840000000003</v>
      </c>
      <c r="T129" s="157">
        <v>6.3737969999999997</v>
      </c>
      <c r="U129" s="157">
        <v>6.547892</v>
      </c>
      <c r="V129" s="157">
        <v>7.1698659999999999</v>
      </c>
    </row>
    <row r="130">
      <c r="A130" s="1" t="s">
        <v>313</v>
      </c>
      <c r="B130" s="154" t="s">
        <v>314</v>
      </c>
      <c r="C130" s="157">
        <v>26.937643000000001</v>
      </c>
      <c r="D130" s="157">
        <v>26.045017000000001</v>
      </c>
      <c r="E130" s="157">
        <v>26.355696999999999</v>
      </c>
      <c r="F130" s="157">
        <v>26.194223000000001</v>
      </c>
      <c r="G130" s="157">
        <v>27.334163</v>
      </c>
      <c r="H130" s="157">
        <v>28.246468</v>
      </c>
      <c r="I130" s="157">
        <v>29.186779999999999</v>
      </c>
      <c r="J130" s="157">
        <v>30.081075999999999</v>
      </c>
      <c r="K130" s="157">
        <v>29.817775999999999</v>
      </c>
      <c r="L130" s="157">
        <v>29.020966000000001</v>
      </c>
      <c r="M130" s="157">
        <v>31.150596</v>
      </c>
      <c r="N130" s="157">
        <v>32.358949000000003</v>
      </c>
      <c r="O130" s="157">
        <v>30.885111999999999</v>
      </c>
      <c r="P130" s="157">
        <v>29.469318000000001</v>
      </c>
      <c r="Q130" s="157">
        <v>29.941103999999999</v>
      </c>
      <c r="R130" s="157">
        <v>29.342269000000002</v>
      </c>
      <c r="S130" s="157">
        <v>29.978853999999998</v>
      </c>
      <c r="T130" s="157">
        <v>31.075192000000001</v>
      </c>
      <c r="U130" s="157">
        <v>30.393274999999999</v>
      </c>
      <c r="V130" s="157">
        <v>31.190812000000001</v>
      </c>
    </row>
    <row r="131">
      <c r="A131" s="1" t="s">
        <v>315</v>
      </c>
      <c r="B131" s="154" t="s">
        <v>316</v>
      </c>
      <c r="C131" s="157">
        <v>11.496486000000001</v>
      </c>
      <c r="D131" s="157">
        <v>11.589031</v>
      </c>
      <c r="E131" s="157">
        <v>11.487143</v>
      </c>
      <c r="F131" s="157">
        <v>11.14167</v>
      </c>
      <c r="G131" s="157">
        <v>11.214555000000001</v>
      </c>
      <c r="H131" s="157">
        <v>11.085901</v>
      </c>
      <c r="I131" s="157">
        <v>11.066409</v>
      </c>
      <c r="J131" s="157">
        <v>11.143038000000001</v>
      </c>
      <c r="K131" s="157">
        <v>10.930925</v>
      </c>
      <c r="L131" s="157">
        <v>10.477145</v>
      </c>
      <c r="M131" s="157">
        <v>9.8284870000000009</v>
      </c>
      <c r="N131" s="157">
        <v>9.4116569999999999</v>
      </c>
      <c r="O131" s="157">
        <v>9.0877820000000007</v>
      </c>
      <c r="P131" s="157">
        <v>8.3461269999999992</v>
      </c>
      <c r="Q131" s="157">
        <v>8.0672929999999994</v>
      </c>
      <c r="R131" s="157">
        <v>7.258578</v>
      </c>
      <c r="S131" s="157">
        <v>6.8589099999999998</v>
      </c>
      <c r="T131" s="157">
        <v>6.6617550000000003</v>
      </c>
      <c r="U131" s="157">
        <v>5.705673</v>
      </c>
      <c r="V131" s="157">
        <v>5.495851</v>
      </c>
    </row>
    <row r="132">
      <c r="A132" s="1" t="s">
        <v>317</v>
      </c>
      <c r="B132" s="154" t="s">
        <v>318</v>
      </c>
      <c r="C132" s="157">
        <v>45.635714999999998</v>
      </c>
      <c r="D132" s="157">
        <v>46.779704000000002</v>
      </c>
      <c r="E132" s="157">
        <v>45.369385999999999</v>
      </c>
      <c r="F132" s="157">
        <v>45.165066000000003</v>
      </c>
      <c r="G132" s="157">
        <v>44.852884000000003</v>
      </c>
      <c r="H132" s="157">
        <v>45.738351999999999</v>
      </c>
      <c r="I132" s="157">
        <v>46.484977999999998</v>
      </c>
      <c r="J132" s="157">
        <v>47.918776999999999</v>
      </c>
      <c r="K132" s="157">
        <v>48.023831000000001</v>
      </c>
      <c r="L132" s="157">
        <v>47.010202</v>
      </c>
      <c r="M132" s="157">
        <v>48.664200999999998</v>
      </c>
      <c r="N132" s="157">
        <v>51.290877000000002</v>
      </c>
      <c r="O132" s="157">
        <v>51.133006000000002</v>
      </c>
      <c r="P132" s="157">
        <v>51.460731000000003</v>
      </c>
      <c r="Q132" s="157">
        <v>50.898366000000003</v>
      </c>
      <c r="R132" s="157">
        <v>50.749037999999999</v>
      </c>
      <c r="S132" s="157">
        <v>51.532573999999997</v>
      </c>
      <c r="T132" s="157">
        <v>52.221138000000003</v>
      </c>
      <c r="U132" s="157">
        <v>53.183914000000001</v>
      </c>
      <c r="V132" s="157">
        <v>56.056249999999999</v>
      </c>
    </row>
    <row r="133">
      <c r="A133" s="1" t="s">
        <v>319</v>
      </c>
      <c r="B133" s="154" t="s">
        <v>320</v>
      </c>
      <c r="C133" s="157">
        <v>11.613199</v>
      </c>
      <c r="D133" s="157">
        <v>11.906779</v>
      </c>
      <c r="E133" s="157">
        <v>11.542452000000001</v>
      </c>
      <c r="F133" s="157">
        <v>11.490912</v>
      </c>
      <c r="G133" s="157">
        <v>11.401819</v>
      </c>
      <c r="H133" s="157">
        <v>11.621002000000001</v>
      </c>
      <c r="I133" s="157">
        <v>11.808489</v>
      </c>
      <c r="J133" s="157">
        <v>12.15348</v>
      </c>
      <c r="K133" s="157">
        <v>12.568599000000001</v>
      </c>
      <c r="L133" s="157">
        <v>11.045052</v>
      </c>
      <c r="M133" s="157">
        <v>11.225693</v>
      </c>
      <c r="N133" s="157">
        <v>11.860568000000001</v>
      </c>
      <c r="O133" s="157">
        <v>11.496904000000001</v>
      </c>
      <c r="P133" s="157">
        <v>11.97242</v>
      </c>
      <c r="Q133" s="157">
        <v>11.72479</v>
      </c>
      <c r="R133" s="157">
        <v>11.665031000000001</v>
      </c>
      <c r="S133" s="157">
        <v>11.860733</v>
      </c>
      <c r="T133" s="157">
        <v>12.155056</v>
      </c>
      <c r="U133" s="157">
        <v>12.049417999999999</v>
      </c>
      <c r="V133" s="157">
        <v>12.314908000000001</v>
      </c>
    </row>
    <row r="134">
      <c r="A134" s="1" t="s">
        <v>321</v>
      </c>
      <c r="B134" s="154" t="s">
        <v>322</v>
      </c>
      <c r="C134" s="157">
        <v>34.049872000000001</v>
      </c>
      <c r="D134" s="157">
        <v>34.901010999999997</v>
      </c>
      <c r="E134" s="157">
        <v>33.853962000000003</v>
      </c>
      <c r="F134" s="157">
        <v>33.701031</v>
      </c>
      <c r="G134" s="157">
        <v>33.477350000000001</v>
      </c>
      <c r="H134" s="157">
        <v>34.143968999999998</v>
      </c>
      <c r="I134" s="157">
        <v>34.703417000000002</v>
      </c>
      <c r="J134" s="157">
        <v>35.792231000000001</v>
      </c>
      <c r="K134" s="157">
        <v>35.497824999999999</v>
      </c>
      <c r="L134" s="157">
        <v>35.964789000000003</v>
      </c>
      <c r="M134" s="157">
        <v>37.434950999999998</v>
      </c>
      <c r="N134" s="157">
        <v>39.426912000000002</v>
      </c>
      <c r="O134" s="157">
        <v>39.636964999999996</v>
      </c>
      <c r="P134" s="157">
        <v>39.489023000000003</v>
      </c>
      <c r="Q134" s="157">
        <v>39.173575999999997</v>
      </c>
      <c r="R134" s="157">
        <v>39.084006000000002</v>
      </c>
      <c r="S134" s="157">
        <v>39.671298</v>
      </c>
      <c r="T134" s="157">
        <v>40.060183000000002</v>
      </c>
      <c r="U134" s="157">
        <v>41.151103999999997</v>
      </c>
      <c r="V134" s="157">
        <v>43.808540999999998</v>
      </c>
    </row>
    <row r="135">
      <c r="A135" s="1" t="s">
        <v>168</v>
      </c>
      <c r="B135" s="154" t="s">
        <v>323</v>
      </c>
      <c r="C135" s="157">
        <v>19.383137999999999</v>
      </c>
      <c r="D135" s="157">
        <v>19.889327000000002</v>
      </c>
      <c r="E135" s="157">
        <v>19.806692000000002</v>
      </c>
      <c r="F135" s="157">
        <v>20.317522</v>
      </c>
      <c r="G135" s="157">
        <v>21.897606</v>
      </c>
      <c r="H135" s="157">
        <v>22.440643000000001</v>
      </c>
      <c r="I135" s="157">
        <v>23.190992999999999</v>
      </c>
      <c r="J135" s="157">
        <v>24.019515999999999</v>
      </c>
      <c r="K135" s="157">
        <v>23.673562</v>
      </c>
      <c r="L135" s="157">
        <v>21.876767000000001</v>
      </c>
      <c r="M135" s="157">
        <v>22.751301999999999</v>
      </c>
      <c r="N135" s="157">
        <v>24.045839999999998</v>
      </c>
      <c r="O135" s="157">
        <v>23.243867999999999</v>
      </c>
      <c r="P135" s="157">
        <v>22.837195000000001</v>
      </c>
      <c r="Q135" s="157">
        <v>23.408149999999999</v>
      </c>
      <c r="R135" s="157">
        <v>23.429345000000001</v>
      </c>
      <c r="S135" s="157">
        <v>23.811530000000001</v>
      </c>
      <c r="T135" s="157">
        <v>25.365144000000001</v>
      </c>
      <c r="U135" s="157">
        <v>26.043462999999999</v>
      </c>
      <c r="V135" s="157">
        <v>26.845939999999999</v>
      </c>
    </row>
    <row r="136">
      <c r="A136" s="1" t="s">
        <v>324</v>
      </c>
      <c r="B136" s="154" t="s">
        <v>325</v>
      </c>
      <c r="C136" s="157">
        <v>11.067078</v>
      </c>
      <c r="D136" s="157">
        <v>11.32921</v>
      </c>
      <c r="E136" s="157">
        <v>11.265905</v>
      </c>
      <c r="F136" s="157">
        <v>11.588995000000001</v>
      </c>
      <c r="G136" s="157">
        <v>12.160116</v>
      </c>
      <c r="H136" s="157">
        <v>12.348278000000001</v>
      </c>
      <c r="I136" s="157">
        <v>13.250551</v>
      </c>
      <c r="J136" s="157">
        <v>13.682243</v>
      </c>
      <c r="K136" s="157">
        <v>13.684754999999999</v>
      </c>
      <c r="L136" s="157">
        <v>11.992981</v>
      </c>
      <c r="M136" s="157">
        <v>12.357602999999999</v>
      </c>
      <c r="N136" s="157">
        <v>12.505020999999999</v>
      </c>
      <c r="O136" s="157">
        <v>12.301085</v>
      </c>
      <c r="P136" s="157">
        <v>12.173463999999999</v>
      </c>
      <c r="Q136" s="157">
        <v>12.382153000000001</v>
      </c>
      <c r="R136" s="157">
        <v>12.339679</v>
      </c>
      <c r="S136" s="157">
        <v>12.478009999999999</v>
      </c>
      <c r="T136" s="157">
        <v>13.77492</v>
      </c>
      <c r="U136" s="157">
        <v>13.902497</v>
      </c>
      <c r="V136" s="157">
        <v>14.385208</v>
      </c>
    </row>
    <row r="137">
      <c r="A137" s="1" t="s">
        <v>326</v>
      </c>
      <c r="B137" s="154" t="s">
        <v>327</v>
      </c>
      <c r="C137" s="157">
        <v>5.5750080000000004</v>
      </c>
      <c r="D137" s="157">
        <v>5.725962</v>
      </c>
      <c r="E137" s="157">
        <v>5.708183</v>
      </c>
      <c r="F137" s="157">
        <v>5.8257029999999999</v>
      </c>
      <c r="G137" s="157">
        <v>6.4433429999999996</v>
      </c>
      <c r="H137" s="157">
        <v>6.6597249999999999</v>
      </c>
      <c r="I137" s="157">
        <v>6.6012009999999997</v>
      </c>
      <c r="J137" s="157">
        <v>6.8540169999999998</v>
      </c>
      <c r="K137" s="157">
        <v>6.619599</v>
      </c>
      <c r="L137" s="157">
        <v>6.5782160000000003</v>
      </c>
      <c r="M137" s="157">
        <v>6.7247779999999997</v>
      </c>
      <c r="N137" s="157">
        <v>7.3810000000000002</v>
      </c>
      <c r="O137" s="157">
        <v>7.2322959999999998</v>
      </c>
      <c r="P137" s="157">
        <v>6.9753920000000003</v>
      </c>
      <c r="Q137" s="157">
        <v>7.0598799999999997</v>
      </c>
      <c r="R137" s="157">
        <v>7.2781099999999999</v>
      </c>
      <c r="S137" s="157">
        <v>7.3717119999999996</v>
      </c>
      <c r="T137" s="157">
        <v>7.6906910000000002</v>
      </c>
      <c r="U137" s="157">
        <v>7.7613279999999998</v>
      </c>
      <c r="V137" s="157">
        <v>7.9962590000000002</v>
      </c>
    </row>
    <row r="138">
      <c r="A138" s="1" t="s">
        <v>328</v>
      </c>
      <c r="B138" s="154" t="s">
        <v>329</v>
      </c>
      <c r="C138" s="157">
        <v>2.8397999999999999</v>
      </c>
      <c r="D138" s="157">
        <v>2.9356559999999998</v>
      </c>
      <c r="E138" s="157">
        <v>2.9333309999999999</v>
      </c>
      <c r="F138" s="157">
        <v>3.0090870000000001</v>
      </c>
      <c r="G138" s="157">
        <v>3.3583059999999998</v>
      </c>
      <c r="H138" s="157">
        <v>3.4839639999999998</v>
      </c>
      <c r="I138" s="157">
        <v>3.4399540000000002</v>
      </c>
      <c r="J138" s="157">
        <v>3.5830730000000002</v>
      </c>
      <c r="K138" s="157">
        <v>3.48516</v>
      </c>
      <c r="L138" s="157">
        <v>3.3509000000000002</v>
      </c>
      <c r="M138" s="157">
        <v>3.705047</v>
      </c>
      <c r="N138" s="157">
        <v>4.1740380000000004</v>
      </c>
      <c r="O138" s="157">
        <v>3.7239230000000001</v>
      </c>
      <c r="P138" s="157">
        <v>3.7017720000000001</v>
      </c>
      <c r="Q138" s="157">
        <v>3.9661170000000001</v>
      </c>
      <c r="R138" s="157">
        <v>3.8115559999999999</v>
      </c>
      <c r="S138" s="157">
        <v>3.9532259999999999</v>
      </c>
      <c r="T138" s="157">
        <v>3.9085160000000001</v>
      </c>
      <c r="U138" s="157">
        <v>4.3359740000000002</v>
      </c>
      <c r="V138" s="157">
        <v>4.4208689999999997</v>
      </c>
    </row>
    <row r="139">
      <c r="A139" s="1" t="s">
        <v>170</v>
      </c>
      <c r="B139" s="154" t="s">
        <v>330</v>
      </c>
      <c r="C139" s="157">
        <v>9.008286</v>
      </c>
      <c r="D139" s="157">
        <v>10.810107</v>
      </c>
      <c r="E139" s="157">
        <v>13.617540999999999</v>
      </c>
      <c r="F139" s="157">
        <v>13.938879</v>
      </c>
      <c r="G139" s="157">
        <v>15.007693</v>
      </c>
      <c r="H139" s="157">
        <v>15.022373999999999</v>
      </c>
      <c r="I139" s="157">
        <v>17.099734999999999</v>
      </c>
      <c r="J139" s="157">
        <v>17.901907000000001</v>
      </c>
      <c r="K139" s="157">
        <v>18.385791999999999</v>
      </c>
      <c r="L139" s="157">
        <v>17.932514000000001</v>
      </c>
      <c r="M139" s="157">
        <v>18.637521</v>
      </c>
      <c r="N139" s="157">
        <v>20.962475999999999</v>
      </c>
      <c r="O139" s="157">
        <v>23.168897999999999</v>
      </c>
      <c r="P139" s="157">
        <v>23.219666</v>
      </c>
      <c r="Q139" s="157">
        <v>24.141013999999998</v>
      </c>
      <c r="R139" s="157">
        <v>25.387605000000001</v>
      </c>
      <c r="S139" s="157">
        <v>24.902417</v>
      </c>
      <c r="T139" s="157">
        <v>26.110399999999998</v>
      </c>
      <c r="U139" s="157">
        <v>27.289002</v>
      </c>
      <c r="V139" s="157">
        <v>28.413038</v>
      </c>
    </row>
    <row r="140">
      <c r="A140" s="1" t="s">
        <v>172</v>
      </c>
      <c r="B140" s="154" t="s">
        <v>331</v>
      </c>
      <c r="C140" s="157">
        <v>28.864281999999999</v>
      </c>
      <c r="D140" s="157">
        <v>29.842191</v>
      </c>
      <c r="E140" s="157">
        <v>29.690265</v>
      </c>
      <c r="F140" s="157">
        <v>31.339994000000001</v>
      </c>
      <c r="G140" s="157">
        <v>33.594562000000003</v>
      </c>
      <c r="H140" s="157">
        <v>34.078470000000003</v>
      </c>
      <c r="I140" s="157">
        <v>36.959558000000001</v>
      </c>
      <c r="J140" s="157">
        <v>39.130225000000003</v>
      </c>
      <c r="K140" s="157">
        <v>41.676504000000001</v>
      </c>
      <c r="L140" s="157">
        <v>40.287551999999998</v>
      </c>
      <c r="M140" s="157">
        <v>41.717910000000003</v>
      </c>
      <c r="N140" s="157">
        <v>42.608907000000002</v>
      </c>
      <c r="O140" s="157">
        <v>44.678975000000001</v>
      </c>
      <c r="P140" s="157">
        <v>44.511212999999998</v>
      </c>
      <c r="Q140" s="157">
        <v>46.826785000000001</v>
      </c>
      <c r="R140" s="157">
        <v>49.136339</v>
      </c>
      <c r="S140" s="157">
        <v>52.227702999999998</v>
      </c>
      <c r="T140" s="157">
        <v>55.573903999999999</v>
      </c>
      <c r="U140" s="157">
        <v>59.667560000000002</v>
      </c>
      <c r="V140" s="157">
        <v>63.189658000000001</v>
      </c>
    </row>
    <row r="141">
      <c r="A141" s="1" t="s">
        <v>332</v>
      </c>
      <c r="B141" s="154" t="s">
        <v>333</v>
      </c>
      <c r="C141" s="157">
        <v>25.739172</v>
      </c>
      <c r="D141" s="157">
        <v>26.562404000000001</v>
      </c>
      <c r="E141" s="157">
        <v>26.374244000000001</v>
      </c>
      <c r="F141" s="157">
        <v>27.867350999999999</v>
      </c>
      <c r="G141" s="157">
        <v>29.963574999999999</v>
      </c>
      <c r="H141" s="157">
        <v>30.377065000000002</v>
      </c>
      <c r="I141" s="157">
        <v>33.065153000000002</v>
      </c>
      <c r="J141" s="157">
        <v>35.068491999999999</v>
      </c>
      <c r="K141" s="157">
        <v>36.898130000000002</v>
      </c>
      <c r="L141" s="157">
        <v>35.304102999999998</v>
      </c>
      <c r="M141" s="157">
        <v>36.854163</v>
      </c>
      <c r="N141" s="157">
        <v>37.582166000000001</v>
      </c>
      <c r="O141" s="157">
        <v>39.095080000000003</v>
      </c>
      <c r="P141" s="157">
        <v>38.777003999999998</v>
      </c>
      <c r="Q141" s="157">
        <v>40.914856999999998</v>
      </c>
      <c r="R141" s="157">
        <v>43.021267000000002</v>
      </c>
      <c r="S141" s="157">
        <v>45.618749999999999</v>
      </c>
      <c r="T141" s="157">
        <v>48.494861</v>
      </c>
      <c r="U141" s="157">
        <v>51.826712999999998</v>
      </c>
      <c r="V141" s="157">
        <v>54.745204999999999</v>
      </c>
    </row>
    <row r="142">
      <c r="A142" s="1" t="s">
        <v>334</v>
      </c>
      <c r="B142" s="154" t="s">
        <v>335</v>
      </c>
      <c r="C142" s="157">
        <v>3.1900230000000001</v>
      </c>
      <c r="D142" s="157">
        <v>3.3389060000000002</v>
      </c>
      <c r="E142" s="157">
        <v>3.3675079999999999</v>
      </c>
      <c r="F142" s="157">
        <v>3.5313690000000002</v>
      </c>
      <c r="G142" s="157">
        <v>3.7105980000000001</v>
      </c>
      <c r="H142" s="157">
        <v>3.7784759999999999</v>
      </c>
      <c r="I142" s="157">
        <v>4.0020870000000004</v>
      </c>
      <c r="J142" s="157">
        <v>4.1884410000000001</v>
      </c>
      <c r="K142" s="157">
        <v>4.8147890000000002</v>
      </c>
      <c r="L142" s="157">
        <v>4.964486</v>
      </c>
      <c r="M142" s="157">
        <v>4.8761900000000002</v>
      </c>
      <c r="N142" s="157">
        <v>5.036619</v>
      </c>
      <c r="O142" s="157">
        <v>5.5891710000000003</v>
      </c>
      <c r="P142" s="157">
        <v>5.7368430000000004</v>
      </c>
      <c r="Q142" s="157">
        <v>5.9119279999999996</v>
      </c>
      <c r="R142" s="157">
        <v>6.1150719999999996</v>
      </c>
      <c r="S142" s="157">
        <v>6.6088550000000001</v>
      </c>
      <c r="T142" s="157">
        <v>7.0792570000000001</v>
      </c>
      <c r="U142" s="157">
        <v>7.8456849999999996</v>
      </c>
      <c r="V142" s="157">
        <v>8.4528280000000002</v>
      </c>
    </row>
    <row r="143">
      <c r="A143" s="1" t="s">
        <v>336</v>
      </c>
      <c r="B143" s="154" t="s">
        <v>337</v>
      </c>
      <c r="C143" s="157">
        <v>62.867635</v>
      </c>
      <c r="D143" s="157">
        <v>61.420192</v>
      </c>
      <c r="E143" s="157">
        <v>63.902166000000001</v>
      </c>
      <c r="F143" s="157">
        <v>64.976066000000003</v>
      </c>
      <c r="G143" s="157">
        <v>68.616924999999995</v>
      </c>
      <c r="H143" s="157">
        <v>68.926472000000004</v>
      </c>
      <c r="I143" s="157">
        <v>67.465114</v>
      </c>
      <c r="J143" s="157">
        <v>72.481975000000006</v>
      </c>
      <c r="K143" s="157">
        <v>73.459596000000005</v>
      </c>
      <c r="L143" s="157">
        <v>78.393345999999994</v>
      </c>
      <c r="M143" s="157">
        <v>78.692791</v>
      </c>
      <c r="N143" s="157">
        <v>83.877673999999999</v>
      </c>
      <c r="O143" s="157">
        <v>85.825520999999995</v>
      </c>
      <c r="P143" s="157">
        <v>85.828542999999996</v>
      </c>
      <c r="Q143" s="157">
        <v>86.922708</v>
      </c>
      <c r="R143" s="157">
        <v>87.092391000000006</v>
      </c>
      <c r="S143" s="157">
        <v>86.822427000000005</v>
      </c>
      <c r="T143" s="157">
        <v>87.271518999999998</v>
      </c>
      <c r="U143" s="157">
        <v>93.555757999999997</v>
      </c>
      <c r="V143" s="157">
        <v>95.154634999999999</v>
      </c>
    </row>
    <row r="144">
      <c r="A144" s="1" t="s">
        <v>338</v>
      </c>
      <c r="B144" s="154" t="s">
        <v>339</v>
      </c>
      <c r="C144" s="157">
        <v>42.843302000000001</v>
      </c>
      <c r="D144" s="157">
        <v>44.039982000000002</v>
      </c>
      <c r="E144" s="157">
        <v>42.506005000000002</v>
      </c>
      <c r="F144" s="157">
        <v>42.884742000000003</v>
      </c>
      <c r="G144" s="157">
        <v>44.270245000000003</v>
      </c>
      <c r="H144" s="157">
        <v>44.190961000000001</v>
      </c>
      <c r="I144" s="157">
        <v>46.940455999999998</v>
      </c>
      <c r="J144" s="157">
        <v>52.213738999999997</v>
      </c>
      <c r="K144" s="157">
        <v>53.228923000000002</v>
      </c>
      <c r="L144" s="157">
        <v>52.901221999999997</v>
      </c>
      <c r="M144" s="157">
        <v>53.981408000000002</v>
      </c>
      <c r="N144" s="157">
        <v>56.850161</v>
      </c>
      <c r="O144" s="157">
        <v>58.670726999999999</v>
      </c>
      <c r="P144" s="157">
        <v>58.957723000000001</v>
      </c>
      <c r="Q144" s="157">
        <v>60.045000000000002</v>
      </c>
      <c r="R144" s="157">
        <v>60.197764999999997</v>
      </c>
      <c r="S144" s="157">
        <v>61.401549000000003</v>
      </c>
      <c r="T144" s="157">
        <v>61.862575999999997</v>
      </c>
      <c r="U144" s="157">
        <v>66.551271</v>
      </c>
      <c r="V144" s="157">
        <v>67.935648</v>
      </c>
    </row>
    <row r="145">
      <c r="A145" s="1" t="s">
        <v>340</v>
      </c>
      <c r="B145" s="154" t="s">
        <v>341</v>
      </c>
      <c r="C145" s="157">
        <v>8.7463890000000006</v>
      </c>
      <c r="D145" s="157">
        <v>5.5638019999999999</v>
      </c>
      <c r="E145" s="157">
        <v>8.8757450000000002</v>
      </c>
      <c r="F145" s="157">
        <v>8.5736799999999995</v>
      </c>
      <c r="G145" s="157">
        <v>9.8279960000000006</v>
      </c>
      <c r="H145" s="157">
        <v>9.7816410000000005</v>
      </c>
      <c r="I145" s="157">
        <v>6.9837540000000002</v>
      </c>
      <c r="J145" s="157">
        <v>7.2303959999999998</v>
      </c>
      <c r="K145" s="157">
        <v>7.9039130000000002</v>
      </c>
      <c r="L145" s="157">
        <v>10.071144</v>
      </c>
      <c r="M145" s="157">
        <v>7.9448090000000002</v>
      </c>
      <c r="N145" s="157">
        <v>10.341143000000001</v>
      </c>
      <c r="O145" s="157">
        <v>10.101782</v>
      </c>
      <c r="P145" s="157">
        <v>10.380867</v>
      </c>
      <c r="Q145" s="157">
        <v>10.364000000000001</v>
      </c>
      <c r="R145" s="157">
        <v>9.0201750000000001</v>
      </c>
      <c r="S145" s="157">
        <v>8.4203080000000003</v>
      </c>
      <c r="T145" s="157">
        <v>7.9298820000000001</v>
      </c>
      <c r="U145" s="157">
        <v>8.7298369999999998</v>
      </c>
      <c r="V145" s="157">
        <v>7.1980199999999996</v>
      </c>
    </row>
    <row r="146">
      <c r="A146" s="1" t="s">
        <v>342</v>
      </c>
      <c r="B146" s="154" t="s">
        <v>343</v>
      </c>
      <c r="C146" s="157">
        <v>13.801572</v>
      </c>
      <c r="D146" s="157">
        <v>14.503371</v>
      </c>
      <c r="E146" s="157">
        <v>13.761891</v>
      </c>
      <c r="F146" s="157">
        <v>14.935876</v>
      </c>
      <c r="G146" s="157">
        <v>15.90221</v>
      </c>
      <c r="H146" s="157">
        <v>16.413692000000001</v>
      </c>
      <c r="I146" s="157">
        <v>17.319980000000001</v>
      </c>
      <c r="J146" s="157">
        <v>17.660343999999998</v>
      </c>
      <c r="K146" s="157">
        <v>16.188755</v>
      </c>
      <c r="L146" s="157">
        <v>16.021125999999999</v>
      </c>
      <c r="M146" s="157">
        <v>17.584541000000002</v>
      </c>
      <c r="N146" s="157">
        <v>16.478238000000001</v>
      </c>
      <c r="O146" s="157">
        <v>17.034987999999998</v>
      </c>
      <c r="P146" s="157">
        <v>16.457979000000002</v>
      </c>
      <c r="Q146" s="157">
        <v>16.513708000000001</v>
      </c>
      <c r="R146" s="157">
        <v>17.87445</v>
      </c>
      <c r="S146" s="157">
        <v>17.204404</v>
      </c>
      <c r="T146" s="157">
        <v>17.857797000000001</v>
      </c>
      <c r="U146" s="157">
        <v>18.702382</v>
      </c>
      <c r="V146" s="157">
        <v>21.263074</v>
      </c>
    </row>
    <row r="147">
      <c r="A147" s="1" t="s">
        <v>344</v>
      </c>
      <c r="B147" s="154" t="s">
        <v>345</v>
      </c>
      <c r="C147" s="157">
        <v>199.85209499999999</v>
      </c>
      <c r="D147" s="157">
        <v>206.111951</v>
      </c>
      <c r="E147" s="157">
        <v>202.70657399999999</v>
      </c>
      <c r="F147" s="157">
        <v>204.07125099999999</v>
      </c>
      <c r="G147" s="157">
        <v>211.82994400000001</v>
      </c>
      <c r="H147" s="157">
        <v>218.52077700000001</v>
      </c>
      <c r="I147" s="157">
        <v>225.146547</v>
      </c>
      <c r="J147" s="157">
        <v>228.09693200000001</v>
      </c>
      <c r="K147" s="157">
        <v>228.50701000000001</v>
      </c>
      <c r="L147" s="157">
        <v>230.21871899999999</v>
      </c>
      <c r="M147" s="157">
        <v>234.79729499999999</v>
      </c>
      <c r="N147" s="157">
        <v>234.24384599999999</v>
      </c>
      <c r="O147" s="157">
        <v>238.522291</v>
      </c>
      <c r="P147" s="157">
        <v>243.20063300000001</v>
      </c>
      <c r="Q147" s="157">
        <v>245.92055199999999</v>
      </c>
      <c r="R147" s="157">
        <v>246.727453</v>
      </c>
      <c r="S147" s="157">
        <v>248.68389500000001</v>
      </c>
      <c r="T147" s="157">
        <v>250.644665</v>
      </c>
      <c r="U147" s="157">
        <v>253.901689</v>
      </c>
      <c r="V147" s="157">
        <v>258.66377299999999</v>
      </c>
    </row>
    <row r="148">
      <c r="A148" s="1" t="s">
        <v>180</v>
      </c>
      <c r="B148" s="154" t="s">
        <v>346</v>
      </c>
      <c r="C148" s="157">
        <v>69.865482999999998</v>
      </c>
      <c r="D148" s="157">
        <v>69.079357999999999</v>
      </c>
      <c r="E148" s="157">
        <v>72.161817999999997</v>
      </c>
      <c r="F148" s="157">
        <v>75.704161999999997</v>
      </c>
      <c r="G148" s="157">
        <v>78.426360000000003</v>
      </c>
      <c r="H148" s="157">
        <v>81.717325000000002</v>
      </c>
      <c r="I148" s="157">
        <v>87.155294999999995</v>
      </c>
      <c r="J148" s="157">
        <v>90.310184000000007</v>
      </c>
      <c r="K148" s="157">
        <v>92.020143000000004</v>
      </c>
      <c r="L148" s="157">
        <v>87.376951000000005</v>
      </c>
      <c r="M148" s="157">
        <v>92.349597000000003</v>
      </c>
      <c r="N148" s="157">
        <v>95.639998000000006</v>
      </c>
      <c r="O148" s="157">
        <v>97.611407</v>
      </c>
      <c r="P148" s="157">
        <v>98.985677999999993</v>
      </c>
      <c r="Q148" s="157">
        <v>100.60877600000001</v>
      </c>
      <c r="R148" s="157">
        <v>102.37482199999999</v>
      </c>
      <c r="S148" s="157">
        <v>105.076504</v>
      </c>
      <c r="T148" s="157">
        <v>110.17821600000001</v>
      </c>
      <c r="U148" s="157">
        <v>114.41453</v>
      </c>
      <c r="V148" s="157">
        <v>118.26093299999999</v>
      </c>
    </row>
    <row r="149">
      <c r="A149" s="1" t="s">
        <v>347</v>
      </c>
      <c r="B149" s="154" t="s">
        <v>348</v>
      </c>
      <c r="C149" s="157">
        <v>20.877103000000002</v>
      </c>
      <c r="D149" s="157">
        <v>21.599305999999999</v>
      </c>
      <c r="E149" s="157">
        <v>22.204554000000002</v>
      </c>
      <c r="F149" s="157">
        <v>22.504474999999999</v>
      </c>
      <c r="G149" s="157">
        <v>23.220419</v>
      </c>
      <c r="H149" s="157">
        <v>23.897093999999999</v>
      </c>
      <c r="I149" s="157">
        <v>24.978818</v>
      </c>
      <c r="J149" s="157">
        <v>25.881005999999999</v>
      </c>
      <c r="K149" s="157">
        <v>25.647604000000001</v>
      </c>
      <c r="L149" s="157">
        <v>24.824612999999999</v>
      </c>
      <c r="M149" s="157">
        <v>27.236170000000001</v>
      </c>
      <c r="N149" s="157">
        <v>28.565912999999998</v>
      </c>
      <c r="O149" s="157">
        <v>28.883133000000001</v>
      </c>
      <c r="P149" s="157">
        <v>28.302880999999999</v>
      </c>
      <c r="Q149" s="157">
        <v>28.956949999999999</v>
      </c>
      <c r="R149" s="157">
        <v>29.765626000000001</v>
      </c>
      <c r="S149" s="157">
        <v>30.096094000000001</v>
      </c>
      <c r="T149" s="157">
        <v>30.961141000000001</v>
      </c>
      <c r="U149" s="157">
        <v>33.090485000000001</v>
      </c>
      <c r="V149" s="157">
        <v>34.275236999999997</v>
      </c>
    </row>
    <row r="150">
      <c r="A150" s="1" t="s">
        <v>349</v>
      </c>
      <c r="B150" s="154" t="s">
        <v>350</v>
      </c>
      <c r="C150" s="157">
        <v>30.241216000000001</v>
      </c>
      <c r="D150" s="157">
        <v>27.294226999999999</v>
      </c>
      <c r="E150" s="157">
        <v>29.396902999999998</v>
      </c>
      <c r="F150" s="157">
        <v>31.362532000000002</v>
      </c>
      <c r="G150" s="157">
        <v>33.240178999999998</v>
      </c>
      <c r="H150" s="157">
        <v>34.627411000000002</v>
      </c>
      <c r="I150" s="157">
        <v>36.533729999999998</v>
      </c>
      <c r="J150" s="157">
        <v>37.637154000000002</v>
      </c>
      <c r="K150" s="157">
        <v>38.238804000000002</v>
      </c>
      <c r="L150" s="157">
        <v>37.319446999999997</v>
      </c>
      <c r="M150" s="157">
        <v>39.356095000000003</v>
      </c>
      <c r="N150" s="157">
        <v>40.358860999999997</v>
      </c>
      <c r="O150" s="157">
        <v>40.776595999999998</v>
      </c>
      <c r="P150" s="157">
        <v>41.523133000000001</v>
      </c>
      <c r="Q150" s="157">
        <v>42.499561</v>
      </c>
      <c r="R150" s="157">
        <v>43.089323</v>
      </c>
      <c r="S150" s="157">
        <v>45.050789000000002</v>
      </c>
      <c r="T150" s="157">
        <v>46.698073999999998</v>
      </c>
      <c r="U150" s="157">
        <v>48.203955999999998</v>
      </c>
      <c r="V150" s="157">
        <v>49.390588000000001</v>
      </c>
    </row>
    <row r="151">
      <c r="A151" s="1" t="s">
        <v>351</v>
      </c>
      <c r="B151" s="154" t="s">
        <v>352</v>
      </c>
      <c r="C151" s="157">
        <v>19.311064999999999</v>
      </c>
      <c r="D151" s="157">
        <v>20.190752</v>
      </c>
      <c r="E151" s="157">
        <v>20.600411999999999</v>
      </c>
      <c r="F151" s="157">
        <v>21.862435999999999</v>
      </c>
      <c r="G151" s="157">
        <v>22.008787000000002</v>
      </c>
      <c r="H151" s="157">
        <v>23.229078999999999</v>
      </c>
      <c r="I151" s="157">
        <v>25.661968000000002</v>
      </c>
      <c r="J151" s="157">
        <v>26.807259999999999</v>
      </c>
      <c r="K151" s="157">
        <v>28.118407000000001</v>
      </c>
      <c r="L151" s="157">
        <v>25.223642999999999</v>
      </c>
      <c r="M151" s="157">
        <v>25.783391999999999</v>
      </c>
      <c r="N151" s="157">
        <v>26.756716999999998</v>
      </c>
      <c r="O151" s="157">
        <v>27.978691000000001</v>
      </c>
      <c r="P151" s="157">
        <v>29.161304000000001</v>
      </c>
      <c r="Q151" s="157">
        <v>29.152263999999999</v>
      </c>
      <c r="R151" s="157">
        <v>29.519871999999999</v>
      </c>
      <c r="S151" s="157">
        <v>29.910456</v>
      </c>
      <c r="T151" s="157">
        <v>32.478586999999997</v>
      </c>
      <c r="U151" s="157">
        <v>33.091188000000002</v>
      </c>
      <c r="V151" s="157">
        <v>34.575947999999997</v>
      </c>
    </row>
    <row r="152">
      <c r="A152" s="1" t="s">
        <v>182</v>
      </c>
      <c r="B152" s="154" t="s">
        <v>353</v>
      </c>
      <c r="C152" s="157">
        <v>27.413891</v>
      </c>
      <c r="D152" s="157">
        <v>26.476153</v>
      </c>
      <c r="E152" s="157">
        <v>27.087040999999999</v>
      </c>
      <c r="F152" s="157">
        <v>26.676573000000001</v>
      </c>
      <c r="G152" s="157">
        <v>26.896056999999999</v>
      </c>
      <c r="H152" s="157">
        <v>26.565214000000001</v>
      </c>
      <c r="I152" s="157">
        <v>26.985468000000001</v>
      </c>
      <c r="J152" s="157">
        <v>27.641169999999999</v>
      </c>
      <c r="K152" s="157">
        <v>29.067184000000001</v>
      </c>
      <c r="L152" s="157">
        <v>29.596568999999999</v>
      </c>
      <c r="M152" s="157">
        <v>30.390976999999999</v>
      </c>
      <c r="N152" s="157">
        <v>31.111065</v>
      </c>
      <c r="O152" s="157">
        <v>31.905929</v>
      </c>
      <c r="P152" s="157">
        <v>32.930802</v>
      </c>
      <c r="Q152" s="157">
        <v>33.550325000000001</v>
      </c>
      <c r="R152" s="157">
        <v>33.455739000000001</v>
      </c>
      <c r="S152" s="157">
        <v>33.362495000000003</v>
      </c>
      <c r="T152" s="157">
        <v>35.352969000000002</v>
      </c>
      <c r="U152" s="157">
        <v>35.547234000000003</v>
      </c>
      <c r="V152" s="157">
        <v>36.015591999999998</v>
      </c>
    </row>
    <row r="153">
      <c r="A153" s="1" t="s">
        <v>184</v>
      </c>
      <c r="B153" s="154" t="s">
        <v>354</v>
      </c>
      <c r="C153" s="157">
        <v>10.73372</v>
      </c>
      <c r="D153" s="157">
        <v>10.706769</v>
      </c>
      <c r="E153" s="157">
        <v>11.292026</v>
      </c>
      <c r="F153" s="157">
        <v>10.709196</v>
      </c>
      <c r="G153" s="157">
        <v>11.259017</v>
      </c>
      <c r="H153" s="157">
        <v>11.983407</v>
      </c>
      <c r="I153" s="157">
        <v>12.145346999999999</v>
      </c>
      <c r="J153" s="157">
        <v>12.519088</v>
      </c>
      <c r="K153" s="157">
        <v>12.700179</v>
      </c>
      <c r="L153" s="157">
        <v>12.485498</v>
      </c>
      <c r="M153" s="157">
        <v>13.040074000000001</v>
      </c>
      <c r="N153" s="157">
        <v>13.938494</v>
      </c>
      <c r="O153" s="157">
        <v>14.510355000000001</v>
      </c>
      <c r="P153" s="157">
        <v>14.326101</v>
      </c>
      <c r="Q153" s="157">
        <v>14.585618</v>
      </c>
      <c r="R153" s="157">
        <v>14.890879</v>
      </c>
      <c r="S153" s="157">
        <v>14.951174</v>
      </c>
      <c r="T153" s="157">
        <v>15.388038</v>
      </c>
      <c r="U153" s="157">
        <v>15.743112999999999</v>
      </c>
      <c r="V153" s="157">
        <v>16.322865</v>
      </c>
    </row>
    <row r="154">
      <c r="A154" s="1" t="s">
        <v>355</v>
      </c>
      <c r="B154" s="154" t="s">
        <v>356</v>
      </c>
      <c r="C154" s="157">
        <v>5.8606860000000003</v>
      </c>
      <c r="D154" s="157">
        <v>5.6748710000000004</v>
      </c>
      <c r="E154" s="157">
        <v>5.7202000000000002</v>
      </c>
      <c r="F154" s="157">
        <v>5.6847409999999998</v>
      </c>
      <c r="G154" s="157">
        <v>5.9667289999999999</v>
      </c>
      <c r="H154" s="157">
        <v>6.517309</v>
      </c>
      <c r="I154" s="157">
        <v>6.6385990000000001</v>
      </c>
      <c r="J154" s="157">
        <v>6.8213749999999997</v>
      </c>
      <c r="K154" s="157">
        <v>7.0671720000000002</v>
      </c>
      <c r="L154" s="157">
        <v>7.3580019999999999</v>
      </c>
      <c r="M154" s="157">
        <v>7.8150300000000001</v>
      </c>
      <c r="N154" s="157">
        <v>8.3090709999999994</v>
      </c>
      <c r="O154" s="157">
        <v>8.5644050000000007</v>
      </c>
      <c r="P154" s="157">
        <v>8.6149520000000006</v>
      </c>
      <c r="Q154" s="157">
        <v>8.8472559999999998</v>
      </c>
      <c r="R154" s="157">
        <v>8.7025839999999999</v>
      </c>
      <c r="S154" s="157">
        <v>8.6958610000000007</v>
      </c>
      <c r="T154" s="157">
        <v>8.7789079999999995</v>
      </c>
      <c r="U154" s="157">
        <v>8.9461779999999997</v>
      </c>
      <c r="V154" s="157">
        <v>9.0247139999999995</v>
      </c>
    </row>
    <row r="155">
      <c r="A155" s="1" t="s">
        <v>357</v>
      </c>
      <c r="B155" s="154" t="s">
        <v>358</v>
      </c>
      <c r="C155" s="157">
        <v>3.7768380000000001</v>
      </c>
      <c r="D155" s="157">
        <v>4.0403219999999997</v>
      </c>
      <c r="E155" s="157">
        <v>4.2408710000000003</v>
      </c>
      <c r="F155" s="157">
        <v>4.2053010000000004</v>
      </c>
      <c r="G155" s="157">
        <v>4.304405</v>
      </c>
      <c r="H155" s="157">
        <v>4.41859</v>
      </c>
      <c r="I155" s="157">
        <v>4.5101120000000003</v>
      </c>
      <c r="J155" s="157">
        <v>4.6679870000000001</v>
      </c>
      <c r="K155" s="157">
        <v>4.4440030000000004</v>
      </c>
      <c r="L155" s="157">
        <v>3.676215</v>
      </c>
      <c r="M155" s="157">
        <v>3.7512799999999999</v>
      </c>
      <c r="N155" s="157">
        <v>4.0906459999999996</v>
      </c>
      <c r="O155" s="157">
        <v>4.3653570000000004</v>
      </c>
      <c r="P155" s="157">
        <v>4.2105480000000002</v>
      </c>
      <c r="Q155" s="157">
        <v>4.2295800000000003</v>
      </c>
      <c r="R155" s="157">
        <v>4.7166839999999999</v>
      </c>
      <c r="S155" s="157">
        <v>4.7437040000000001</v>
      </c>
      <c r="T155" s="157">
        <v>5.0917310000000002</v>
      </c>
      <c r="U155" s="157">
        <v>5.2216399999999998</v>
      </c>
      <c r="V155" s="157">
        <v>5.6358040000000003</v>
      </c>
    </row>
    <row r="156">
      <c r="A156" s="1" t="s">
        <v>359</v>
      </c>
      <c r="B156" s="154" t="s">
        <v>360</v>
      </c>
      <c r="C156" s="157">
        <v>1.255951</v>
      </c>
      <c r="D156" s="157">
        <v>1.285312</v>
      </c>
      <c r="E156" s="157">
        <v>2.0089399999999999</v>
      </c>
      <c r="F156" s="157">
        <v>1.1036010000000001</v>
      </c>
      <c r="G156" s="157">
        <v>1.3304959999999999</v>
      </c>
      <c r="H156" s="157">
        <v>1.3063009999999999</v>
      </c>
      <c r="I156" s="157">
        <v>1.2291179999999999</v>
      </c>
      <c r="J156" s="157">
        <v>1.2805569999999999</v>
      </c>
      <c r="K156" s="157">
        <v>1.380312</v>
      </c>
      <c r="L156" s="157">
        <v>1.483981</v>
      </c>
      <c r="M156" s="157">
        <v>1.47193</v>
      </c>
      <c r="N156" s="157">
        <v>1.5410759999999999</v>
      </c>
      <c r="O156" s="157">
        <v>1.591334</v>
      </c>
      <c r="P156" s="157">
        <v>1.501363</v>
      </c>
      <c r="Q156" s="157">
        <v>1.5087820000000001</v>
      </c>
      <c r="R156" s="157">
        <v>1.471611</v>
      </c>
      <c r="S156" s="157">
        <v>1.5103279999999999</v>
      </c>
      <c r="T156" s="157">
        <v>1.514467</v>
      </c>
      <c r="U156" s="157">
        <v>1.571259</v>
      </c>
      <c r="V156" s="157">
        <v>1.6447050000000001</v>
      </c>
    </row>
    <row r="157">
      <c r="A157" s="1" t="s">
        <v>186</v>
      </c>
      <c r="B157" s="154" t="s">
        <v>361</v>
      </c>
      <c r="C157" s="157">
        <v>103.006795</v>
      </c>
      <c r="D157" s="157">
        <v>103.789891</v>
      </c>
      <c r="E157" s="157">
        <v>101.41589500000001</v>
      </c>
      <c r="F157" s="157">
        <v>100.942015</v>
      </c>
      <c r="G157" s="157">
        <v>101.74891100000001</v>
      </c>
      <c r="H157" s="157">
        <v>105.558716</v>
      </c>
      <c r="I157" s="157">
        <v>108.780387</v>
      </c>
      <c r="J157" s="157">
        <v>113.118298</v>
      </c>
      <c r="K157" s="157">
        <v>114.033905</v>
      </c>
      <c r="L157" s="157">
        <v>99.930391</v>
      </c>
      <c r="M157" s="157">
        <v>102.496095</v>
      </c>
      <c r="N157" s="157">
        <v>105.78234999999999</v>
      </c>
      <c r="O157" s="157">
        <v>101.932438</v>
      </c>
      <c r="P157" s="157">
        <v>100.661902</v>
      </c>
      <c r="Q157" s="157">
        <v>101.480791</v>
      </c>
      <c r="R157" s="157">
        <v>103.827516</v>
      </c>
      <c r="S157" s="157">
        <v>107.887181</v>
      </c>
      <c r="T157" s="157">
        <v>114.034493</v>
      </c>
      <c r="U157" s="157">
        <v>119.003781</v>
      </c>
      <c r="V157" s="157">
        <v>122.04852700000001</v>
      </c>
    </row>
    <row r="158">
      <c r="A158" s="1" t="s">
        <v>362</v>
      </c>
      <c r="B158" s="154" t="s">
        <v>363</v>
      </c>
      <c r="C158" s="157">
        <v>29.098106000000001</v>
      </c>
      <c r="D158" s="157">
        <v>28.663451999999999</v>
      </c>
      <c r="E158" s="157">
        <v>28.248415999999999</v>
      </c>
      <c r="F158" s="157">
        <v>28.313248999999999</v>
      </c>
      <c r="G158" s="157">
        <v>28.11666</v>
      </c>
      <c r="H158" s="157">
        <v>29.447790999999999</v>
      </c>
      <c r="I158" s="157">
        <v>30.479769000000001</v>
      </c>
      <c r="J158" s="157">
        <v>31.770105999999998</v>
      </c>
      <c r="K158" s="157">
        <v>32.559221000000001</v>
      </c>
      <c r="L158" s="157">
        <v>30.423373000000002</v>
      </c>
      <c r="M158" s="157">
        <v>29.717034000000002</v>
      </c>
      <c r="N158" s="157">
        <v>30.233971</v>
      </c>
      <c r="O158" s="157">
        <v>30.579331</v>
      </c>
      <c r="P158" s="157">
        <v>29.867215999999999</v>
      </c>
      <c r="Q158" s="157">
        <v>30.496305</v>
      </c>
      <c r="R158" s="157">
        <v>31.898899</v>
      </c>
      <c r="S158" s="157">
        <v>33.017598999999997</v>
      </c>
      <c r="T158" s="157">
        <v>35.829590000000003</v>
      </c>
      <c r="U158" s="157">
        <v>38.198332000000001</v>
      </c>
      <c r="V158" s="157">
        <v>39.415148000000002</v>
      </c>
    </row>
    <row r="159">
      <c r="A159" s="1" t="s">
        <v>364</v>
      </c>
      <c r="B159" s="154" t="s">
        <v>365</v>
      </c>
      <c r="C159" s="157">
        <v>34.888807999999997</v>
      </c>
      <c r="D159" s="157">
        <v>34.133265999999999</v>
      </c>
      <c r="E159" s="157">
        <v>30.101496999999998</v>
      </c>
      <c r="F159" s="157">
        <v>29.677523000000001</v>
      </c>
      <c r="G159" s="157">
        <v>29.762872000000002</v>
      </c>
      <c r="H159" s="157">
        <v>31.264956000000002</v>
      </c>
      <c r="I159" s="157">
        <v>32.897947000000002</v>
      </c>
      <c r="J159" s="157">
        <v>34.255629999999996</v>
      </c>
      <c r="K159" s="157">
        <v>33.368006999999999</v>
      </c>
      <c r="L159" s="157">
        <v>24.692312000000001</v>
      </c>
      <c r="M159" s="157">
        <v>28.445916</v>
      </c>
      <c r="N159" s="157">
        <v>29.965603999999999</v>
      </c>
      <c r="O159" s="157">
        <v>27.862950000000001</v>
      </c>
      <c r="P159" s="157">
        <v>27.668088000000001</v>
      </c>
      <c r="Q159" s="157">
        <v>28.600413</v>
      </c>
      <c r="R159" s="157">
        <v>29.966308000000001</v>
      </c>
      <c r="S159" s="157">
        <v>32.246935000000001</v>
      </c>
      <c r="T159" s="157">
        <v>35.545138000000001</v>
      </c>
      <c r="U159" s="157">
        <v>37.174275000000002</v>
      </c>
      <c r="V159" s="157">
        <v>37.402546999999998</v>
      </c>
    </row>
    <row r="160">
      <c r="A160" s="1" t="s">
        <v>366</v>
      </c>
      <c r="B160" s="154" t="s">
        <v>367</v>
      </c>
      <c r="C160" s="157">
        <v>2.3218830000000001</v>
      </c>
      <c r="D160" s="157">
        <v>2.1471870000000002</v>
      </c>
      <c r="E160" s="157">
        <v>2.3341069999999999</v>
      </c>
      <c r="F160" s="157">
        <v>2.4501599999999999</v>
      </c>
      <c r="G160" s="157">
        <v>2.4537529999999999</v>
      </c>
      <c r="H160" s="157">
        <v>2.390495</v>
      </c>
      <c r="I160" s="157">
        <v>2.2609149999999998</v>
      </c>
      <c r="J160" s="157">
        <v>2.3099889999999998</v>
      </c>
      <c r="K160" s="157">
        <v>2.3983819999999998</v>
      </c>
      <c r="L160" s="157">
        <v>2.2334480000000001</v>
      </c>
      <c r="M160" s="157">
        <v>2.1983969999999999</v>
      </c>
      <c r="N160" s="157">
        <v>2.1560510000000002</v>
      </c>
      <c r="O160" s="157">
        <v>1.859202</v>
      </c>
      <c r="P160" s="157">
        <v>1.922277</v>
      </c>
      <c r="Q160" s="157">
        <v>2.0394679999999998</v>
      </c>
      <c r="R160" s="157">
        <v>2.0499290000000001</v>
      </c>
      <c r="S160" s="157">
        <v>1.904668</v>
      </c>
      <c r="T160" s="157">
        <v>1.957889</v>
      </c>
      <c r="U160" s="157">
        <v>1.9585950000000001</v>
      </c>
      <c r="V160" s="157">
        <v>1.9957819999999999</v>
      </c>
    </row>
    <row r="161">
      <c r="A161" s="1" t="s">
        <v>368</v>
      </c>
      <c r="B161" s="154" t="s">
        <v>369</v>
      </c>
      <c r="C161" s="157">
        <v>4.9060750000000004</v>
      </c>
      <c r="D161" s="157">
        <v>5.2340939999999998</v>
      </c>
      <c r="E161" s="157">
        <v>5.5203100000000003</v>
      </c>
      <c r="F161" s="157">
        <v>5.455273</v>
      </c>
      <c r="G161" s="157">
        <v>5.5930869999999997</v>
      </c>
      <c r="H161" s="157">
        <v>5.7181600000000001</v>
      </c>
      <c r="I161" s="157">
        <v>5.7956079999999996</v>
      </c>
      <c r="J161" s="157">
        <v>6.0138689999999997</v>
      </c>
      <c r="K161" s="157">
        <v>6.1148949999999997</v>
      </c>
      <c r="L161" s="157">
        <v>5.895664</v>
      </c>
      <c r="M161" s="157">
        <v>5.9829559999999997</v>
      </c>
      <c r="N161" s="157">
        <v>5.9307460000000001</v>
      </c>
      <c r="O161" s="157">
        <v>6.1990439999999998</v>
      </c>
      <c r="P161" s="157">
        <v>6.0923369999999997</v>
      </c>
      <c r="Q161" s="157">
        <v>6.1497120000000001</v>
      </c>
      <c r="R161" s="157">
        <v>6.1835789999999999</v>
      </c>
      <c r="S161" s="157">
        <v>6.6936140000000002</v>
      </c>
      <c r="T161" s="157">
        <v>6.7799680000000002</v>
      </c>
      <c r="U161" s="157">
        <v>7.2071670000000001</v>
      </c>
      <c r="V161" s="157">
        <v>7.3582789999999996</v>
      </c>
    </row>
    <row r="162">
      <c r="A162" s="1" t="s">
        <v>370</v>
      </c>
      <c r="B162" s="154" t="s">
        <v>371</v>
      </c>
      <c r="C162" s="157">
        <v>12.014294</v>
      </c>
      <c r="D162" s="157">
        <v>12.829983</v>
      </c>
      <c r="E162" s="157">
        <v>13.5847</v>
      </c>
      <c r="F162" s="157">
        <v>13.578848000000001</v>
      </c>
      <c r="G162" s="157">
        <v>13.876315999999999</v>
      </c>
      <c r="H162" s="157">
        <v>14.243031</v>
      </c>
      <c r="I162" s="157">
        <v>14.413800999999999</v>
      </c>
      <c r="J162" s="157">
        <v>14.934309000000001</v>
      </c>
      <c r="K162" s="157">
        <v>14.942674999999999</v>
      </c>
      <c r="L162" s="157">
        <v>14.005542999999999</v>
      </c>
      <c r="M162" s="157">
        <v>13.839388</v>
      </c>
      <c r="N162" s="157">
        <v>14.301531000000001</v>
      </c>
      <c r="O162" s="157">
        <v>14.466473000000001</v>
      </c>
      <c r="P162" s="157">
        <v>14.144983</v>
      </c>
      <c r="Q162" s="157">
        <v>14.311787000000001</v>
      </c>
      <c r="R162" s="157">
        <v>14.566458000000001</v>
      </c>
      <c r="S162" s="157">
        <v>15.284720999999999</v>
      </c>
      <c r="T162" s="157">
        <v>15.548133999999999</v>
      </c>
      <c r="U162" s="157">
        <v>15.875400000000001</v>
      </c>
      <c r="V162" s="157">
        <v>16.320176</v>
      </c>
    </row>
    <row r="163">
      <c r="A163" s="1" t="s">
        <v>372</v>
      </c>
      <c r="B163" s="154" t="s">
        <v>373</v>
      </c>
      <c r="C163" s="157">
        <v>19.430423000000001</v>
      </c>
      <c r="D163" s="157">
        <v>20.795612999999999</v>
      </c>
      <c r="E163" s="157">
        <v>21.891197999999999</v>
      </c>
      <c r="F163" s="157">
        <v>21.676874000000002</v>
      </c>
      <c r="G163" s="157">
        <v>22.280646999999998</v>
      </c>
      <c r="H163" s="157">
        <v>22.755474</v>
      </c>
      <c r="I163" s="157">
        <v>23.146153999999999</v>
      </c>
      <c r="J163" s="157">
        <v>24.048680000000001</v>
      </c>
      <c r="K163" s="157">
        <v>24.898779999999999</v>
      </c>
      <c r="L163" s="157">
        <v>22.879083999999999</v>
      </c>
      <c r="M163" s="157">
        <v>22.505860999999999</v>
      </c>
      <c r="N163" s="157">
        <v>23.433778</v>
      </c>
      <c r="O163" s="157">
        <v>20.982036000000001</v>
      </c>
      <c r="P163" s="157">
        <v>20.999528000000002</v>
      </c>
      <c r="Q163" s="157">
        <v>19.883105</v>
      </c>
      <c r="R163" s="157">
        <v>19.162343</v>
      </c>
      <c r="S163" s="157">
        <v>18.79308</v>
      </c>
      <c r="T163" s="157">
        <v>18.597204999999999</v>
      </c>
      <c r="U163" s="157">
        <v>18.936592000000001</v>
      </c>
      <c r="V163" s="157">
        <v>19.870242999999999</v>
      </c>
    </row>
    <row r="164">
      <c r="A164" s="1" t="s">
        <v>198</v>
      </c>
      <c r="B164" s="154" t="s">
        <v>374</v>
      </c>
      <c r="C164" s="157">
        <v>140.701752</v>
      </c>
      <c r="D164" s="157">
        <v>141.958236</v>
      </c>
      <c r="E164" s="157">
        <v>139.55448200000001</v>
      </c>
      <c r="F164" s="157">
        <v>141.00774899999999</v>
      </c>
      <c r="G164" s="157">
        <v>143.419872</v>
      </c>
      <c r="H164" s="157">
        <v>146.115793</v>
      </c>
      <c r="I164" s="157">
        <v>147.61606599999999</v>
      </c>
      <c r="J164" s="157">
        <v>148.702191</v>
      </c>
      <c r="K164" s="157">
        <v>148.916079</v>
      </c>
      <c r="L164" s="157">
        <v>152.65422899999999</v>
      </c>
      <c r="M164" s="157">
        <v>153.429832</v>
      </c>
      <c r="N164" s="157">
        <v>154.05400900000001</v>
      </c>
      <c r="O164" s="157">
        <v>155.71086399999999</v>
      </c>
      <c r="P164" s="157">
        <v>157.27252100000001</v>
      </c>
      <c r="Q164" s="157">
        <v>158.179</v>
      </c>
      <c r="R164" s="157">
        <v>157.38033300000001</v>
      </c>
      <c r="S164" s="157">
        <v>157.60764399999999</v>
      </c>
      <c r="T164" s="157">
        <v>157.85339500000001</v>
      </c>
      <c r="U164" s="157">
        <v>159.499843</v>
      </c>
      <c r="V164" s="157">
        <v>161.57198399999999</v>
      </c>
    </row>
    <row r="165">
      <c r="A165" s="1" t="s">
        <v>200</v>
      </c>
      <c r="B165" s="154" t="s">
        <v>375</v>
      </c>
      <c r="C165" s="157">
        <v>102.597251</v>
      </c>
      <c r="D165" s="157">
        <v>103.536886</v>
      </c>
      <c r="E165" s="157">
        <v>102.037848</v>
      </c>
      <c r="F165" s="157">
        <v>102.32972100000001</v>
      </c>
      <c r="G165" s="157">
        <v>103.315622</v>
      </c>
      <c r="H165" s="157">
        <v>102.704002</v>
      </c>
      <c r="I165" s="157">
        <v>102.036215</v>
      </c>
      <c r="J165" s="157">
        <v>103.078901</v>
      </c>
      <c r="K165" s="157">
        <v>102.20813800000001</v>
      </c>
      <c r="L165" s="157">
        <v>100.68663100000001</v>
      </c>
      <c r="M165" s="157">
        <v>100.518596</v>
      </c>
      <c r="N165" s="157">
        <v>101.13605099999999</v>
      </c>
      <c r="O165" s="157">
        <v>102.44456099999999</v>
      </c>
      <c r="P165" s="157">
        <v>102.85809500000001</v>
      </c>
      <c r="Q165" s="157">
        <v>103.454358</v>
      </c>
      <c r="R165" s="157">
        <v>103.977374</v>
      </c>
      <c r="S165" s="157">
        <v>105.42507999999999</v>
      </c>
      <c r="T165" s="157">
        <v>106.49440800000001</v>
      </c>
      <c r="U165" s="157">
        <v>107.64566600000001</v>
      </c>
      <c r="V165" s="157">
        <v>107.508837</v>
      </c>
    </row>
    <row r="166">
      <c r="A166" s="1" t="s">
        <v>202</v>
      </c>
      <c r="B166" s="154" t="s">
        <v>376</v>
      </c>
      <c r="C166" s="157">
        <v>84.547804999999997</v>
      </c>
      <c r="D166" s="157">
        <v>86.992637999999999</v>
      </c>
      <c r="E166" s="157">
        <v>89.372179000000003</v>
      </c>
      <c r="F166" s="157">
        <v>89.155618000000004</v>
      </c>
      <c r="G166" s="157">
        <v>91.941986</v>
      </c>
      <c r="H166" s="157">
        <v>93.429440999999997</v>
      </c>
      <c r="I166" s="157">
        <v>94.226688999999993</v>
      </c>
      <c r="J166" s="157">
        <v>96.137833999999998</v>
      </c>
      <c r="K166" s="157">
        <v>99.803067999999996</v>
      </c>
      <c r="L166" s="157">
        <v>101.921138</v>
      </c>
      <c r="M166" s="157">
        <v>103.870937</v>
      </c>
      <c r="N166" s="157">
        <v>107.019245</v>
      </c>
      <c r="O166" s="157">
        <v>109.129424</v>
      </c>
      <c r="P166" s="157">
        <v>111.09665800000001</v>
      </c>
      <c r="Q166" s="157">
        <v>113.346187</v>
      </c>
      <c r="R166" s="157">
        <v>115.411078</v>
      </c>
      <c r="S166" s="157">
        <v>118.476882</v>
      </c>
      <c r="T166" s="157">
        <v>120.70052200000001</v>
      </c>
      <c r="U166" s="157">
        <v>121.16411600000001</v>
      </c>
      <c r="V166" s="157">
        <v>121.55774599999999</v>
      </c>
    </row>
    <row r="167">
      <c r="A167" s="1" t="s">
        <v>204</v>
      </c>
      <c r="B167" s="154" t="s">
        <v>377</v>
      </c>
      <c r="C167" s="157">
        <v>46.337989999999998</v>
      </c>
      <c r="D167" s="157">
        <v>47.500639</v>
      </c>
      <c r="E167" s="157">
        <v>50.694277</v>
      </c>
      <c r="F167" s="157">
        <v>51.461514000000001</v>
      </c>
      <c r="G167" s="157">
        <v>52.978431</v>
      </c>
      <c r="H167" s="157">
        <v>53.048422000000002</v>
      </c>
      <c r="I167" s="157">
        <v>58.030081000000003</v>
      </c>
      <c r="J167" s="157">
        <v>57.931693000000003</v>
      </c>
      <c r="K167" s="157">
        <v>59.019247999999997</v>
      </c>
      <c r="L167" s="157">
        <v>60.033957999999998</v>
      </c>
      <c r="M167" s="157">
        <v>61.246789</v>
      </c>
      <c r="N167" s="157">
        <v>62.638601000000001</v>
      </c>
      <c r="O167" s="157">
        <v>63.518251999999997</v>
      </c>
      <c r="P167" s="157">
        <v>64.161619999999999</v>
      </c>
      <c r="Q167" s="157">
        <v>64.725429000000005</v>
      </c>
      <c r="R167" s="157">
        <v>64.358356000000001</v>
      </c>
      <c r="S167" s="157">
        <v>64.365116</v>
      </c>
      <c r="T167" s="157">
        <v>65.329175000000006</v>
      </c>
      <c r="U167" s="157">
        <v>65.193813000000006</v>
      </c>
      <c r="V167" s="157">
        <v>65.391182999999998</v>
      </c>
    </row>
    <row r="168">
      <c r="A168" s="1" t="s">
        <v>378</v>
      </c>
      <c r="B168" s="154" t="s">
        <v>379</v>
      </c>
      <c r="C168" s="157">
        <v>23.611415000000001</v>
      </c>
      <c r="D168" s="157">
        <v>23.901145</v>
      </c>
      <c r="E168" s="157">
        <v>25.419584</v>
      </c>
      <c r="F168" s="157">
        <v>26.041498000000001</v>
      </c>
      <c r="G168" s="157">
        <v>26.817941999999999</v>
      </c>
      <c r="H168" s="157">
        <v>26.851438000000002</v>
      </c>
      <c r="I168" s="157">
        <v>30.29447</v>
      </c>
      <c r="J168" s="157">
        <v>29.673109</v>
      </c>
      <c r="K168" s="157">
        <v>29.537763999999999</v>
      </c>
      <c r="L168" s="157">
        <v>29.817838999999999</v>
      </c>
      <c r="M168" s="157">
        <v>30.475467999999999</v>
      </c>
      <c r="N168" s="157">
        <v>31.29561</v>
      </c>
      <c r="O168" s="157">
        <v>31.798283999999999</v>
      </c>
      <c r="P168" s="157">
        <v>32.038561999999999</v>
      </c>
      <c r="Q168" s="157">
        <v>32.520510000000002</v>
      </c>
      <c r="R168" s="157">
        <v>32.401497999999997</v>
      </c>
      <c r="S168" s="157">
        <v>32.693064</v>
      </c>
      <c r="T168" s="157">
        <v>33.403184000000003</v>
      </c>
      <c r="U168" s="157">
        <v>33.330050999999997</v>
      </c>
      <c r="V168" s="157">
        <v>33.517144999999999</v>
      </c>
    </row>
    <row r="169">
      <c r="A169" s="1" t="s">
        <v>380</v>
      </c>
      <c r="B169" s="154" t="s">
        <v>381</v>
      </c>
      <c r="C169" s="157">
        <v>22.765599000000002</v>
      </c>
      <c r="D169" s="157">
        <v>23.626135000000001</v>
      </c>
      <c r="E169" s="157">
        <v>25.298451</v>
      </c>
      <c r="F169" s="157">
        <v>25.459457</v>
      </c>
      <c r="G169" s="157">
        <v>26.201827999999999</v>
      </c>
      <c r="H169" s="157">
        <v>26.238323000000001</v>
      </c>
      <c r="I169" s="157">
        <v>27.822984999999999</v>
      </c>
      <c r="J169" s="157">
        <v>28.303861999999999</v>
      </c>
      <c r="K169" s="157">
        <v>29.491046000000001</v>
      </c>
      <c r="L169" s="157">
        <v>30.212471000000001</v>
      </c>
      <c r="M169" s="157">
        <v>30.769288</v>
      </c>
      <c r="N169" s="157">
        <v>31.343872000000001</v>
      </c>
      <c r="O169" s="157">
        <v>31.721747000000001</v>
      </c>
      <c r="P169" s="157">
        <v>32.123922999999998</v>
      </c>
      <c r="Q169" s="157">
        <v>32.204920000000001</v>
      </c>
      <c r="R169" s="157">
        <v>31.956858</v>
      </c>
      <c r="S169" s="157">
        <v>31.669635</v>
      </c>
      <c r="T169" s="157">
        <v>31.921880999999999</v>
      </c>
      <c r="U169" s="157">
        <v>31.859705000000002</v>
      </c>
      <c r="V169" s="157">
        <v>31.868348999999998</v>
      </c>
    </row>
    <row r="170">
      <c r="A170" s="1" t="s">
        <v>190</v>
      </c>
      <c r="B170" s="154" t="s">
        <v>382</v>
      </c>
      <c r="C170" s="157">
        <v>18.263514000000001</v>
      </c>
      <c r="D170" s="157">
        <v>19.841491000000001</v>
      </c>
      <c r="E170" s="157">
        <v>21.669107</v>
      </c>
      <c r="F170" s="157">
        <v>22.937189</v>
      </c>
      <c r="G170" s="157">
        <v>22.858194999999998</v>
      </c>
      <c r="H170" s="157">
        <v>23.350496</v>
      </c>
      <c r="I170" s="157">
        <v>24.103404999999999</v>
      </c>
      <c r="J170" s="157">
        <v>24.564737000000001</v>
      </c>
      <c r="K170" s="157">
        <v>25.603321999999999</v>
      </c>
      <c r="L170" s="157">
        <v>25.858514</v>
      </c>
      <c r="M170" s="157">
        <v>26.642337999999999</v>
      </c>
      <c r="N170" s="157">
        <v>26.556215000000002</v>
      </c>
      <c r="O170" s="157">
        <v>26.344842</v>
      </c>
      <c r="P170" s="157">
        <v>26.826383</v>
      </c>
      <c r="Q170" s="157">
        <v>27.182728999999998</v>
      </c>
      <c r="R170" s="157">
        <v>27.423155000000001</v>
      </c>
      <c r="S170" s="157">
        <v>27.614006</v>
      </c>
      <c r="T170" s="157">
        <v>28.344080000000002</v>
      </c>
      <c r="U170" s="157">
        <v>29.583915999999999</v>
      </c>
      <c r="V170" s="157">
        <v>30.768329999999999</v>
      </c>
    </row>
    <row r="171">
      <c r="A171" s="1" t="s">
        <v>383</v>
      </c>
      <c r="B171" s="154" t="s">
        <v>384</v>
      </c>
      <c r="C171" s="157">
        <v>7.0485110000000004</v>
      </c>
      <c r="D171" s="157">
        <v>7.6928960000000002</v>
      </c>
      <c r="E171" s="157">
        <v>8.6011780000000009</v>
      </c>
      <c r="F171" s="157">
        <v>9.021528</v>
      </c>
      <c r="G171" s="157">
        <v>9.0310000000000006</v>
      </c>
      <c r="H171" s="157">
        <v>9.230696</v>
      </c>
      <c r="I171" s="157">
        <v>9.5635399999999997</v>
      </c>
      <c r="J171" s="157">
        <v>9.3431560000000005</v>
      </c>
      <c r="K171" s="157">
        <v>9.2892109999999999</v>
      </c>
      <c r="L171" s="157">
        <v>9.3086599999999997</v>
      </c>
      <c r="M171" s="157">
        <v>9.4910460000000008</v>
      </c>
      <c r="N171" s="157">
        <v>9.1162390000000002</v>
      </c>
      <c r="O171" s="157">
        <v>9.1000399999999999</v>
      </c>
      <c r="P171" s="157">
        <v>9.1274739999999994</v>
      </c>
      <c r="Q171" s="157">
        <v>9.3616770000000002</v>
      </c>
      <c r="R171" s="157">
        <v>9.3555860000000006</v>
      </c>
      <c r="S171" s="157">
        <v>9.2669619999999995</v>
      </c>
      <c r="T171" s="157">
        <v>9.5208530000000007</v>
      </c>
      <c r="U171" s="157">
        <v>9.6239240000000006</v>
      </c>
      <c r="V171" s="157">
        <v>9.9257869999999997</v>
      </c>
    </row>
    <row r="172">
      <c r="A172" s="1" t="s">
        <v>385</v>
      </c>
      <c r="B172" s="154" t="s">
        <v>386</v>
      </c>
      <c r="C172" s="157">
        <v>1.963455</v>
      </c>
      <c r="D172" s="157">
        <v>2.0725579999999999</v>
      </c>
      <c r="E172" s="157">
        <v>2.2247279999999998</v>
      </c>
      <c r="F172" s="157">
        <v>2.2848579999999998</v>
      </c>
      <c r="G172" s="157">
        <v>2.3067510000000002</v>
      </c>
      <c r="H172" s="157">
        <v>2.3555280000000001</v>
      </c>
      <c r="I172" s="157">
        <v>2.4200370000000002</v>
      </c>
      <c r="J172" s="157">
        <v>2.629788</v>
      </c>
      <c r="K172" s="157">
        <v>2.7439100000000001</v>
      </c>
      <c r="L172" s="157">
        <v>2.8627509999999998</v>
      </c>
      <c r="M172" s="157">
        <v>3.1108530000000001</v>
      </c>
      <c r="N172" s="157">
        <v>3.2152889999999998</v>
      </c>
      <c r="O172" s="157">
        <v>3.2749489999999999</v>
      </c>
      <c r="P172" s="157">
        <v>3.3206790000000002</v>
      </c>
      <c r="Q172" s="157">
        <v>3.4036759999999999</v>
      </c>
      <c r="R172" s="157">
        <v>3.4498820000000001</v>
      </c>
      <c r="S172" s="157">
        <v>3.4376989999999998</v>
      </c>
      <c r="T172" s="157">
        <v>3.5020150000000001</v>
      </c>
      <c r="U172" s="157">
        <v>3.5672109999999999</v>
      </c>
      <c r="V172" s="157">
        <v>3.6655449999999998</v>
      </c>
    </row>
    <row r="173">
      <c r="A173" s="1" t="s">
        <v>387</v>
      </c>
      <c r="B173" s="154" t="s">
        <v>388</v>
      </c>
      <c r="C173" s="157">
        <v>1.1808209999999999</v>
      </c>
      <c r="D173" s="157">
        <v>1.2795719999999999</v>
      </c>
      <c r="E173" s="157">
        <v>1.286578</v>
      </c>
      <c r="F173" s="157">
        <v>1.4634199999999999</v>
      </c>
      <c r="G173" s="157">
        <v>1.412361</v>
      </c>
      <c r="H173" s="157">
        <v>1.44554</v>
      </c>
      <c r="I173" s="157">
        <v>1.4721759999999999</v>
      </c>
      <c r="J173" s="157">
        <v>1.494332</v>
      </c>
      <c r="K173" s="157">
        <v>2.1455630000000001</v>
      </c>
      <c r="L173" s="157">
        <v>2.316541</v>
      </c>
      <c r="M173" s="157">
        <v>2.3687870000000002</v>
      </c>
      <c r="N173" s="157">
        <v>2.4516149999999999</v>
      </c>
      <c r="O173" s="157">
        <v>2.176361</v>
      </c>
      <c r="P173" s="157">
        <v>1.9417949999999999</v>
      </c>
      <c r="Q173" s="157">
        <v>1.7858620000000001</v>
      </c>
      <c r="R173" s="157">
        <v>1.898636</v>
      </c>
      <c r="S173" s="157">
        <v>1.9660439999999999</v>
      </c>
      <c r="T173" s="157">
        <v>2.0802689999999999</v>
      </c>
      <c r="U173" s="157">
        <v>3.0294089999999998</v>
      </c>
      <c r="V173" s="157">
        <v>3.3773550000000001</v>
      </c>
    </row>
    <row r="174">
      <c r="A174" s="1" t="s">
        <v>389</v>
      </c>
      <c r="B174" s="154" t="s">
        <v>390</v>
      </c>
      <c r="C174" s="157">
        <v>8.2032520000000009</v>
      </c>
      <c r="D174" s="157">
        <v>8.9437519999999999</v>
      </c>
      <c r="E174" s="157">
        <v>9.7592379999999999</v>
      </c>
      <c r="F174" s="157">
        <v>10.348425000000001</v>
      </c>
      <c r="G174" s="157">
        <v>10.299564999999999</v>
      </c>
      <c r="H174" s="157">
        <v>10.513194</v>
      </c>
      <c r="I174" s="157">
        <v>10.855028000000001</v>
      </c>
      <c r="J174" s="157">
        <v>11.316439000000001</v>
      </c>
      <c r="K174" s="157">
        <v>11.473515000000001</v>
      </c>
      <c r="L174" s="157">
        <v>11.428732999999999</v>
      </c>
      <c r="M174" s="157">
        <v>11.723972</v>
      </c>
      <c r="N174" s="157">
        <v>11.84675</v>
      </c>
      <c r="O174" s="157">
        <v>11.820595000000001</v>
      </c>
      <c r="P174" s="157">
        <v>12.43951</v>
      </c>
      <c r="Q174" s="157">
        <v>12.631512000000001</v>
      </c>
      <c r="R174" s="157">
        <v>12.719051</v>
      </c>
      <c r="S174" s="157">
        <v>12.942292</v>
      </c>
      <c r="T174" s="157">
        <v>13.248104</v>
      </c>
      <c r="U174" s="157">
        <v>13.463388</v>
      </c>
      <c r="V174" s="157">
        <v>13.945741</v>
      </c>
    </row>
    <row r="175">
      <c r="A175" s="1" t="s">
        <v>192</v>
      </c>
      <c r="B175" s="154" t="s">
        <v>391</v>
      </c>
      <c r="C175" s="157">
        <v>25.364768000000002</v>
      </c>
      <c r="D175" s="157">
        <v>25.493660999999999</v>
      </c>
      <c r="E175" s="157">
        <v>24.713367999999999</v>
      </c>
      <c r="F175" s="157">
        <v>24.844024999999998</v>
      </c>
      <c r="G175" s="157">
        <v>25.827387000000002</v>
      </c>
      <c r="H175" s="157">
        <v>26.132898999999998</v>
      </c>
      <c r="I175" s="157">
        <v>27.004311999999999</v>
      </c>
      <c r="J175" s="157">
        <v>27.64751</v>
      </c>
      <c r="K175" s="157">
        <v>28.280308999999999</v>
      </c>
      <c r="L175" s="157">
        <v>27.827314000000001</v>
      </c>
      <c r="M175" s="157">
        <v>28.713318999999998</v>
      </c>
      <c r="N175" s="157">
        <v>27.987736999999999</v>
      </c>
      <c r="O175" s="157">
        <v>28.181688999999999</v>
      </c>
      <c r="P175" s="157">
        <v>27.832937000000001</v>
      </c>
      <c r="Q175" s="157">
        <v>27.475021000000002</v>
      </c>
      <c r="R175" s="157">
        <v>26.703652999999999</v>
      </c>
      <c r="S175" s="157">
        <v>26.529758999999999</v>
      </c>
      <c r="T175" s="157">
        <v>26.690853000000001</v>
      </c>
      <c r="U175" s="157">
        <v>26.593793999999999</v>
      </c>
      <c r="V175" s="157">
        <v>26.782654999999998</v>
      </c>
    </row>
    <row r="176">
      <c r="A176" s="1" t="s">
        <v>392</v>
      </c>
      <c r="B176" s="154" t="s">
        <v>393</v>
      </c>
      <c r="C176" s="157">
        <v>7.9395689999999997</v>
      </c>
      <c r="D176" s="157">
        <v>7.6939169999999999</v>
      </c>
      <c r="E176" s="157">
        <v>6.8195839999999999</v>
      </c>
      <c r="F176" s="157">
        <v>6.9042919999999999</v>
      </c>
      <c r="G176" s="157">
        <v>7.230696</v>
      </c>
      <c r="H176" s="157">
        <v>7.5680699999999996</v>
      </c>
      <c r="I176" s="157">
        <v>7.8398479999999999</v>
      </c>
      <c r="J176" s="157">
        <v>7.906428</v>
      </c>
      <c r="K176" s="157">
        <v>8.1994760000000007</v>
      </c>
      <c r="L176" s="157">
        <v>8.8715910000000004</v>
      </c>
      <c r="M176" s="157">
        <v>9.9689549999999993</v>
      </c>
      <c r="N176" s="157">
        <v>10.272387</v>
      </c>
      <c r="O176" s="157">
        <v>10.244073999999999</v>
      </c>
      <c r="P176" s="157">
        <v>10.218166</v>
      </c>
      <c r="Q176" s="157">
        <v>10.256311999999999</v>
      </c>
      <c r="R176" s="157">
        <v>10.319492</v>
      </c>
      <c r="S176" s="157">
        <v>10.409867999999999</v>
      </c>
      <c r="T176" s="157">
        <v>10.648242</v>
      </c>
      <c r="U176" s="157">
        <v>10.704798</v>
      </c>
      <c r="V176" s="157">
        <v>10.760759999999999</v>
      </c>
    </row>
    <row r="177">
      <c r="A177" s="1" t="s">
        <v>394</v>
      </c>
      <c r="B177" s="154" t="s">
        <v>395</v>
      </c>
      <c r="C177" s="157">
        <v>5.821421</v>
      </c>
      <c r="D177" s="157">
        <v>5.7999960000000002</v>
      </c>
      <c r="E177" s="157">
        <v>5.8614579999999998</v>
      </c>
      <c r="F177" s="157">
        <v>5.9647139999999998</v>
      </c>
      <c r="G177" s="157">
        <v>6.4149079999999996</v>
      </c>
      <c r="H177" s="157">
        <v>6.4841870000000004</v>
      </c>
      <c r="I177" s="157">
        <v>6.8993510000000002</v>
      </c>
      <c r="J177" s="157">
        <v>7.2284699999999997</v>
      </c>
      <c r="K177" s="157">
        <v>7.5259080000000003</v>
      </c>
      <c r="L177" s="157">
        <v>6.5538990000000004</v>
      </c>
      <c r="M177" s="157">
        <v>5.8475659999999996</v>
      </c>
      <c r="N177" s="157">
        <v>5.7386650000000001</v>
      </c>
      <c r="O177" s="157">
        <v>5.6209530000000001</v>
      </c>
      <c r="P177" s="157">
        <v>5.2551680000000003</v>
      </c>
      <c r="Q177" s="157">
        <v>5.0298949999999998</v>
      </c>
      <c r="R177" s="157">
        <v>4.6120349999999997</v>
      </c>
      <c r="S177" s="157">
        <v>4.5117469999999997</v>
      </c>
      <c r="T177" s="157">
        <v>4.7489910000000002</v>
      </c>
      <c r="U177" s="157">
        <v>4.6549329999999998</v>
      </c>
      <c r="V177" s="157">
        <v>4.6540819999999998</v>
      </c>
    </row>
    <row r="178">
      <c r="A178" s="1" t="s">
        <v>396</v>
      </c>
      <c r="B178" s="154" t="s">
        <v>397</v>
      </c>
      <c r="C178" s="157">
        <v>11.869624999999999</v>
      </c>
      <c r="D178" s="157">
        <v>12.344707</v>
      </c>
      <c r="E178" s="157">
        <v>12.461074</v>
      </c>
      <c r="F178" s="157">
        <v>12.379871</v>
      </c>
      <c r="G178" s="157">
        <v>12.566651999999999</v>
      </c>
      <c r="H178" s="157">
        <v>12.401244</v>
      </c>
      <c r="I178" s="157">
        <v>12.591317</v>
      </c>
      <c r="J178" s="157">
        <v>12.878017</v>
      </c>
      <c r="K178" s="157">
        <v>12.914604000000001</v>
      </c>
      <c r="L178" s="157">
        <v>12.559141</v>
      </c>
      <c r="M178" s="157">
        <v>12.906025</v>
      </c>
      <c r="N178" s="157">
        <v>11.994987999999999</v>
      </c>
      <c r="O178" s="157">
        <v>12.326226</v>
      </c>
      <c r="P178" s="157">
        <v>12.360141</v>
      </c>
      <c r="Q178" s="157">
        <v>12.188813</v>
      </c>
      <c r="R178" s="157">
        <v>11.772126</v>
      </c>
      <c r="S178" s="157">
        <v>11.609786</v>
      </c>
      <c r="T178" s="157">
        <v>11.293810000000001</v>
      </c>
      <c r="U178" s="157">
        <v>11.237798</v>
      </c>
      <c r="V178" s="157">
        <v>11.371221999999999</v>
      </c>
    </row>
    <row r="179">
      <c r="A179" s="1" t="s">
        <v>194</v>
      </c>
      <c r="B179" s="154" t="s">
        <v>398</v>
      </c>
      <c r="C179" s="157">
        <v>3.5362130000000001</v>
      </c>
      <c r="D179" s="157">
        <v>3.5740569999999998</v>
      </c>
      <c r="E179" s="157">
        <v>3.7888440000000001</v>
      </c>
      <c r="F179" s="157">
        <v>3.9649969999999999</v>
      </c>
      <c r="G179" s="157">
        <v>4.050351</v>
      </c>
      <c r="H179" s="157">
        <v>4.0165430000000004</v>
      </c>
      <c r="I179" s="157">
        <v>4.0245410000000001</v>
      </c>
      <c r="J179" s="157">
        <v>4.0350239999999999</v>
      </c>
      <c r="K179" s="157">
        <v>4.1594930000000003</v>
      </c>
      <c r="L179" s="157">
        <v>4.1420209999999997</v>
      </c>
      <c r="M179" s="157">
        <v>4.1555400000000002</v>
      </c>
      <c r="N179" s="157">
        <v>4.0399339999999997</v>
      </c>
      <c r="O179" s="157">
        <v>3.90144</v>
      </c>
      <c r="P179" s="157">
        <v>3.7180219999999999</v>
      </c>
      <c r="Q179" s="157">
        <v>3.6030000000000002</v>
      </c>
      <c r="R179" s="157">
        <v>3.5139999999999998</v>
      </c>
      <c r="S179" s="157">
        <v>3.5656469999999998</v>
      </c>
      <c r="T179" s="157">
        <v>3.5540289999999999</v>
      </c>
      <c r="U179" s="157">
        <v>3.4331429999999998</v>
      </c>
      <c r="V179" s="157">
        <v>3.3653550000000001</v>
      </c>
    </row>
    <row r="180">
      <c r="A180" s="1" t="s">
        <v>399</v>
      </c>
      <c r="B180" s="154" t="s">
        <v>400</v>
      </c>
      <c r="C180" s="157">
        <v>3.5362130000000001</v>
      </c>
      <c r="D180" s="157">
        <v>3.5740569999999998</v>
      </c>
      <c r="E180" s="157">
        <v>3.7888440000000001</v>
      </c>
      <c r="F180" s="157">
        <v>3.9649969999999999</v>
      </c>
      <c r="G180" s="157">
        <v>4.050351</v>
      </c>
      <c r="H180" s="157">
        <v>4.0165430000000004</v>
      </c>
      <c r="I180" s="157">
        <v>4.0245410000000001</v>
      </c>
      <c r="J180" s="157">
        <v>4.0350239999999999</v>
      </c>
      <c r="K180" s="157">
        <v>4.1594930000000003</v>
      </c>
      <c r="L180" s="157">
        <v>4.1420209999999997</v>
      </c>
      <c r="M180" s="157">
        <v>4.1555400000000002</v>
      </c>
      <c r="N180" s="157">
        <v>4.0399339999999997</v>
      </c>
      <c r="O180" s="157">
        <v>3.90144</v>
      </c>
      <c r="P180" s="157">
        <v>3.7180219999999999</v>
      </c>
      <c r="Q180" s="157">
        <v>3.6030000000000002</v>
      </c>
      <c r="R180" s="157">
        <v>3.5139999999999998</v>
      </c>
      <c r="S180" s="157">
        <v>3.5656469999999998</v>
      </c>
      <c r="T180" s="157">
        <v>3.5540289999999999</v>
      </c>
      <c r="U180" s="157">
        <v>3.4331429999999998</v>
      </c>
      <c r="V180" s="157">
        <v>3.3653550000000001</v>
      </c>
    </row>
    <row r="181">
      <c r="A181" s="1" t="s">
        <v>81</v>
      </c>
      <c r="B181" s="154" t="s">
        <v>206</v>
      </c>
      <c r="C181" s="157">
        <v>1621.24485</v>
      </c>
      <c r="D181" s="157">
        <v>1653.4222569999999</v>
      </c>
      <c r="E181" s="157">
        <v>1671.8504760000001</v>
      </c>
      <c r="F181" s="157">
        <v>1683.7657730000001</v>
      </c>
      <c r="G181" s="157">
        <v>1734.7976839999999</v>
      </c>
      <c r="H181" s="157">
        <v>1760.5171069999999</v>
      </c>
      <c r="I181" s="157">
        <v>1804.1312479999999</v>
      </c>
      <c r="J181" s="157">
        <v>1850.186553</v>
      </c>
      <c r="K181" s="157">
        <v>1859.7010210000001</v>
      </c>
      <c r="L181" s="157">
        <v>1810.8865269999999</v>
      </c>
      <c r="M181" s="157">
        <v>1842.4244630000001</v>
      </c>
      <c r="N181" s="157">
        <v>1883.6692270000001</v>
      </c>
      <c r="O181" s="157">
        <v>1894.309037</v>
      </c>
      <c r="P181" s="157">
        <v>1906.042506</v>
      </c>
      <c r="Q181" s="157">
        <v>1927.230012</v>
      </c>
      <c r="R181" s="157">
        <v>1944.632926</v>
      </c>
      <c r="S181" s="157">
        <v>1963.4609029999999</v>
      </c>
      <c r="T181" s="157">
        <v>2006.1782390000001</v>
      </c>
      <c r="U181" s="157">
        <v>2043.9846809999999</v>
      </c>
      <c r="V181" s="157">
        <v>2082.657815</v>
      </c>
    </row>
    <row r="182">
      <c r="B182" s="154"/>
    </row>
    <row r="183">
      <c r="B183" s="154" t="s">
        <v>207</v>
      </c>
    </row>
    <row r="184">
      <c r="B184" s="154"/>
    </row>
    <row r="185">
      <c r="B185" s="164" t="s">
        <v>208</v>
      </c>
    </row>
    <row r="188" ht="22.199999999999999">
      <c r="B188" s="141" t="s">
        <v>401</v>
      </c>
    </row>
    <row r="189">
      <c r="H189" s="39" t="s">
        <v>402</v>
      </c>
    </row>
    <row r="190">
      <c r="B190" s="1" t="s">
        <v>403</v>
      </c>
      <c r="C190" s="142">
        <v>2015</v>
      </c>
      <c r="D190" s="167">
        <v>2016</v>
      </c>
      <c r="E190" s="167">
        <v>2017</v>
      </c>
      <c r="F190" s="167">
        <v>2018</v>
      </c>
      <c r="G190" s="167">
        <v>2019</v>
      </c>
      <c r="H190" s="167">
        <v>2020</v>
      </c>
    </row>
    <row r="191">
      <c r="B191" s="144" t="s">
        <v>22</v>
      </c>
      <c r="C191" s="146">
        <v>25.624379000000001</v>
      </c>
      <c r="D191" s="31">
        <v>26.013804</v>
      </c>
      <c r="E191" s="31">
        <v>26.657764</v>
      </c>
      <c r="F191" s="31">
        <v>25.460822</v>
      </c>
      <c r="G191" s="31">
        <v>25.805907999999999</v>
      </c>
      <c r="H191" s="168">
        <f>G191*0.905</f>
        <v>23.35434674</v>
      </c>
    </row>
    <row r="192">
      <c r="B192" s="148" t="s">
        <v>23</v>
      </c>
      <c r="C192" s="146">
        <v>41.415126000000001</v>
      </c>
      <c r="D192" s="31">
        <v>42.558777999999997</v>
      </c>
      <c r="E192" s="31">
        <v>43.825743000000003</v>
      </c>
      <c r="F192" s="31">
        <v>45.192982999999998</v>
      </c>
      <c r="G192" s="31">
        <v>47.173411999999999</v>
      </c>
      <c r="H192" s="31">
        <v>34.146974</v>
      </c>
    </row>
    <row r="193">
      <c r="B193" s="149" t="s">
        <v>24</v>
      </c>
      <c r="C193" s="146">
        <v>8.0230730000000001</v>
      </c>
      <c r="D193" s="31">
        <v>8.0998359999999998</v>
      </c>
      <c r="E193" s="31">
        <v>8.2923500000000008</v>
      </c>
      <c r="F193" s="31">
        <v>8.2701740000000008</v>
      </c>
      <c r="G193" s="31">
        <v>8.3584969999999998</v>
      </c>
      <c r="H193" s="168">
        <f>G193*0.905</f>
        <v>7.5644397850000002</v>
      </c>
    </row>
    <row r="194">
      <c r="B194" s="150" t="s">
        <v>110</v>
      </c>
      <c r="C194" s="146">
        <v>43.507950999999998</v>
      </c>
      <c r="D194" s="31">
        <v>44.673572</v>
      </c>
      <c r="E194" s="31">
        <v>45.485210000000002</v>
      </c>
      <c r="F194" s="31">
        <v>45.279347999999999</v>
      </c>
      <c r="G194" s="31">
        <v>45.598266000000002</v>
      </c>
      <c r="H194" s="31">
        <v>44.167665</v>
      </c>
    </row>
    <row r="195">
      <c r="B195" s="151" t="s">
        <v>111</v>
      </c>
      <c r="C195" s="146">
        <v>60.173127999999998</v>
      </c>
      <c r="D195" s="31">
        <v>59.026021</v>
      </c>
      <c r="E195" s="31">
        <v>60.473291000000003</v>
      </c>
      <c r="F195" s="31">
        <v>63.185554000000003</v>
      </c>
      <c r="G195" s="31">
        <v>63.615234000000001</v>
      </c>
      <c r="H195" s="168">
        <f>G195*0.905</f>
        <v>57.571786770000003</v>
      </c>
    </row>
    <row r="196">
      <c r="B196" s="152" t="s">
        <v>29</v>
      </c>
      <c r="C196" s="146">
        <v>109.505257</v>
      </c>
      <c r="D196" s="31">
        <v>108.449133</v>
      </c>
      <c r="E196" s="31">
        <v>110.800995</v>
      </c>
      <c r="F196" s="31">
        <v>111.94245100000001</v>
      </c>
      <c r="G196" s="31">
        <v>114.881552</v>
      </c>
      <c r="H196" s="31">
        <v>96.546553000000003</v>
      </c>
    </row>
    <row r="197">
      <c r="B197" s="153" t="s">
        <v>27</v>
      </c>
      <c r="C197" s="146">
        <v>23.294343000000001</v>
      </c>
      <c r="D197" s="31">
        <v>23.04682</v>
      </c>
      <c r="E197" s="31">
        <v>23.307596</v>
      </c>
      <c r="F197" s="31">
        <v>23.241423999999999</v>
      </c>
      <c r="G197" s="31">
        <v>23.721858999999998</v>
      </c>
      <c r="H197" s="168">
        <f>G197*0.905</f>
        <v>21.468282394999999</v>
      </c>
    </row>
    <row r="198">
      <c r="B198" s="167" t="s">
        <v>404</v>
      </c>
      <c r="C198" s="169">
        <f t="shared" ref="C198:H198" si="70">SUM(C191:C195,C197)</f>
        <v>202.03799999999998</v>
      </c>
      <c r="D198" s="169">
        <f t="shared" si="70"/>
        <v>203.41883099999998</v>
      </c>
      <c r="E198" s="169">
        <f t="shared" si="70"/>
        <v>208.04195399999998</v>
      </c>
      <c r="F198" s="169">
        <f t="shared" si="70"/>
        <v>210.63030499999999</v>
      </c>
      <c r="G198" s="169">
        <f t="shared" si="70"/>
        <v>214.27317599999998</v>
      </c>
      <c r="H198" s="169">
        <f t="shared" si="70"/>
        <v>188.27349468999998</v>
      </c>
    </row>
    <row r="199">
      <c r="B199" s="1" t="s">
        <v>405</v>
      </c>
      <c r="C199" s="134">
        <f t="shared" ref="C199:H199" si="71">C198+C196</f>
        <v>311.54325699999998</v>
      </c>
      <c r="D199" s="134">
        <f t="shared" si="71"/>
        <v>311.86796399999997</v>
      </c>
      <c r="E199" s="134">
        <f t="shared" si="71"/>
        <v>318.84294899999998</v>
      </c>
      <c r="F199" s="134">
        <f t="shared" si="71"/>
        <v>322.57275600000003</v>
      </c>
      <c r="G199" s="134">
        <f t="shared" si="71"/>
        <v>329.15472799999998</v>
      </c>
      <c r="H199" s="134">
        <f t="shared" si="71"/>
        <v>284.82004768999997</v>
      </c>
    </row>
    <row r="201">
      <c r="C201" s="170" t="s">
        <v>406</v>
      </c>
      <c r="D201" s="170"/>
      <c r="E201" s="170"/>
      <c r="F201" s="170"/>
      <c r="G201" s="170"/>
      <c r="H201" s="170"/>
      <c r="I201" s="170" t="s">
        <v>407</v>
      </c>
      <c r="J201" s="170"/>
      <c r="K201" s="170"/>
      <c r="L201" s="170"/>
      <c r="M201" s="170"/>
      <c r="N201" s="170"/>
      <c r="O201" s="170" t="s">
        <v>408</v>
      </c>
      <c r="P201" s="170"/>
    </row>
    <row r="202">
      <c r="C202" s="142">
        <v>2015</v>
      </c>
      <c r="D202" s="167">
        <v>2016</v>
      </c>
      <c r="E202" s="167">
        <v>2017</v>
      </c>
      <c r="F202" s="167">
        <v>2018</v>
      </c>
      <c r="G202" s="167">
        <v>2019</v>
      </c>
      <c r="H202" s="167">
        <v>2020</v>
      </c>
      <c r="I202" s="142">
        <v>2015</v>
      </c>
      <c r="J202" s="167">
        <v>2016</v>
      </c>
      <c r="K202" s="167">
        <v>2017</v>
      </c>
      <c r="L202" s="167">
        <v>2018</v>
      </c>
      <c r="M202" s="167">
        <v>2019</v>
      </c>
      <c r="N202" s="167">
        <v>2020</v>
      </c>
      <c r="O202" s="167">
        <v>2015</v>
      </c>
      <c r="P202" s="167">
        <v>2020</v>
      </c>
    </row>
    <row r="203">
      <c r="B203" s="7" t="s">
        <v>409</v>
      </c>
      <c r="C203" s="11">
        <v>280.80000000000001</v>
      </c>
      <c r="D203" s="11">
        <v>281.10000000000002</v>
      </c>
      <c r="E203" s="11">
        <v>282.89999999999998</v>
      </c>
      <c r="F203" s="11">
        <v>288.80000000000001</v>
      </c>
      <c r="G203" s="11">
        <v>300.60000000000002</v>
      </c>
      <c r="H203" s="11">
        <v>272</v>
      </c>
      <c r="I203" s="11">
        <f t="shared" ref="I203:N203" si="72">C203*(1-C206)</f>
        <v>279.39600000000002</v>
      </c>
      <c r="J203" s="11">
        <f t="shared" si="72"/>
        <v>279.13230000000004</v>
      </c>
      <c r="K203" s="11">
        <f t="shared" si="72"/>
        <v>277.80779999999999</v>
      </c>
      <c r="L203" s="11">
        <f t="shared" si="72"/>
        <v>278.40320000000003</v>
      </c>
      <c r="M203" s="11">
        <f t="shared" si="72"/>
        <v>286.1712</v>
      </c>
      <c r="N203" s="11">
        <f t="shared" si="72"/>
        <v>257.584</v>
      </c>
      <c r="O203" s="11">
        <v>266.65699999999998</v>
      </c>
      <c r="P203" s="11">
        <v>249.76707351702399</v>
      </c>
    </row>
    <row r="204">
      <c r="B204" s="7" t="s">
        <v>410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>
        <v>228.45824189336599</v>
      </c>
      <c r="P204" s="11">
        <v>215.980157747688</v>
      </c>
    </row>
    <row r="205">
      <c r="B205" s="7" t="s">
        <v>411</v>
      </c>
      <c r="C205" s="11">
        <v>107.90000000000001</v>
      </c>
      <c r="D205" s="11">
        <v>108.40000000000001</v>
      </c>
      <c r="E205" s="11">
        <v>113.09999999999999</v>
      </c>
      <c r="F205" s="11">
        <v>117.40000000000001</v>
      </c>
      <c r="G205" s="11">
        <v>124.09999999999999</v>
      </c>
      <c r="H205" s="11">
        <v>106.7</v>
      </c>
      <c r="I205" s="11">
        <f t="shared" ref="I205:N205" si="73">C205*(1-C206)</f>
        <v>107.3605</v>
      </c>
      <c r="J205" s="11">
        <f t="shared" si="73"/>
        <v>107.64120000000001</v>
      </c>
      <c r="K205" s="11">
        <f t="shared" si="73"/>
        <v>111.0642</v>
      </c>
      <c r="L205" s="11">
        <f t="shared" si="73"/>
        <v>113.17360000000001</v>
      </c>
      <c r="M205" s="11">
        <f t="shared" si="73"/>
        <v>118.14319999999999</v>
      </c>
      <c r="N205" s="11">
        <f t="shared" si="73"/>
        <v>101.0449</v>
      </c>
      <c r="O205" s="11">
        <v>107.884</v>
      </c>
      <c r="P205" s="11">
        <v>90.720938362229006</v>
      </c>
    </row>
    <row r="206">
      <c r="B206" s="1" t="s">
        <v>412</v>
      </c>
      <c r="C206" s="27">
        <v>0.0050000000000000001</v>
      </c>
      <c r="D206" s="27">
        <v>0.0070000000000000001</v>
      </c>
      <c r="E206" s="27">
        <v>0.017999999999999999</v>
      </c>
      <c r="F206" s="27">
        <v>0.035999999999999997</v>
      </c>
      <c r="G206" s="27">
        <v>0.048000000000000001</v>
      </c>
      <c r="H206" s="27">
        <v>0.052999999999999999</v>
      </c>
    </row>
    <row r="207" hidden="1"/>
    <row r="208" hidden="1">
      <c r="B208" s="167" t="s">
        <v>413</v>
      </c>
      <c r="C208" s="171">
        <f>AVERAGE(C198/O204,H198/P204)</f>
        <v>0.87803540111441558</v>
      </c>
      <c r="D208" s="27"/>
    </row>
    <row r="209" hidden="1">
      <c r="B209" s="172" t="s">
        <v>414</v>
      </c>
    </row>
    <row r="210" hidden="1">
      <c r="C210" s="173" t="s">
        <v>20</v>
      </c>
      <c r="D210" s="173"/>
      <c r="E210" s="173"/>
      <c r="F210" s="173"/>
      <c r="G210" s="173"/>
      <c r="H210" s="173"/>
      <c r="I210" s="173"/>
      <c r="J210" s="173"/>
      <c r="K210" s="173" t="s">
        <v>415</v>
      </c>
      <c r="L210" s="173"/>
      <c r="M210" s="173"/>
      <c r="N210" s="173"/>
      <c r="O210" s="173"/>
      <c r="P210" s="173"/>
      <c r="Q210" s="173"/>
      <c r="R210" s="173"/>
    </row>
    <row r="211" hidden="1">
      <c r="B211" s="7" t="s">
        <v>93</v>
      </c>
      <c r="C211" s="174">
        <v>2019</v>
      </c>
      <c r="D211" s="174">
        <v>2020</v>
      </c>
      <c r="E211" s="174">
        <v>2025</v>
      </c>
      <c r="F211" s="174">
        <v>2030</v>
      </c>
      <c r="G211" s="174">
        <v>2035</v>
      </c>
      <c r="H211" s="174">
        <v>2040</v>
      </c>
      <c r="I211" s="174">
        <v>2045</v>
      </c>
      <c r="J211" s="174">
        <v>2050</v>
      </c>
      <c r="K211" s="174">
        <v>2019</v>
      </c>
      <c r="L211" s="174">
        <v>2020</v>
      </c>
      <c r="M211" s="174">
        <v>2025</v>
      </c>
      <c r="N211" s="174">
        <v>2030</v>
      </c>
      <c r="O211" s="174">
        <v>2035</v>
      </c>
      <c r="P211" s="174">
        <v>2040</v>
      </c>
      <c r="Q211" s="174">
        <v>2045</v>
      </c>
      <c r="R211" s="174">
        <v>2050</v>
      </c>
    </row>
    <row r="212" hidden="1">
      <c r="B212" s="7" t="s">
        <v>416</v>
      </c>
      <c r="C212" s="11">
        <v>263.79228045364903</v>
      </c>
      <c r="D212" s="11">
        <v>235.2055540394</v>
      </c>
      <c r="E212" s="11">
        <v>239.72749600556401</v>
      </c>
      <c r="F212" s="11">
        <v>244.929728371327</v>
      </c>
      <c r="G212" s="11">
        <v>253.551684281391</v>
      </c>
      <c r="H212" s="11">
        <v>268.05452538604999</v>
      </c>
      <c r="I212" s="11">
        <v>286.30709288620301</v>
      </c>
      <c r="J212" s="11">
        <v>305.76299601141397</v>
      </c>
      <c r="K212" s="11">
        <v>263.79228045364903</v>
      </c>
      <c r="L212" s="11">
        <v>235.205554039399</v>
      </c>
      <c r="M212" s="11">
        <v>253.79982776162501</v>
      </c>
      <c r="N212" s="11">
        <v>263.91920734506499</v>
      </c>
      <c r="O212" s="11">
        <v>277.19107422381597</v>
      </c>
      <c r="P212" s="11">
        <v>297.87313484072303</v>
      </c>
      <c r="Q212" s="11">
        <v>322.67523786659001</v>
      </c>
      <c r="R212" s="11">
        <v>348.33878171553903</v>
      </c>
      <c r="S212" s="1" t="s">
        <v>417</v>
      </c>
    </row>
    <row r="213" hidden="1">
      <c r="B213" s="7" t="s">
        <v>418</v>
      </c>
      <c r="C213" s="11">
        <f t="shared" ref="C213:R213" si="74">C212*$C208</f>
        <v>231.61896077900613</v>
      </c>
      <c r="D213" s="11">
        <f t="shared" si="74"/>
        <v>206.51880298532294</v>
      </c>
      <c r="E213" s="11">
        <f t="shared" si="74"/>
        <v>210.48922811339986</v>
      </c>
      <c r="F213" s="11">
        <f t="shared" si="74"/>
        <v>215.05697229536295</v>
      </c>
      <c r="G213" s="11">
        <f t="shared" si="74"/>
        <v>222.62735481124682</v>
      </c>
      <c r="H213" s="11">
        <f t="shared" si="74"/>
        <v>235.3613627178747</v>
      </c>
      <c r="I213" s="11">
        <f t="shared" si="74"/>
        <v>251.3877631442395</v>
      </c>
      <c r="J213" s="11">
        <f t="shared" si="74"/>
        <v>268.47073484882731</v>
      </c>
      <c r="K213" s="11">
        <f t="shared" si="74"/>
        <v>231.61896077900613</v>
      </c>
      <c r="L213" s="11">
        <f t="shared" si="74"/>
        <v>206.51880298532205</v>
      </c>
      <c r="M213" s="11">
        <f t="shared" si="74"/>
        <v>222.84523357144801</v>
      </c>
      <c r="N213" s="11">
        <f t="shared" si="74"/>
        <v>231.73040708302275</v>
      </c>
      <c r="O213" s="11">
        <f t="shared" si="74"/>
        <v>243.383576041444</v>
      </c>
      <c r="P213" s="11">
        <f t="shared" si="74"/>
        <v>261.54315743108265</v>
      </c>
      <c r="Q213" s="11">
        <f t="shared" si="74"/>
        <v>283.3202819098808</v>
      </c>
      <c r="R213" s="11">
        <f t="shared" si="74"/>
        <v>305.85378192731014</v>
      </c>
    </row>
    <row r="214" hidden="1">
      <c r="B214" s="7" t="s">
        <v>419</v>
      </c>
      <c r="C214" s="11">
        <v>124.09999999999999</v>
      </c>
      <c r="D214" s="11">
        <v>106.7</v>
      </c>
      <c r="E214" s="11">
        <v>113.993023633184</v>
      </c>
      <c r="F214" s="11">
        <v>116.16592190119</v>
      </c>
      <c r="G214" s="11">
        <v>119.77244944755</v>
      </c>
      <c r="H214" s="11">
        <v>124.913474627238</v>
      </c>
      <c r="I214" s="11">
        <v>131.700686828946</v>
      </c>
      <c r="J214" s="11">
        <v>139.093521731273</v>
      </c>
      <c r="K214" s="11">
        <v>124.09999999999999</v>
      </c>
      <c r="L214" s="11">
        <v>106.7</v>
      </c>
      <c r="M214" s="11">
        <v>113.993023633183</v>
      </c>
      <c r="N214" s="11">
        <v>116.16592190119</v>
      </c>
      <c r="O214" s="11">
        <v>119.772449447551</v>
      </c>
      <c r="P214" s="11">
        <v>124.913474627238</v>
      </c>
      <c r="Q214" s="11">
        <v>131.700686828946</v>
      </c>
      <c r="R214" s="11">
        <v>139.093521731273</v>
      </c>
    </row>
    <row r="215" ht="15" hidden="1" customHeight="1"/>
    <row r="216" hidden="1"/>
  </sheetData>
  <mergeCells count="7">
    <mergeCell ref="C210:J210"/>
    <mergeCell ref="K210:R210"/>
    <mergeCell ref="C201:H201"/>
    <mergeCell ref="I201:N201"/>
    <mergeCell ref="O201:P201"/>
    <mergeCell ref="C204:H204"/>
    <mergeCell ref="I204:N204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2F5597"/>
    <outlinePr applyStyles="0" summaryBelow="1" summaryRight="1" showOutlineSymbols="1"/>
    <pageSetUpPr autoPageBreaks="1" fitToPage="0"/>
  </sheetPr>
  <sheetViews>
    <sheetView topLeftCell="V97" zoomScale="55" workbookViewId="0">
      <selection activeCell="AC128" activeCellId="0" sqref="AC128"/>
    </sheetView>
  </sheetViews>
  <sheetFormatPr baseColWidth="10" defaultColWidth="8.88671875" defaultRowHeight="14.4"/>
  <cols>
    <col customWidth="1" min="1" max="1" width="8.6640625"/>
    <col customWidth="1" min="2" max="2" style="1" width="10.44140625"/>
    <col customWidth="1" min="3" max="3" style="1" width="40.21875"/>
    <col customWidth="1" min="4" max="18" style="1" width="10.44140625"/>
    <col customWidth="1" min="19" max="19" style="1" width="45.44140625"/>
    <col customWidth="1" min="20" max="20" style="1" width="10.44140625"/>
    <col customWidth="1" min="21" max="21" style="1" width="23"/>
    <col customWidth="1" min="22" max="22" style="1" width="53.21875"/>
    <col customWidth="1" min="23" max="40" style="1" width="10.44140625"/>
    <col customWidth="1" min="41" max="41" style="1" width="31.21875"/>
    <col customWidth="1" min="42" max="42" style="1" width="37.5546875"/>
    <col customWidth="1" min="43" max="43" style="1" width="6.5546875"/>
    <col customWidth="1" min="44" max="1025" style="1" width="10.44140625"/>
  </cols>
  <sheetData>
    <row r="1">
      <c r="U1" s="175"/>
    </row>
    <row r="2">
      <c r="C2" s="176" t="s">
        <v>420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</row>
    <row r="4">
      <c r="C4" s="177" t="s">
        <v>421</v>
      </c>
      <c r="U4" s="177" t="s">
        <v>422</v>
      </c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</row>
    <row r="8">
      <c r="C8" s="178">
        <v>2019</v>
      </c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V8" s="179">
        <v>2019</v>
      </c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</row>
    <row r="9" ht="30" customHeight="1">
      <c r="C9" s="180" t="s">
        <v>423</v>
      </c>
      <c r="D9" s="180"/>
      <c r="E9" s="181" t="s">
        <v>424</v>
      </c>
      <c r="F9" s="181" t="s">
        <v>425</v>
      </c>
      <c r="G9" s="181" t="s">
        <v>426</v>
      </c>
      <c r="H9" s="181" t="s">
        <v>427</v>
      </c>
      <c r="I9" s="181" t="s">
        <v>428</v>
      </c>
      <c r="J9" s="181"/>
      <c r="K9" s="181"/>
      <c r="L9" s="181"/>
      <c r="M9" s="181" t="s">
        <v>429</v>
      </c>
      <c r="N9" s="181" t="s">
        <v>430</v>
      </c>
      <c r="O9" s="181" t="s">
        <v>431</v>
      </c>
      <c r="P9" s="181" t="s">
        <v>432</v>
      </c>
      <c r="Q9" s="182" t="s">
        <v>433</v>
      </c>
      <c r="R9" s="181" t="s">
        <v>49</v>
      </c>
      <c r="V9" s="180" t="s">
        <v>423</v>
      </c>
      <c r="W9" s="180"/>
      <c r="X9" s="181" t="s">
        <v>424</v>
      </c>
      <c r="Y9" s="181"/>
      <c r="Z9" s="181" t="s">
        <v>426</v>
      </c>
      <c r="AA9" s="181" t="s">
        <v>427</v>
      </c>
      <c r="AB9" s="181" t="s">
        <v>428</v>
      </c>
      <c r="AC9" s="181"/>
      <c r="AD9" s="181"/>
      <c r="AE9" s="181"/>
      <c r="AF9" s="181" t="s">
        <v>429</v>
      </c>
      <c r="AG9" s="181" t="s">
        <v>430</v>
      </c>
      <c r="AH9" s="181" t="s">
        <v>431</v>
      </c>
      <c r="AI9" s="183"/>
      <c r="AJ9" s="181" t="s">
        <v>432</v>
      </c>
      <c r="AK9" s="182" t="s">
        <v>433</v>
      </c>
      <c r="AL9" s="181" t="s">
        <v>49</v>
      </c>
      <c r="AR9" s="170" t="s">
        <v>434</v>
      </c>
      <c r="AS9" s="170"/>
      <c r="AT9" s="170" t="s">
        <v>435</v>
      </c>
      <c r="AU9" s="170"/>
    </row>
    <row r="10" ht="43.200000000000003">
      <c r="C10" s="180"/>
      <c r="D10" s="180"/>
      <c r="E10" s="181"/>
      <c r="F10" s="181"/>
      <c r="G10" s="181"/>
      <c r="H10" s="181"/>
      <c r="I10" s="182" t="s">
        <v>436</v>
      </c>
      <c r="J10" s="182" t="s">
        <v>437</v>
      </c>
      <c r="K10" s="182" t="s">
        <v>438</v>
      </c>
      <c r="L10" s="182" t="s">
        <v>439</v>
      </c>
      <c r="M10" s="181"/>
      <c r="N10" s="181"/>
      <c r="O10" s="181"/>
      <c r="P10" s="181"/>
      <c r="Q10" s="182" t="s">
        <v>433</v>
      </c>
      <c r="R10" s="181"/>
      <c r="V10" s="180"/>
      <c r="W10" s="180"/>
      <c r="X10" s="181"/>
      <c r="Y10" s="181" t="s">
        <v>440</v>
      </c>
      <c r="Z10" s="181"/>
      <c r="AA10" s="181"/>
      <c r="AB10" s="182" t="s">
        <v>436</v>
      </c>
      <c r="AC10" s="182" t="s">
        <v>437</v>
      </c>
      <c r="AD10" s="182" t="s">
        <v>438</v>
      </c>
      <c r="AE10" s="182" t="s">
        <v>439</v>
      </c>
      <c r="AF10" s="181"/>
      <c r="AG10" s="181"/>
      <c r="AH10" s="181"/>
      <c r="AI10" s="184" t="s">
        <v>441</v>
      </c>
      <c r="AJ10" s="181"/>
      <c r="AK10" s="182" t="s">
        <v>433</v>
      </c>
      <c r="AL10" s="181"/>
      <c r="AO10" s="156"/>
      <c r="AR10" s="1" t="s">
        <v>442</v>
      </c>
      <c r="AS10" s="1" t="s">
        <v>443</v>
      </c>
      <c r="AT10" s="1" t="s">
        <v>442</v>
      </c>
      <c r="AU10" s="1" t="s">
        <v>443</v>
      </c>
    </row>
    <row r="11">
      <c r="C11" s="185" t="s">
        <v>22</v>
      </c>
      <c r="D11" s="185"/>
      <c r="E11" s="186">
        <v>24190.062730000001</v>
      </c>
      <c r="F11" s="186"/>
      <c r="G11" s="186">
        <v>1324.6569999999999</v>
      </c>
      <c r="H11" s="186">
        <v>17579.52421</v>
      </c>
      <c r="I11" s="186">
        <v>6.9779999999999998</v>
      </c>
      <c r="J11" s="186">
        <v>0</v>
      </c>
      <c r="K11" s="186">
        <v>0</v>
      </c>
      <c r="L11" s="186">
        <v>0</v>
      </c>
      <c r="M11" s="186"/>
      <c r="N11" s="186">
        <v>0</v>
      </c>
      <c r="O11" s="186">
        <v>20853.753000000001</v>
      </c>
      <c r="P11" s="186">
        <v>117.46299999999999</v>
      </c>
      <c r="Q11" s="186">
        <v>0</v>
      </c>
      <c r="R11" s="186">
        <v>64072.437940000003</v>
      </c>
      <c r="U11" s="187"/>
      <c r="V11" s="185" t="s">
        <v>22</v>
      </c>
      <c r="W11" s="185"/>
      <c r="X11" s="186">
        <v>19671.074860000001</v>
      </c>
      <c r="Y11" s="186">
        <v>27950.379000000001</v>
      </c>
      <c r="Z11" s="186">
        <v>1324.6569999999999</v>
      </c>
      <c r="AA11" s="186">
        <v>9299.348</v>
      </c>
      <c r="AB11" s="186">
        <v>6.9779999999999998</v>
      </c>
      <c r="AC11" s="186">
        <v>0</v>
      </c>
      <c r="AD11" s="186">
        <v>0</v>
      </c>
      <c r="AE11" s="186">
        <v>0</v>
      </c>
      <c r="AF11" s="186"/>
      <c r="AG11" s="186">
        <v>0</v>
      </c>
      <c r="AH11" s="186">
        <v>20853.753000000001</v>
      </c>
      <c r="AI11" s="186">
        <v>0</v>
      </c>
      <c r="AJ11" s="186">
        <v>117.46299999999999</v>
      </c>
      <c r="AK11" s="186">
        <v>0</v>
      </c>
      <c r="AL11" s="186">
        <v>79223.652860000002</v>
      </c>
      <c r="AM11" s="156" t="s">
        <v>444</v>
      </c>
      <c r="AO11" s="156" t="s">
        <v>445</v>
      </c>
      <c r="AP11" s="185" t="s">
        <v>22</v>
      </c>
      <c r="AQ11" s="185"/>
    </row>
    <row r="12">
      <c r="C12" s="188" t="s">
        <v>446</v>
      </c>
      <c r="D12" s="188" t="s">
        <v>442</v>
      </c>
      <c r="E12" s="189">
        <v>29391.005140000001</v>
      </c>
      <c r="F12" s="189"/>
      <c r="G12" s="189">
        <v>221.4588</v>
      </c>
      <c r="H12" s="189">
        <v>14402.57315</v>
      </c>
      <c r="I12" s="189">
        <v>-50.812139999999999</v>
      </c>
      <c r="J12" s="189">
        <v>0</v>
      </c>
      <c r="K12" s="189">
        <v>0</v>
      </c>
      <c r="L12" s="189">
        <v>0</v>
      </c>
      <c r="M12" s="189"/>
      <c r="N12" s="189">
        <v>0</v>
      </c>
      <c r="O12" s="189">
        <v>11347.083500000001</v>
      </c>
      <c r="P12" s="189">
        <v>117.46299999999999</v>
      </c>
      <c r="Q12" s="189">
        <v>0</v>
      </c>
      <c r="R12" s="186">
        <v>55428.77145</v>
      </c>
      <c r="U12" s="187"/>
      <c r="V12" s="188" t="s">
        <v>446</v>
      </c>
      <c r="W12" s="188" t="s">
        <v>442</v>
      </c>
      <c r="X12" s="190">
        <v>18488.833859999999</v>
      </c>
      <c r="Y12" s="190">
        <v>27318.869999999999</v>
      </c>
      <c r="Z12" s="190">
        <v>0</v>
      </c>
      <c r="AA12" s="190">
        <v>0</v>
      </c>
      <c r="AB12" s="190">
        <v>0</v>
      </c>
      <c r="AC12" s="190">
        <v>0</v>
      </c>
      <c r="AD12" s="190">
        <v>0</v>
      </c>
      <c r="AE12" s="190">
        <v>0</v>
      </c>
      <c r="AF12" s="190"/>
      <c r="AG12" s="190">
        <v>0</v>
      </c>
      <c r="AH12" s="190">
        <v>0</v>
      </c>
      <c r="AI12" s="190">
        <v>0</v>
      </c>
      <c r="AJ12" s="190">
        <v>0</v>
      </c>
      <c r="AK12" s="190">
        <v>0</v>
      </c>
      <c r="AL12" s="190">
        <v>45807.703860000001</v>
      </c>
      <c r="AM12" s="1" t="s">
        <v>447</v>
      </c>
      <c r="AO12" s="1" t="s">
        <v>448</v>
      </c>
      <c r="AP12" s="188" t="s">
        <v>446</v>
      </c>
      <c r="AQ12" s="188" t="s">
        <v>442</v>
      </c>
      <c r="AR12" s="1">
        <v>157.59999999999999</v>
      </c>
      <c r="AS12" s="191">
        <f>AR12/AL12</f>
        <v>0.0034404693254581303</v>
      </c>
      <c r="AT12" s="134">
        <v>2093.6669999999999</v>
      </c>
      <c r="AU12" s="191">
        <f>AT12/AL12</f>
        <v>0.045705565299644334</v>
      </c>
    </row>
    <row r="13">
      <c r="C13" s="188" t="s">
        <v>449</v>
      </c>
      <c r="D13" s="188" t="s">
        <v>442</v>
      </c>
      <c r="E13" s="189">
        <v>68.343100000000007</v>
      </c>
      <c r="F13" s="189"/>
      <c r="G13" s="189">
        <v>39.053199999999997</v>
      </c>
      <c r="H13" s="189">
        <v>372.95805999999999</v>
      </c>
      <c r="I13" s="189">
        <v>56.627139999999997</v>
      </c>
      <c r="J13" s="189">
        <v>0</v>
      </c>
      <c r="K13" s="189">
        <v>0</v>
      </c>
      <c r="L13" s="189">
        <v>0</v>
      </c>
      <c r="M13" s="189"/>
      <c r="N13" s="189">
        <v>0</v>
      </c>
      <c r="O13" s="189">
        <v>1415.6785</v>
      </c>
      <c r="P13" s="189">
        <v>0</v>
      </c>
      <c r="Q13" s="189">
        <v>0</v>
      </c>
      <c r="R13" s="186">
        <v>1952.6600000000001</v>
      </c>
      <c r="U13" s="187"/>
      <c r="V13" s="188" t="s">
        <v>449</v>
      </c>
      <c r="W13" s="188" t="s">
        <v>442</v>
      </c>
      <c r="X13" s="192">
        <v>68.343100000000007</v>
      </c>
      <c r="Y13" s="190">
        <v>0</v>
      </c>
      <c r="Z13" s="192">
        <v>39.053199999999997</v>
      </c>
      <c r="AA13" s="192">
        <v>429.58519999999999</v>
      </c>
      <c r="AB13" s="190">
        <v>0</v>
      </c>
      <c r="AC13" s="190">
        <v>0</v>
      </c>
      <c r="AD13" s="190">
        <v>0</v>
      </c>
      <c r="AE13" s="190">
        <v>0</v>
      </c>
      <c r="AF13" s="190"/>
      <c r="AG13" s="190">
        <v>0</v>
      </c>
      <c r="AH13" s="192">
        <v>1415.6785</v>
      </c>
      <c r="AI13" s="190">
        <v>0</v>
      </c>
      <c r="AJ13" s="190">
        <v>0</v>
      </c>
      <c r="AK13" s="190">
        <v>0</v>
      </c>
      <c r="AL13" s="192">
        <v>1952.6600000000001</v>
      </c>
      <c r="AM13" s="193" t="s">
        <v>450</v>
      </c>
      <c r="AO13" s="193"/>
      <c r="AP13" s="188" t="s">
        <v>449</v>
      </c>
      <c r="AQ13" s="188" t="s">
        <v>442</v>
      </c>
      <c r="AS13" s="191"/>
      <c r="AU13" s="191"/>
    </row>
    <row r="14">
      <c r="C14" s="188" t="s">
        <v>451</v>
      </c>
      <c r="D14" s="188" t="s">
        <v>442</v>
      </c>
      <c r="E14" s="189">
        <v>0</v>
      </c>
      <c r="F14" s="189"/>
      <c r="G14" s="189">
        <v>0</v>
      </c>
      <c r="H14" s="189">
        <v>0</v>
      </c>
      <c r="I14" s="189">
        <v>0</v>
      </c>
      <c r="J14" s="189">
        <v>0</v>
      </c>
      <c r="K14" s="189">
        <v>0</v>
      </c>
      <c r="L14" s="189">
        <v>0</v>
      </c>
      <c r="M14" s="189"/>
      <c r="N14" s="189">
        <v>0</v>
      </c>
      <c r="O14" s="189">
        <v>0</v>
      </c>
      <c r="P14" s="189">
        <v>0</v>
      </c>
      <c r="Q14" s="189">
        <v>0</v>
      </c>
      <c r="R14" s="186">
        <v>0</v>
      </c>
      <c r="U14" s="187"/>
      <c r="V14" s="188" t="s">
        <v>451</v>
      </c>
      <c r="W14" s="188" t="s">
        <v>442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0">
        <v>0</v>
      </c>
      <c r="AD14" s="190">
        <v>0</v>
      </c>
      <c r="AE14" s="190">
        <v>0</v>
      </c>
      <c r="AF14" s="190"/>
      <c r="AG14" s="190">
        <v>0</v>
      </c>
      <c r="AH14" s="190">
        <v>0</v>
      </c>
      <c r="AI14" s="190">
        <v>0</v>
      </c>
      <c r="AJ14" s="190">
        <v>0</v>
      </c>
      <c r="AK14" s="190">
        <v>0</v>
      </c>
      <c r="AL14" s="190">
        <v>0</v>
      </c>
      <c r="AP14" s="188" t="s">
        <v>451</v>
      </c>
      <c r="AQ14" s="188" t="s">
        <v>442</v>
      </c>
      <c r="AS14" s="191"/>
      <c r="AU14" s="191"/>
    </row>
    <row r="15">
      <c r="C15" s="188"/>
      <c r="D15" s="188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6"/>
      <c r="U15" s="187"/>
      <c r="V15" s="194" t="s">
        <v>452</v>
      </c>
      <c r="W15" s="188" t="s">
        <v>442</v>
      </c>
      <c r="X15" s="192">
        <v>1087.6789000000001</v>
      </c>
      <c r="Y15" s="190">
        <v>631.50900000000001</v>
      </c>
      <c r="Z15" s="192">
        <v>221.4588</v>
      </c>
      <c r="AA15" s="192">
        <v>6065.7698</v>
      </c>
      <c r="AB15" s="189">
        <v>5.8150000000000004</v>
      </c>
      <c r="AC15" s="190">
        <v>0</v>
      </c>
      <c r="AD15" s="190"/>
      <c r="AE15" s="190"/>
      <c r="AF15" s="190"/>
      <c r="AG15" s="190"/>
      <c r="AH15" s="192">
        <v>11347.083500000001</v>
      </c>
      <c r="AI15" s="190">
        <v>0</v>
      </c>
      <c r="AJ15" s="190">
        <v>117.46299999999999</v>
      </c>
      <c r="AK15" s="190">
        <v>0</v>
      </c>
      <c r="AL15" s="192">
        <v>19476.777999999998</v>
      </c>
      <c r="AM15" s="1" t="s">
        <v>453</v>
      </c>
      <c r="AN15" s="191"/>
      <c r="AO15" s="1" t="s">
        <v>448</v>
      </c>
      <c r="AP15" s="194" t="s">
        <v>452</v>
      </c>
      <c r="AQ15" s="188" t="s">
        <v>442</v>
      </c>
      <c r="AS15" s="191"/>
      <c r="AU15" s="191"/>
    </row>
    <row r="16">
      <c r="C16" s="188" t="s">
        <v>454</v>
      </c>
      <c r="D16" s="188" t="s">
        <v>442</v>
      </c>
      <c r="E16" s="189">
        <v>25.056000000000001</v>
      </c>
      <c r="F16" s="189"/>
      <c r="G16" s="189">
        <v>175.392</v>
      </c>
      <c r="H16" s="189">
        <v>1566</v>
      </c>
      <c r="I16" s="189">
        <v>0</v>
      </c>
      <c r="J16" s="189">
        <v>0</v>
      </c>
      <c r="K16" s="189">
        <v>0</v>
      </c>
      <c r="L16" s="189">
        <v>0</v>
      </c>
      <c r="M16" s="189"/>
      <c r="N16" s="189">
        <v>0</v>
      </c>
      <c r="O16" s="189">
        <v>4447.4399999999996</v>
      </c>
      <c r="P16" s="189">
        <v>50.112000000000002</v>
      </c>
      <c r="Q16" s="189">
        <v>0</v>
      </c>
      <c r="R16" s="186">
        <v>6264</v>
      </c>
      <c r="U16" s="187"/>
      <c r="V16" s="188" t="s">
        <v>454</v>
      </c>
      <c r="W16" s="188" t="s">
        <v>442</v>
      </c>
      <c r="X16" s="190">
        <v>25.056000000000001</v>
      </c>
      <c r="Y16" s="190">
        <v>0</v>
      </c>
      <c r="Z16" s="192">
        <v>175.392</v>
      </c>
      <c r="AA16" s="190">
        <v>1566</v>
      </c>
      <c r="AB16" s="190">
        <v>0</v>
      </c>
      <c r="AC16" s="190">
        <v>0</v>
      </c>
      <c r="AD16" s="190">
        <v>0</v>
      </c>
      <c r="AE16" s="190">
        <v>0</v>
      </c>
      <c r="AF16" s="190"/>
      <c r="AG16" s="190">
        <v>0</v>
      </c>
      <c r="AH16" s="190">
        <v>4447.4399999999996</v>
      </c>
      <c r="AI16" s="190">
        <v>0</v>
      </c>
      <c r="AJ16" s="190">
        <v>0</v>
      </c>
      <c r="AK16" s="190">
        <v>0</v>
      </c>
      <c r="AL16" s="192">
        <v>6264</v>
      </c>
      <c r="AM16" s="1" t="s">
        <v>455</v>
      </c>
      <c r="AP16" s="188" t="s">
        <v>454</v>
      </c>
      <c r="AQ16" s="188" t="s">
        <v>442</v>
      </c>
      <c r="AS16" s="191"/>
      <c r="AT16" s="134">
        <v>55.878</v>
      </c>
      <c r="AU16" s="191">
        <f>AT16/AL16</f>
        <v>0.0089204980842911875</v>
      </c>
    </row>
    <row r="17">
      <c r="C17" s="188" t="s">
        <v>456</v>
      </c>
      <c r="D17" s="188" t="s">
        <v>442</v>
      </c>
      <c r="E17" s="189">
        <v>0</v>
      </c>
      <c r="F17" s="189"/>
      <c r="G17" s="189">
        <v>0</v>
      </c>
      <c r="H17" s="195">
        <f>R17*0.9</f>
        <v>400.94999999999999</v>
      </c>
      <c r="I17" s="189">
        <v>0</v>
      </c>
      <c r="J17" s="189">
        <v>0</v>
      </c>
      <c r="K17" s="189">
        <v>0</v>
      </c>
      <c r="L17" s="189">
        <v>0</v>
      </c>
      <c r="M17" s="189"/>
      <c r="N17" s="189">
        <v>0</v>
      </c>
      <c r="O17" s="195">
        <f>445.5*0.1</f>
        <v>44.550000000000004</v>
      </c>
      <c r="P17" s="189">
        <v>0</v>
      </c>
      <c r="Q17" s="189">
        <v>0</v>
      </c>
      <c r="R17" s="186">
        <v>445.5</v>
      </c>
      <c r="U17" s="187"/>
      <c r="V17" s="188" t="s">
        <v>456</v>
      </c>
      <c r="W17" s="188" t="s">
        <v>442</v>
      </c>
      <c r="X17" s="190">
        <v>0</v>
      </c>
      <c r="Y17" s="190">
        <v>0</v>
      </c>
      <c r="Z17" s="192">
        <v>32.923333333333296</v>
      </c>
      <c r="AA17" s="192">
        <v>855.74222222222204</v>
      </c>
      <c r="AB17" s="190">
        <v>0</v>
      </c>
      <c r="AC17" s="190">
        <v>0</v>
      </c>
      <c r="AD17" s="190">
        <v>0</v>
      </c>
      <c r="AE17" s="190">
        <v>0</v>
      </c>
      <c r="AF17" s="190"/>
      <c r="AG17" s="190">
        <v>0</v>
      </c>
      <c r="AH17" s="192">
        <v>448.63</v>
      </c>
      <c r="AI17" s="190">
        <v>0</v>
      </c>
      <c r="AJ17" s="190">
        <v>0</v>
      </c>
      <c r="AK17" s="190">
        <v>0</v>
      </c>
      <c r="AL17" s="192">
        <v>1337.29555555556</v>
      </c>
      <c r="AM17" s="193" t="s">
        <v>457</v>
      </c>
      <c r="AP17" s="188" t="s">
        <v>456</v>
      </c>
      <c r="AQ17" s="188" t="s">
        <v>442</v>
      </c>
      <c r="AS17" s="191"/>
      <c r="AU17" s="191"/>
    </row>
    <row r="18">
      <c r="C18" s="188" t="s">
        <v>458</v>
      </c>
      <c r="D18" s="188" t="s">
        <v>442</v>
      </c>
      <c r="E18" s="189">
        <v>1.163</v>
      </c>
      <c r="F18" s="189"/>
      <c r="G18" s="189">
        <v>888.75300000000004</v>
      </c>
      <c r="H18" s="189">
        <v>1237.9929999999999</v>
      </c>
      <c r="I18" s="189">
        <v>1.163</v>
      </c>
      <c r="J18" s="189">
        <v>0</v>
      </c>
      <c r="K18" s="189">
        <v>0</v>
      </c>
      <c r="L18" s="189">
        <v>0</v>
      </c>
      <c r="M18" s="189"/>
      <c r="N18" s="189">
        <v>0</v>
      </c>
      <c r="O18" s="189">
        <v>3198.0509999999999</v>
      </c>
      <c r="P18" s="189">
        <v>-50.112000000000002</v>
      </c>
      <c r="Q18" s="189">
        <v>0</v>
      </c>
      <c r="R18" s="186">
        <v>5277.0110000000004</v>
      </c>
      <c r="U18" s="187"/>
      <c r="V18" s="188" t="s">
        <v>458</v>
      </c>
      <c r="W18" s="188" t="s">
        <v>442</v>
      </c>
      <c r="X18" s="190">
        <v>1.163</v>
      </c>
      <c r="Y18" s="190">
        <v>0</v>
      </c>
      <c r="Z18" s="192">
        <v>855.82966666666698</v>
      </c>
      <c r="AA18" s="192">
        <v>382.25077777777801</v>
      </c>
      <c r="AB18" s="190">
        <v>1.163</v>
      </c>
      <c r="AC18" s="190">
        <v>0</v>
      </c>
      <c r="AD18" s="190">
        <v>0</v>
      </c>
      <c r="AE18" s="190">
        <v>0</v>
      </c>
      <c r="AF18" s="190"/>
      <c r="AG18" s="190">
        <v>0</v>
      </c>
      <c r="AH18" s="192">
        <v>3194.9209999999998</v>
      </c>
      <c r="AI18" s="190">
        <v>0</v>
      </c>
      <c r="AJ18" s="190">
        <v>0</v>
      </c>
      <c r="AK18" s="190">
        <v>0</v>
      </c>
      <c r="AL18" s="192">
        <v>4385.2154444444404</v>
      </c>
      <c r="AM18" s="1" t="s">
        <v>453</v>
      </c>
      <c r="AN18" s="191"/>
      <c r="AP18" s="188" t="s">
        <v>458</v>
      </c>
      <c r="AQ18" s="188" t="s">
        <v>442</v>
      </c>
      <c r="AR18" s="1">
        <v>86.5</v>
      </c>
      <c r="AS18" s="191">
        <f>AR18/AL18</f>
        <v>0.019725370645035347</v>
      </c>
      <c r="AT18" s="134">
        <v>82.619</v>
      </c>
      <c r="AU18" s="191">
        <f>AT18/AL18</f>
        <v>0.018840351414129194</v>
      </c>
    </row>
    <row r="19">
      <c r="C19" s="185" t="s">
        <v>23</v>
      </c>
      <c r="D19" s="185"/>
      <c r="E19" s="186">
        <v>3728.8687500000001</v>
      </c>
      <c r="F19" s="186"/>
      <c r="G19" s="186">
        <v>4401.59447</v>
      </c>
      <c r="H19" s="186">
        <v>35658.52203</v>
      </c>
      <c r="I19" s="186">
        <v>1080.47352000001</v>
      </c>
      <c r="J19" s="186">
        <v>0</v>
      </c>
      <c r="K19" s="186">
        <v>0</v>
      </c>
      <c r="L19" s="186">
        <v>0</v>
      </c>
      <c r="M19" s="186"/>
      <c r="N19" s="186">
        <v>0</v>
      </c>
      <c r="O19" s="186">
        <v>19634.219570000001</v>
      </c>
      <c r="P19" s="186">
        <v>11362.64956</v>
      </c>
      <c r="Q19" s="186">
        <v>0</v>
      </c>
      <c r="R19" s="186">
        <v>75866.327900000004</v>
      </c>
      <c r="U19" s="187"/>
      <c r="V19" s="185" t="s">
        <v>23</v>
      </c>
      <c r="W19" s="185"/>
      <c r="X19" s="186">
        <v>3659.9609999999998</v>
      </c>
      <c r="Y19" s="186">
        <v>68.907749999999993</v>
      </c>
      <c r="Z19" s="186">
        <v>4401.59447</v>
      </c>
      <c r="AA19" s="186">
        <v>35658.52203</v>
      </c>
      <c r="AB19" s="186">
        <v>1080.47352000001</v>
      </c>
      <c r="AC19" s="186">
        <v>0</v>
      </c>
      <c r="AD19" s="186">
        <v>0</v>
      </c>
      <c r="AE19" s="186">
        <v>0</v>
      </c>
      <c r="AF19" s="186"/>
      <c r="AG19" s="186">
        <v>0</v>
      </c>
      <c r="AH19" s="186">
        <v>19634.219570000001</v>
      </c>
      <c r="AI19" s="186">
        <v>0</v>
      </c>
      <c r="AJ19" s="186">
        <v>11362.64956</v>
      </c>
      <c r="AK19" s="186">
        <v>0</v>
      </c>
      <c r="AL19" s="186">
        <v>75866.327900000004</v>
      </c>
      <c r="AM19" s="1" t="s">
        <v>459</v>
      </c>
      <c r="AP19" s="185" t="s">
        <v>23</v>
      </c>
      <c r="AQ19" s="185"/>
      <c r="AS19" s="191"/>
      <c r="AU19" s="191"/>
    </row>
    <row r="20">
      <c r="C20" s="188" t="s">
        <v>460</v>
      </c>
      <c r="D20" s="188" t="s">
        <v>442</v>
      </c>
      <c r="E20" s="189">
        <v>0</v>
      </c>
      <c r="F20" s="189"/>
      <c r="G20" s="189">
        <v>26.879492334423301</v>
      </c>
      <c r="H20" s="189">
        <v>4999.5855742027297</v>
      </c>
      <c r="I20" s="189">
        <v>26.879492334423301</v>
      </c>
      <c r="J20" s="189">
        <v>0</v>
      </c>
      <c r="K20" s="189">
        <v>0</v>
      </c>
      <c r="L20" s="189">
        <v>0</v>
      </c>
      <c r="M20" s="189"/>
      <c r="N20" s="189">
        <v>0</v>
      </c>
      <c r="O20" s="189">
        <v>322.55390801307902</v>
      </c>
      <c r="P20" s="189">
        <v>0</v>
      </c>
      <c r="Q20" s="189">
        <v>0</v>
      </c>
      <c r="R20" s="186">
        <v>5375.8984668846497</v>
      </c>
      <c r="U20" s="187"/>
      <c r="V20" s="188" t="s">
        <v>460</v>
      </c>
      <c r="W20" s="188" t="s">
        <v>442</v>
      </c>
      <c r="X20" s="189">
        <v>0</v>
      </c>
      <c r="Y20" s="189">
        <v>0</v>
      </c>
      <c r="Z20" s="189">
        <v>26.879492334423301</v>
      </c>
      <c r="AA20" s="189">
        <v>4999.5855742027297</v>
      </c>
      <c r="AB20" s="189">
        <v>26.879492334423301</v>
      </c>
      <c r="AC20" s="189">
        <v>0</v>
      </c>
      <c r="AD20" s="189">
        <v>0</v>
      </c>
      <c r="AE20" s="189">
        <v>0</v>
      </c>
      <c r="AF20" s="189"/>
      <c r="AG20" s="189">
        <v>0</v>
      </c>
      <c r="AH20" s="189">
        <v>322.55390801307902</v>
      </c>
      <c r="AI20" s="189">
        <v>0</v>
      </c>
      <c r="AJ20" s="189">
        <v>0</v>
      </c>
      <c r="AK20" s="189">
        <v>0</v>
      </c>
      <c r="AL20" s="189">
        <v>5375.8984668846497</v>
      </c>
      <c r="AM20" s="1" t="s">
        <v>455</v>
      </c>
      <c r="AP20" s="188" t="s">
        <v>460</v>
      </c>
      <c r="AQ20" s="188" t="s">
        <v>442</v>
      </c>
      <c r="AS20" s="191"/>
      <c r="AU20" s="191"/>
    </row>
    <row r="21">
      <c r="C21" s="188" t="s">
        <v>461</v>
      </c>
      <c r="D21" s="188" t="s">
        <v>442</v>
      </c>
      <c r="E21" s="189">
        <v>0</v>
      </c>
      <c r="F21" s="189"/>
      <c r="G21" s="189">
        <v>1703.6673708114899</v>
      </c>
      <c r="H21" s="189">
        <v>12328.079291392</v>
      </c>
      <c r="I21" s="189">
        <v>757.42589761749502</v>
      </c>
      <c r="J21" s="189">
        <v>0</v>
      </c>
      <c r="K21" s="189">
        <v>0</v>
      </c>
      <c r="L21" s="189">
        <v>0</v>
      </c>
      <c r="M21" s="189"/>
      <c r="N21" s="189">
        <v>0</v>
      </c>
      <c r="O21" s="189">
        <v>5680.6942321312099</v>
      </c>
      <c r="P21" s="189">
        <v>4436.3516860453301</v>
      </c>
      <c r="Q21" s="189">
        <v>0</v>
      </c>
      <c r="R21" s="186">
        <v>24906.2184779975</v>
      </c>
      <c r="U21" s="187"/>
      <c r="V21" s="188" t="s">
        <v>461</v>
      </c>
      <c r="W21" s="188" t="s">
        <v>442</v>
      </c>
      <c r="X21" s="190">
        <v>0</v>
      </c>
      <c r="Y21" s="190">
        <v>0</v>
      </c>
      <c r="Z21" s="190">
        <v>1618.41363305613</v>
      </c>
      <c r="AA21" s="190">
        <v>29131.4453950104</v>
      </c>
      <c r="AB21" s="190">
        <v>588.63274428274406</v>
      </c>
      <c r="AC21" s="190">
        <v>0</v>
      </c>
      <c r="AD21" s="190">
        <v>0</v>
      </c>
      <c r="AE21" s="190">
        <v>0</v>
      </c>
      <c r="AF21" s="190"/>
      <c r="AG21" s="190">
        <v>0</v>
      </c>
      <c r="AH21" s="190">
        <v>7108.8951993951996</v>
      </c>
      <c r="AI21" s="190">
        <v>0</v>
      </c>
      <c r="AJ21" s="190">
        <v>5861.8958703458702</v>
      </c>
      <c r="AK21" s="190">
        <v>0</v>
      </c>
      <c r="AL21" s="190">
        <v>44309.282842090397</v>
      </c>
      <c r="AM21" s="1" t="s">
        <v>462</v>
      </c>
      <c r="AN21" s="191"/>
      <c r="AP21" s="188" t="s">
        <v>461</v>
      </c>
      <c r="AQ21" s="188" t="s">
        <v>442</v>
      </c>
      <c r="AR21" s="1">
        <v>292.60000000000002</v>
      </c>
      <c r="AS21" s="191">
        <f t="shared" ref="AS21:AS34" si="75">AR21/AL21</f>
        <v>0.0066035823924925413</v>
      </c>
      <c r="AT21" s="134">
        <v>287.28899999999999</v>
      </c>
      <c r="AU21" s="191">
        <f t="shared" ref="AU21:AU34" si="76">AT21/AL21</f>
        <v>0.0064837203757921718</v>
      </c>
    </row>
    <row r="22">
      <c r="C22" s="188" t="s">
        <v>463</v>
      </c>
      <c r="D22" s="188" t="s">
        <v>442</v>
      </c>
      <c r="E22" s="189">
        <v>3728.8687500000001</v>
      </c>
      <c r="F22" s="189"/>
      <c r="G22" s="189">
        <v>2671.0476068540902</v>
      </c>
      <c r="H22" s="189">
        <v>18330.857164405301</v>
      </c>
      <c r="I22" s="189">
        <v>296.16813004808802</v>
      </c>
      <c r="J22" s="189">
        <v>0</v>
      </c>
      <c r="K22" s="189">
        <v>0</v>
      </c>
      <c r="L22" s="189">
        <v>0</v>
      </c>
      <c r="M22" s="189"/>
      <c r="N22" s="189">
        <v>0</v>
      </c>
      <c r="O22" s="189">
        <v>13630.971429855699</v>
      </c>
      <c r="P22" s="189">
        <v>6926.2978739546697</v>
      </c>
      <c r="Q22" s="189">
        <v>0</v>
      </c>
      <c r="R22" s="186">
        <v>45584.210955117902</v>
      </c>
      <c r="U22" s="187"/>
      <c r="V22" s="188" t="s">
        <v>463</v>
      </c>
      <c r="W22" s="188" t="s">
        <v>442</v>
      </c>
      <c r="X22" s="189">
        <v>3659.9609999999998</v>
      </c>
      <c r="Y22" s="189">
        <v>68.907749999999993</v>
      </c>
      <c r="Z22" s="189">
        <v>2756.3013446094401</v>
      </c>
      <c r="AA22" s="189">
        <v>1527.4910607868801</v>
      </c>
      <c r="AB22" s="189">
        <v>464.96128338283802</v>
      </c>
      <c r="AC22" s="189">
        <v>0</v>
      </c>
      <c r="AD22" s="189">
        <v>0</v>
      </c>
      <c r="AE22" s="189">
        <v>0</v>
      </c>
      <c r="AF22" s="189"/>
      <c r="AG22" s="189">
        <v>0</v>
      </c>
      <c r="AH22" s="189">
        <v>12202.770462591699</v>
      </c>
      <c r="AI22" s="189">
        <v>0</v>
      </c>
      <c r="AJ22" s="189">
        <v>5500.7536896541296</v>
      </c>
      <c r="AK22" s="189">
        <v>0</v>
      </c>
      <c r="AL22" s="189">
        <v>26181.146591025001</v>
      </c>
      <c r="AM22" s="1" t="s">
        <v>453</v>
      </c>
      <c r="AN22" s="196"/>
      <c r="AP22" s="188" t="s">
        <v>463</v>
      </c>
      <c r="AQ22" s="188" t="s">
        <v>442</v>
      </c>
      <c r="AR22" s="1">
        <v>932.60000000000002</v>
      </c>
      <c r="AS22" s="191">
        <f t="shared" si="75"/>
        <v>0.035621052605835792</v>
      </c>
      <c r="AT22" s="134">
        <v>1014.828</v>
      </c>
      <c r="AU22" s="191">
        <f t="shared" si="76"/>
        <v>0.038761785946681455</v>
      </c>
    </row>
    <row r="23">
      <c r="C23" s="185" t="s">
        <v>464</v>
      </c>
      <c r="D23" s="185"/>
      <c r="E23" s="186">
        <v>2938.9009999999998</v>
      </c>
      <c r="F23" s="186"/>
      <c r="G23" s="186">
        <v>6832.625</v>
      </c>
      <c r="H23" s="186">
        <v>19326.734</v>
      </c>
      <c r="I23" s="186">
        <v>5982.4719999999998</v>
      </c>
      <c r="J23" s="186">
        <v>0</v>
      </c>
      <c r="K23" s="186">
        <v>0</v>
      </c>
      <c r="L23" s="186">
        <v>0</v>
      </c>
      <c r="M23" s="186"/>
      <c r="N23" s="186">
        <v>0</v>
      </c>
      <c r="O23" s="186">
        <v>8314.2870000000003</v>
      </c>
      <c r="P23" s="186">
        <v>0</v>
      </c>
      <c r="Q23" s="186">
        <v>0</v>
      </c>
      <c r="R23" s="186">
        <v>43395.019</v>
      </c>
      <c r="U23" s="187"/>
      <c r="V23" s="185" t="s">
        <v>464</v>
      </c>
      <c r="W23" s="185"/>
      <c r="X23" s="186">
        <v>2556.2739999999999</v>
      </c>
      <c r="Y23" s="186">
        <v>382.62700000000001</v>
      </c>
      <c r="Z23" s="186">
        <v>6832.625</v>
      </c>
      <c r="AA23" s="186">
        <v>19326.734</v>
      </c>
      <c r="AB23" s="186">
        <v>2679.0324533571202</v>
      </c>
      <c r="AC23" s="186">
        <v>3417.3512551478002</v>
      </c>
      <c r="AD23" s="186">
        <v>0</v>
      </c>
      <c r="AE23" s="186">
        <v>0</v>
      </c>
      <c r="AF23" s="186"/>
      <c r="AG23" s="186">
        <v>0</v>
      </c>
      <c r="AH23" s="186">
        <v>8314.2870000000003</v>
      </c>
      <c r="AI23" s="186">
        <v>0</v>
      </c>
      <c r="AJ23" s="186">
        <v>0</v>
      </c>
      <c r="AK23" s="186">
        <v>0</v>
      </c>
      <c r="AL23" s="186">
        <f>SUM(AL24:AL26)</f>
        <v>43508.930708504937</v>
      </c>
      <c r="AM23" s="1" t="s">
        <v>459</v>
      </c>
      <c r="AP23" s="185" t="s">
        <v>464</v>
      </c>
      <c r="AQ23" s="185"/>
      <c r="AS23" s="191"/>
      <c r="AU23" s="191"/>
    </row>
    <row r="24">
      <c r="C24" s="188" t="s">
        <v>465</v>
      </c>
      <c r="D24" s="188" t="s">
        <v>442</v>
      </c>
      <c r="E24" s="189">
        <v>1876.1928459635001</v>
      </c>
      <c r="F24" s="189"/>
      <c r="G24" s="189">
        <v>5159.5303263996202</v>
      </c>
      <c r="H24" s="189">
        <v>268.02754942335702</v>
      </c>
      <c r="I24" s="189">
        <v>5695.5854252463396</v>
      </c>
      <c r="J24" s="189">
        <v>0</v>
      </c>
      <c r="K24" s="189">
        <v>0</v>
      </c>
      <c r="L24" s="189">
        <v>0</v>
      </c>
      <c r="M24" s="189"/>
      <c r="N24" s="189">
        <v>0</v>
      </c>
      <c r="O24" s="189">
        <v>402.04132413503601</v>
      </c>
      <c r="P24" s="189">
        <v>0</v>
      </c>
      <c r="Q24" s="189">
        <v>0</v>
      </c>
      <c r="R24" s="186">
        <v>13401.3774711679</v>
      </c>
      <c r="U24" s="187"/>
      <c r="V24" s="188" t="s">
        <v>465</v>
      </c>
      <c r="W24" s="188" t="s">
        <v>442</v>
      </c>
      <c r="X24" s="189">
        <v>1876.1928459635001</v>
      </c>
      <c r="Y24" s="189">
        <v>0</v>
      </c>
      <c r="Z24" s="189">
        <v>5159.5303263996202</v>
      </c>
      <c r="AA24" s="189">
        <v>268.02754942335702</v>
      </c>
      <c r="AB24" s="189">
        <v>2278.2341700985298</v>
      </c>
      <c r="AC24" s="189">
        <v>3417.3512551478002</v>
      </c>
      <c r="AD24" s="189">
        <v>0</v>
      </c>
      <c r="AE24" s="189">
        <v>0</v>
      </c>
      <c r="AF24" s="189"/>
      <c r="AG24" s="189">
        <v>0</v>
      </c>
      <c r="AH24" s="189">
        <v>1871.7831758505499</v>
      </c>
      <c r="AI24" s="189">
        <v>0</v>
      </c>
      <c r="AJ24" s="189">
        <v>0</v>
      </c>
      <c r="AK24" s="189">
        <v>0</v>
      </c>
      <c r="AL24" s="189">
        <f t="shared" ref="AL24:AL26" si="77">SUM(X24:AK24)</f>
        <v>14871.119322883358</v>
      </c>
      <c r="AM24" s="1" t="s">
        <v>459</v>
      </c>
      <c r="AP24" s="188" t="s">
        <v>465</v>
      </c>
      <c r="AQ24" s="188" t="s">
        <v>442</v>
      </c>
      <c r="AS24" s="191"/>
      <c r="AT24" s="134">
        <v>995.96699999999998</v>
      </c>
      <c r="AU24" s="191">
        <f t="shared" si="76"/>
        <v>0.066973237076204978</v>
      </c>
    </row>
    <row r="25">
      <c r="C25" s="188" t="s">
        <v>466</v>
      </c>
      <c r="D25" s="188" t="s">
        <v>442</v>
      </c>
      <c r="E25" s="189">
        <v>0</v>
      </c>
      <c r="F25" s="189"/>
      <c r="G25" s="189">
        <v>1376.6639035451999</v>
      </c>
      <c r="H25" s="189">
        <v>10248.4979486143</v>
      </c>
      <c r="I25" s="189">
        <v>0</v>
      </c>
      <c r="J25" s="189">
        <v>0</v>
      </c>
      <c r="K25" s="189">
        <v>0</v>
      </c>
      <c r="L25" s="189">
        <v>0</v>
      </c>
      <c r="M25" s="189"/>
      <c r="N25" s="189">
        <v>0</v>
      </c>
      <c r="O25" s="189">
        <v>3671.1037427872002</v>
      </c>
      <c r="P25" s="189">
        <v>0</v>
      </c>
      <c r="Q25" s="189">
        <v>0</v>
      </c>
      <c r="R25" s="186">
        <v>15296.265594946701</v>
      </c>
      <c r="U25" s="187"/>
      <c r="V25" s="188" t="s">
        <v>466</v>
      </c>
      <c r="W25" s="188" t="s">
        <v>442</v>
      </c>
      <c r="X25" s="189">
        <v>0</v>
      </c>
      <c r="Y25" s="189">
        <v>0</v>
      </c>
      <c r="Z25" s="189">
        <v>1376.6639035451999</v>
      </c>
      <c r="AA25" s="189">
        <v>10248.4979486143</v>
      </c>
      <c r="AB25" s="189">
        <v>0</v>
      </c>
      <c r="AC25" s="189">
        <v>0</v>
      </c>
      <c r="AD25" s="189">
        <v>0</v>
      </c>
      <c r="AE25" s="189">
        <v>0</v>
      </c>
      <c r="AF25" s="189"/>
      <c r="AG25" s="189">
        <v>0</v>
      </c>
      <c r="AH25" s="189">
        <v>3671.1037427872002</v>
      </c>
      <c r="AI25" s="189">
        <v>0</v>
      </c>
      <c r="AJ25" s="189">
        <v>0</v>
      </c>
      <c r="AK25" s="189">
        <v>0</v>
      </c>
      <c r="AL25" s="189">
        <f t="shared" si="77"/>
        <v>15296.265594946701</v>
      </c>
      <c r="AM25" s="1" t="s">
        <v>462</v>
      </c>
      <c r="AN25" s="191"/>
      <c r="AP25" s="188" t="s">
        <v>466</v>
      </c>
      <c r="AQ25" s="188" t="s">
        <v>442</v>
      </c>
      <c r="AR25" s="1">
        <v>65</v>
      </c>
      <c r="AS25" s="191">
        <f t="shared" si="75"/>
        <v>0.0042494032021432411</v>
      </c>
      <c r="AT25" s="134">
        <v>222.06700000000001</v>
      </c>
      <c r="AU25" s="191">
        <f t="shared" si="76"/>
        <v>0.014517726475236048</v>
      </c>
    </row>
    <row r="26">
      <c r="C26" s="188" t="s">
        <v>467</v>
      </c>
      <c r="D26" s="188" t="s">
        <v>442</v>
      </c>
      <c r="E26" s="189">
        <v>1062.7081540365</v>
      </c>
      <c r="F26" s="189"/>
      <c r="G26" s="189">
        <v>296.43077005517603</v>
      </c>
      <c r="H26" s="189">
        <v>8810.2085019623592</v>
      </c>
      <c r="I26" s="189">
        <v>286.88657475366301</v>
      </c>
      <c r="J26" s="189">
        <v>0</v>
      </c>
      <c r="K26" s="189">
        <v>0</v>
      </c>
      <c r="L26" s="189">
        <v>0</v>
      </c>
      <c r="M26" s="189"/>
      <c r="N26" s="189">
        <v>0</v>
      </c>
      <c r="O26" s="189">
        <v>4241.1419330777599</v>
      </c>
      <c r="P26" s="189">
        <v>0</v>
      </c>
      <c r="Q26" s="189">
        <v>0</v>
      </c>
      <c r="R26" s="186">
        <v>14697.3759338855</v>
      </c>
      <c r="U26" s="187"/>
      <c r="V26" s="188" t="s">
        <v>467</v>
      </c>
      <c r="W26" s="188" t="s">
        <v>442</v>
      </c>
      <c r="X26" s="189">
        <v>680.08115403650095</v>
      </c>
      <c r="Y26" s="189">
        <v>382.62700000000001</v>
      </c>
      <c r="Z26" s="189">
        <v>296.43077005517603</v>
      </c>
      <c r="AA26" s="189">
        <v>8810.2085019623592</v>
      </c>
      <c r="AB26" s="189">
        <v>400.79828325859</v>
      </c>
      <c r="AC26" s="189">
        <v>0</v>
      </c>
      <c r="AD26" s="189">
        <v>0</v>
      </c>
      <c r="AE26" s="189">
        <v>0</v>
      </c>
      <c r="AF26" s="189"/>
      <c r="AG26" s="189">
        <v>0</v>
      </c>
      <c r="AH26" s="189">
        <v>2771.4000813622501</v>
      </c>
      <c r="AI26" s="189">
        <v>0</v>
      </c>
      <c r="AJ26" s="189">
        <v>0</v>
      </c>
      <c r="AK26" s="189">
        <v>0</v>
      </c>
      <c r="AL26" s="189">
        <f t="shared" si="77"/>
        <v>13341.545790674874</v>
      </c>
      <c r="AM26" s="1" t="s">
        <v>453</v>
      </c>
      <c r="AN26" s="196"/>
      <c r="AP26" s="188" t="s">
        <v>467</v>
      </c>
      <c r="AQ26" s="188" t="s">
        <v>442</v>
      </c>
      <c r="AR26" s="1">
        <v>132</v>
      </c>
      <c r="AS26" s="191">
        <f t="shared" si="75"/>
        <v>0.0098939060039251164</v>
      </c>
      <c r="AT26" s="134">
        <v>-64.718999999999994</v>
      </c>
      <c r="AU26" s="191">
        <f t="shared" si="76"/>
        <v>-0.0048509371414244664</v>
      </c>
    </row>
    <row r="27">
      <c r="C27" s="185" t="s">
        <v>468</v>
      </c>
      <c r="D27" s="185"/>
      <c r="E27" s="186">
        <v>2301.5770000000002</v>
      </c>
      <c r="F27" s="186"/>
      <c r="G27" s="186">
        <v>2944.7159999999999</v>
      </c>
      <c r="H27" s="186">
        <v>26382.654999999999</v>
      </c>
      <c r="I27" s="186">
        <v>2189.9290000000001</v>
      </c>
      <c r="J27" s="186">
        <v>0</v>
      </c>
      <c r="K27" s="186">
        <v>0</v>
      </c>
      <c r="L27" s="186">
        <v>0</v>
      </c>
      <c r="M27" s="186"/>
      <c r="N27" s="186">
        <v>0</v>
      </c>
      <c r="O27" s="186">
        <v>23015.77</v>
      </c>
      <c r="P27" s="186">
        <v>0</v>
      </c>
      <c r="Q27" s="186">
        <v>0</v>
      </c>
      <c r="R27" s="186">
        <v>56834.646999999997</v>
      </c>
      <c r="U27" s="187"/>
      <c r="V27" s="185" t="s">
        <v>468</v>
      </c>
      <c r="W27" s="185"/>
      <c r="X27" s="186">
        <v>2130.616</v>
      </c>
      <c r="Y27" s="186">
        <v>170.96100000000001</v>
      </c>
      <c r="Z27" s="186">
        <v>2944.7159999999999</v>
      </c>
      <c r="AA27" s="186">
        <v>26382.654999999999</v>
      </c>
      <c r="AB27" s="186">
        <v>2189.9290000000001</v>
      </c>
      <c r="AC27" s="186">
        <v>0</v>
      </c>
      <c r="AD27" s="186">
        <v>0</v>
      </c>
      <c r="AE27" s="186">
        <v>0</v>
      </c>
      <c r="AF27" s="186"/>
      <c r="AG27" s="186">
        <v>0</v>
      </c>
      <c r="AH27" s="186">
        <v>23015.77</v>
      </c>
      <c r="AI27" s="186">
        <v>0</v>
      </c>
      <c r="AJ27" s="186">
        <v>2752.0909999999999</v>
      </c>
      <c r="AK27" s="186">
        <v>0</v>
      </c>
      <c r="AL27" s="186">
        <v>59586.737999999998</v>
      </c>
      <c r="AM27" s="1" t="s">
        <v>459</v>
      </c>
      <c r="AP27" s="185" t="s">
        <v>468</v>
      </c>
      <c r="AQ27" s="185"/>
      <c r="AS27" s="191"/>
      <c r="AU27" s="191"/>
    </row>
    <row r="28">
      <c r="C28" s="188" t="s">
        <v>469</v>
      </c>
      <c r="D28" s="188" t="s">
        <v>442</v>
      </c>
      <c r="E28" s="189">
        <v>1906.6484837999999</v>
      </c>
      <c r="F28" s="189"/>
      <c r="G28" s="189">
        <v>922.57184700000005</v>
      </c>
      <c r="H28" s="189">
        <v>6868.0348610000001</v>
      </c>
      <c r="I28" s="189">
        <v>41.003193199999998</v>
      </c>
      <c r="J28" s="189">
        <v>0</v>
      </c>
      <c r="K28" s="189">
        <v>0</v>
      </c>
      <c r="L28" s="189">
        <v>0</v>
      </c>
      <c r="M28" s="189"/>
      <c r="N28" s="189">
        <v>0</v>
      </c>
      <c r="O28" s="189">
        <v>512.53991499999995</v>
      </c>
      <c r="P28" s="189">
        <v>0</v>
      </c>
      <c r="Q28" s="189">
        <v>0</v>
      </c>
      <c r="R28" s="186">
        <v>10250.7983</v>
      </c>
      <c r="U28" s="187"/>
      <c r="V28" s="188" t="s">
        <v>469</v>
      </c>
      <c r="W28" s="188" t="s">
        <v>442</v>
      </c>
      <c r="X28" s="189">
        <v>1906.6484837999999</v>
      </c>
      <c r="Y28" s="189">
        <v>0</v>
      </c>
      <c r="Z28" s="189">
        <v>922.57184700000005</v>
      </c>
      <c r="AA28" s="189">
        <v>6868.0348610000001</v>
      </c>
      <c r="AB28" s="189">
        <v>41.003193199999998</v>
      </c>
      <c r="AC28" s="189">
        <v>0</v>
      </c>
      <c r="AD28" s="189">
        <v>0</v>
      </c>
      <c r="AE28" s="189">
        <v>0</v>
      </c>
      <c r="AF28" s="189"/>
      <c r="AG28" s="189">
        <v>0</v>
      </c>
      <c r="AH28" s="189">
        <v>512.53991499999995</v>
      </c>
      <c r="AI28" s="189">
        <v>0</v>
      </c>
      <c r="AJ28" s="189">
        <v>0</v>
      </c>
      <c r="AK28" s="189">
        <v>0</v>
      </c>
      <c r="AL28" s="189">
        <v>10250.7983</v>
      </c>
      <c r="AM28" s="1" t="s">
        <v>462</v>
      </c>
      <c r="AN28" s="191"/>
      <c r="AP28" s="188" t="s">
        <v>469</v>
      </c>
      <c r="AQ28" s="188" t="s">
        <v>442</v>
      </c>
      <c r="AR28" s="1">
        <v>267.80000000000001</v>
      </c>
      <c r="AS28" s="191">
        <f t="shared" si="75"/>
        <v>0.026124794592826982</v>
      </c>
      <c r="AT28" s="134">
        <v>356.88200000000001</v>
      </c>
      <c r="AU28" s="191">
        <f t="shared" si="76"/>
        <v>0.034815044599989839</v>
      </c>
    </row>
    <row r="29">
      <c r="C29" s="188" t="s">
        <v>470</v>
      </c>
      <c r="D29" s="188" t="s">
        <v>442</v>
      </c>
      <c r="E29" s="189">
        <v>394.92851619999999</v>
      </c>
      <c r="F29" s="189"/>
      <c r="G29" s="189">
        <v>2022.144153</v>
      </c>
      <c r="H29" s="189">
        <v>19514.620138999999</v>
      </c>
      <c r="I29" s="189">
        <v>2148.9258067999999</v>
      </c>
      <c r="J29" s="189">
        <v>0</v>
      </c>
      <c r="K29" s="189">
        <v>0</v>
      </c>
      <c r="L29" s="189">
        <v>0</v>
      </c>
      <c r="M29" s="189"/>
      <c r="N29" s="189">
        <v>0</v>
      </c>
      <c r="O29" s="189">
        <v>22503.230084999999</v>
      </c>
      <c r="P29" s="189">
        <v>0</v>
      </c>
      <c r="Q29" s="189">
        <v>0</v>
      </c>
      <c r="R29" s="186">
        <v>46583.848700000002</v>
      </c>
      <c r="U29" s="187"/>
      <c r="V29" s="188" t="s">
        <v>470</v>
      </c>
      <c r="W29" s="188" t="s">
        <v>442</v>
      </c>
      <c r="X29" s="189">
        <v>223.96751620000001</v>
      </c>
      <c r="Y29" s="189">
        <v>170.96100000000001</v>
      </c>
      <c r="Z29" s="189">
        <v>2022.144153</v>
      </c>
      <c r="AA29" s="189">
        <v>19514.620138999999</v>
      </c>
      <c r="AB29" s="189">
        <v>2148.9258067999999</v>
      </c>
      <c r="AC29" s="189">
        <v>0</v>
      </c>
      <c r="AD29" s="189">
        <v>0</v>
      </c>
      <c r="AE29" s="189">
        <v>0</v>
      </c>
      <c r="AF29" s="189"/>
      <c r="AG29" s="189">
        <v>0</v>
      </c>
      <c r="AH29" s="189">
        <v>22503.230084999999</v>
      </c>
      <c r="AI29" s="189">
        <v>0</v>
      </c>
      <c r="AJ29" s="189">
        <v>2752.0909999999999</v>
      </c>
      <c r="AK29" s="189">
        <v>0</v>
      </c>
      <c r="AL29" s="189">
        <v>49335.939700000003</v>
      </c>
      <c r="AM29" s="1" t="s">
        <v>453</v>
      </c>
      <c r="AN29" s="191"/>
      <c r="AP29" s="188" t="s">
        <v>470</v>
      </c>
      <c r="AQ29" s="188" t="s">
        <v>442</v>
      </c>
      <c r="AR29" s="1">
        <v>49.100000000000001</v>
      </c>
      <c r="AS29" s="191">
        <f t="shared" si="75"/>
        <v>0.00099521769117129019</v>
      </c>
      <c r="AT29" s="134">
        <v>393.11799999999999</v>
      </c>
      <c r="AU29" s="191">
        <f t="shared" si="76"/>
        <v>0.0079681871347836112</v>
      </c>
    </row>
    <row r="30">
      <c r="C30" s="185" t="s">
        <v>471</v>
      </c>
      <c r="D30" s="185"/>
      <c r="E30" s="186">
        <v>319.82499999999999</v>
      </c>
      <c r="F30" s="186"/>
      <c r="G30" s="186">
        <v>1482.825</v>
      </c>
      <c r="H30" s="186">
        <v>11980.063</v>
      </c>
      <c r="I30" s="186">
        <v>111.648</v>
      </c>
      <c r="J30" s="186">
        <v>0</v>
      </c>
      <c r="K30" s="186">
        <v>0</v>
      </c>
      <c r="L30" s="186">
        <v>0</v>
      </c>
      <c r="M30" s="186"/>
      <c r="N30" s="186">
        <v>0</v>
      </c>
      <c r="O30" s="186">
        <v>18782.450000000001</v>
      </c>
      <c r="P30" s="186">
        <v>36.052999999999997</v>
      </c>
      <c r="Q30" s="186">
        <v>0</v>
      </c>
      <c r="R30" s="186">
        <v>32712.864000000001</v>
      </c>
      <c r="U30" s="187"/>
      <c r="V30" s="185" t="s">
        <v>471</v>
      </c>
      <c r="W30" s="185"/>
      <c r="X30" s="186">
        <v>15.119</v>
      </c>
      <c r="Y30" s="186">
        <v>304.70600000000002</v>
      </c>
      <c r="Z30" s="186">
        <v>1482.825</v>
      </c>
      <c r="AA30" s="186">
        <v>11980.063</v>
      </c>
      <c r="AB30" s="186">
        <v>111.648</v>
      </c>
      <c r="AC30" s="186">
        <v>0</v>
      </c>
      <c r="AD30" s="186">
        <v>0</v>
      </c>
      <c r="AE30" s="186">
        <v>0</v>
      </c>
      <c r="AF30" s="186"/>
      <c r="AG30" s="186">
        <v>0</v>
      </c>
      <c r="AH30" s="186">
        <v>18782.450000000001</v>
      </c>
      <c r="AI30" s="186">
        <v>0</v>
      </c>
      <c r="AJ30" s="186">
        <v>36.052999999999997</v>
      </c>
      <c r="AK30" s="186">
        <v>0</v>
      </c>
      <c r="AL30" s="186">
        <v>32712.864000000001</v>
      </c>
      <c r="AM30" s="1" t="s">
        <v>459</v>
      </c>
      <c r="AN30" s="191"/>
      <c r="AP30" s="185" t="s">
        <v>471</v>
      </c>
      <c r="AQ30" s="185"/>
      <c r="AR30" s="1">
        <v>22.699999999999999</v>
      </c>
      <c r="AS30" s="191">
        <f t="shared" si="75"/>
        <v>0.0006939166194681089</v>
      </c>
      <c r="AT30" s="134">
        <v>110.557</v>
      </c>
      <c r="AU30" s="191">
        <f t="shared" si="76"/>
        <v>0.0033796184889222781</v>
      </c>
    </row>
    <row r="31">
      <c r="C31" s="185" t="s">
        <v>29</v>
      </c>
      <c r="D31" s="185"/>
      <c r="E31" s="186">
        <v>0</v>
      </c>
      <c r="F31" s="186"/>
      <c r="G31" s="186">
        <v>10781.01</v>
      </c>
      <c r="H31" s="186">
        <v>2224.819</v>
      </c>
      <c r="I31" s="186">
        <v>666.399</v>
      </c>
      <c r="J31" s="186">
        <v>0</v>
      </c>
      <c r="K31" s="186">
        <v>0</v>
      </c>
      <c r="L31" s="186">
        <v>0</v>
      </c>
      <c r="M31" s="186"/>
      <c r="N31" s="186">
        <v>0</v>
      </c>
      <c r="O31" s="186">
        <v>4133.3019999999997</v>
      </c>
      <c r="P31" s="186">
        <v>0</v>
      </c>
      <c r="Q31" s="186">
        <v>0</v>
      </c>
      <c r="R31" s="186">
        <v>17805.529999999999</v>
      </c>
      <c r="U31" s="187"/>
      <c r="V31" s="185" t="s">
        <v>29</v>
      </c>
      <c r="W31" s="185"/>
      <c r="X31" s="186">
        <v>0</v>
      </c>
      <c r="Y31" s="186">
        <v>0</v>
      </c>
      <c r="Z31" s="186">
        <v>10781.01</v>
      </c>
      <c r="AA31" s="186">
        <v>2224.819</v>
      </c>
      <c r="AB31" s="186">
        <v>666.399</v>
      </c>
      <c r="AC31" s="186">
        <v>0</v>
      </c>
      <c r="AD31" s="186">
        <v>0</v>
      </c>
      <c r="AE31" s="186">
        <v>0</v>
      </c>
      <c r="AF31" s="186"/>
      <c r="AG31" s="186">
        <v>0</v>
      </c>
      <c r="AH31" s="186">
        <v>4133.3019999999997</v>
      </c>
      <c r="AI31" s="186">
        <v>0</v>
      </c>
      <c r="AJ31" s="186">
        <v>0</v>
      </c>
      <c r="AK31" s="186">
        <v>0</v>
      </c>
      <c r="AL31" s="186">
        <v>17805.529999999999</v>
      </c>
      <c r="AM31" s="1" t="s">
        <v>459</v>
      </c>
      <c r="AP31" s="185" t="s">
        <v>29</v>
      </c>
      <c r="AQ31" s="185"/>
      <c r="AS31" s="191"/>
      <c r="AU31" s="191"/>
    </row>
    <row r="32">
      <c r="C32" s="185" t="s">
        <v>472</v>
      </c>
      <c r="D32" s="185"/>
      <c r="E32" s="186">
        <v>111.648</v>
      </c>
      <c r="F32" s="186"/>
      <c r="G32" s="186">
        <v>3732.067</v>
      </c>
      <c r="H32" s="186">
        <v>16468.614979999998</v>
      </c>
      <c r="I32" s="186">
        <v>7392.0280000000002</v>
      </c>
      <c r="J32" s="186">
        <v>0</v>
      </c>
      <c r="K32" s="186">
        <v>0</v>
      </c>
      <c r="L32" s="186">
        <v>0</v>
      </c>
      <c r="M32" s="186"/>
      <c r="N32" s="186">
        <v>0</v>
      </c>
      <c r="O32" s="186">
        <v>18501.004000000001</v>
      </c>
      <c r="P32" s="186">
        <v>532.02598</v>
      </c>
      <c r="Q32" s="186">
        <v>0</v>
      </c>
      <c r="R32" s="186">
        <v>46737.38796</v>
      </c>
      <c r="U32" s="187"/>
      <c r="V32" s="185" t="s">
        <v>472</v>
      </c>
      <c r="W32" s="185"/>
      <c r="X32" s="186">
        <v>111.648</v>
      </c>
      <c r="Y32" s="186">
        <v>0</v>
      </c>
      <c r="Z32" s="186">
        <v>3732.067</v>
      </c>
      <c r="AA32" s="186">
        <v>16468.614979999998</v>
      </c>
      <c r="AB32" s="186">
        <v>7392.0280000000002</v>
      </c>
      <c r="AC32" s="186">
        <v>0</v>
      </c>
      <c r="AD32" s="186">
        <v>0</v>
      </c>
      <c r="AE32" s="186">
        <v>0</v>
      </c>
      <c r="AF32" s="186"/>
      <c r="AG32" s="186">
        <v>0</v>
      </c>
      <c r="AH32" s="186">
        <v>18501.004000000001</v>
      </c>
      <c r="AI32" s="186">
        <v>0</v>
      </c>
      <c r="AJ32" s="186">
        <v>3599.4669800000001</v>
      </c>
      <c r="AK32" s="186">
        <v>0</v>
      </c>
      <c r="AL32" s="186">
        <v>49804.828959999999</v>
      </c>
      <c r="AM32" s="1" t="s">
        <v>459</v>
      </c>
      <c r="AP32" s="185" t="s">
        <v>472</v>
      </c>
      <c r="AQ32" s="185"/>
      <c r="AS32" s="191"/>
      <c r="AU32" s="191"/>
    </row>
    <row r="33">
      <c r="C33" s="188" t="s">
        <v>473</v>
      </c>
      <c r="D33" s="188" t="s">
        <v>442</v>
      </c>
      <c r="E33" s="189">
        <v>111.648</v>
      </c>
      <c r="F33" s="189"/>
      <c r="G33" s="189">
        <v>462.87400000000002</v>
      </c>
      <c r="H33" s="189">
        <v>8878.3420000000006</v>
      </c>
      <c r="I33" s="189">
        <v>6857.0479999999998</v>
      </c>
      <c r="J33" s="189">
        <v>0</v>
      </c>
      <c r="K33" s="189">
        <v>0</v>
      </c>
      <c r="L33" s="189">
        <v>0</v>
      </c>
      <c r="M33" s="189"/>
      <c r="N33" s="189">
        <v>0</v>
      </c>
      <c r="O33" s="189">
        <v>7509.491</v>
      </c>
      <c r="P33" s="189">
        <v>0</v>
      </c>
      <c r="Q33" s="189">
        <v>0</v>
      </c>
      <c r="R33" s="186">
        <v>23819.402999999998</v>
      </c>
      <c r="U33" s="187"/>
      <c r="V33" s="188" t="s">
        <v>473</v>
      </c>
      <c r="W33" s="188" t="s">
        <v>442</v>
      </c>
      <c r="X33" s="189">
        <v>111.648</v>
      </c>
      <c r="Y33" s="189">
        <v>0</v>
      </c>
      <c r="Z33" s="189">
        <v>462.87400000000002</v>
      </c>
      <c r="AA33" s="189">
        <v>8878.3420000000006</v>
      </c>
      <c r="AB33" s="189">
        <v>6857.0479999999998</v>
      </c>
      <c r="AC33" s="189">
        <v>0</v>
      </c>
      <c r="AD33" s="189">
        <v>0</v>
      </c>
      <c r="AE33" s="189">
        <v>0</v>
      </c>
      <c r="AF33" s="189"/>
      <c r="AG33" s="189">
        <v>0</v>
      </c>
      <c r="AH33" s="189">
        <v>7509.491</v>
      </c>
      <c r="AI33" s="189">
        <v>0</v>
      </c>
      <c r="AJ33" s="189">
        <v>3067.4409999999998</v>
      </c>
      <c r="AK33" s="189">
        <v>0</v>
      </c>
      <c r="AL33" s="189">
        <v>26886.844000000001</v>
      </c>
      <c r="AM33" s="1" t="s">
        <v>459</v>
      </c>
      <c r="AN33" s="191"/>
      <c r="AP33" s="188" t="s">
        <v>473</v>
      </c>
      <c r="AQ33" s="188" t="s">
        <v>442</v>
      </c>
      <c r="AR33" s="1">
        <v>108.59999999999999</v>
      </c>
      <c r="AS33" s="191">
        <f t="shared" si="75"/>
        <v>0.0040391501509065173</v>
      </c>
      <c r="AT33" s="134">
        <v>2412.0079999999998</v>
      </c>
      <c r="AU33" s="191">
        <f t="shared" si="76"/>
        <v>0.089709599237456042</v>
      </c>
    </row>
    <row r="34">
      <c r="C34" s="188" t="s">
        <v>474</v>
      </c>
      <c r="D34" s="188" t="s">
        <v>442</v>
      </c>
      <c r="E34" s="189">
        <v>0</v>
      </c>
      <c r="F34" s="189"/>
      <c r="G34" s="189">
        <v>3269.1930000000002</v>
      </c>
      <c r="H34" s="189">
        <v>7590.2729799999997</v>
      </c>
      <c r="I34" s="189">
        <v>534.98000000000002</v>
      </c>
      <c r="J34" s="189">
        <v>0</v>
      </c>
      <c r="K34" s="189">
        <v>0</v>
      </c>
      <c r="L34" s="189">
        <v>0</v>
      </c>
      <c r="M34" s="189"/>
      <c r="N34" s="189">
        <v>0</v>
      </c>
      <c r="O34" s="189">
        <v>10991.513000000001</v>
      </c>
      <c r="P34" s="189">
        <v>532.02598</v>
      </c>
      <c r="Q34" s="189">
        <v>0</v>
      </c>
      <c r="R34" s="186">
        <v>22917.984960000002</v>
      </c>
      <c r="U34" s="187"/>
      <c r="V34" s="188" t="s">
        <v>474</v>
      </c>
      <c r="W34" s="188" t="s">
        <v>442</v>
      </c>
      <c r="X34" s="189">
        <v>0</v>
      </c>
      <c r="Y34" s="189">
        <v>0</v>
      </c>
      <c r="Z34" s="189">
        <v>3269.1930000000002</v>
      </c>
      <c r="AA34" s="189">
        <v>7590.2729799999997</v>
      </c>
      <c r="AB34" s="189">
        <v>534.98000000000002</v>
      </c>
      <c r="AC34" s="189">
        <v>0</v>
      </c>
      <c r="AD34" s="189">
        <v>0</v>
      </c>
      <c r="AE34" s="189">
        <v>0</v>
      </c>
      <c r="AF34" s="189"/>
      <c r="AG34" s="189">
        <v>0</v>
      </c>
      <c r="AH34" s="189">
        <v>10991.513000000001</v>
      </c>
      <c r="AI34" s="189">
        <v>0</v>
      </c>
      <c r="AJ34" s="189">
        <v>532.02598</v>
      </c>
      <c r="AK34" s="189">
        <v>0</v>
      </c>
      <c r="AL34" s="189">
        <v>22917.984960000002</v>
      </c>
      <c r="AM34" s="1" t="s">
        <v>453</v>
      </c>
      <c r="AP34" s="188" t="s">
        <v>474</v>
      </c>
      <c r="AQ34" s="188" t="s">
        <v>442</v>
      </c>
      <c r="AR34" s="1">
        <v>22.5</v>
      </c>
      <c r="AS34" s="191">
        <f t="shared" si="75"/>
        <v>0.00098176170545841916</v>
      </c>
      <c r="AT34" s="134">
        <v>143.74000000000001</v>
      </c>
      <c r="AU34" s="191">
        <f t="shared" si="76"/>
        <v>0.006271930113004141</v>
      </c>
    </row>
    <row r="35">
      <c r="C35" s="185" t="s">
        <v>475</v>
      </c>
      <c r="D35" s="185"/>
      <c r="E35" s="186">
        <v>33590.88248</v>
      </c>
      <c r="F35" s="186"/>
      <c r="G35" s="186">
        <v>31499.494470000001</v>
      </c>
      <c r="H35" s="186">
        <v>129620.93222</v>
      </c>
      <c r="I35" s="186">
        <v>17429.927520000001</v>
      </c>
      <c r="J35" s="186">
        <v>0</v>
      </c>
      <c r="K35" s="186">
        <v>0</v>
      </c>
      <c r="L35" s="186">
        <v>0</v>
      </c>
      <c r="M35" s="186"/>
      <c r="N35" s="186">
        <v>0</v>
      </c>
      <c r="O35" s="186">
        <v>113234.78556999999</v>
      </c>
      <c r="P35" s="186">
        <v>12048.19154</v>
      </c>
      <c r="Q35" s="186">
        <v>0</v>
      </c>
      <c r="R35" s="186">
        <v>337424.21380000003</v>
      </c>
      <c r="U35" s="187"/>
      <c r="V35" s="185" t="s">
        <v>476</v>
      </c>
      <c r="W35" s="185"/>
      <c r="X35" s="186">
        <v>9655.8590000000004</v>
      </c>
      <c r="Y35" s="186">
        <v>1558.71075</v>
      </c>
      <c r="Z35" s="186">
        <v>31499.494470000001</v>
      </c>
      <c r="AA35" s="186">
        <v>121340.75601</v>
      </c>
      <c r="AB35" s="186">
        <v>14126.4879733571</v>
      </c>
      <c r="AC35" s="186">
        <v>3417.3512551478002</v>
      </c>
      <c r="AD35" s="186">
        <v>0</v>
      </c>
      <c r="AE35" s="186">
        <v>0</v>
      </c>
      <c r="AF35" s="186"/>
      <c r="AG35" s="186">
        <v>0</v>
      </c>
      <c r="AH35" s="186">
        <v>113234.78556999999</v>
      </c>
      <c r="AI35" s="186">
        <v>0</v>
      </c>
      <c r="AJ35" s="186">
        <v>17867.723539999999</v>
      </c>
      <c r="AK35" s="186">
        <v>0</v>
      </c>
      <c r="AL35" s="186">
        <v>312587.25686000002</v>
      </c>
      <c r="AP35" s="185" t="s">
        <v>476</v>
      </c>
      <c r="AQ35" s="185"/>
      <c r="AS35" s="191"/>
    </row>
    <row r="36">
      <c r="E36" s="175" t="s">
        <v>477</v>
      </c>
      <c r="P36" s="1" t="s">
        <v>478</v>
      </c>
      <c r="X36" s="187">
        <f t="shared" ref="X36:AL36" si="78">SUM(X13:X18,X20:X22,X24:X26,X28:X29,X30:X31,X33:X34)</f>
        <v>9655.8590000000022</v>
      </c>
      <c r="Y36" s="187">
        <f t="shared" si="78"/>
        <v>1558.7107500000002</v>
      </c>
      <c r="Z36" s="187">
        <f t="shared" si="78"/>
        <v>31499.494469999987</v>
      </c>
      <c r="AA36" s="187">
        <f t="shared" si="78"/>
        <v>121340.75601000001</v>
      </c>
      <c r="AB36" s="187">
        <f t="shared" si="78"/>
        <v>14126.487973357125</v>
      </c>
      <c r="AC36" s="187">
        <f t="shared" si="78"/>
        <v>3417.3512551478002</v>
      </c>
      <c r="AD36" s="187">
        <f t="shared" si="78"/>
        <v>0</v>
      </c>
      <c r="AE36" s="187">
        <f t="shared" si="78"/>
        <v>0</v>
      </c>
      <c r="AF36" s="187">
        <f t="shared" si="78"/>
        <v>0</v>
      </c>
      <c r="AG36" s="187">
        <f t="shared" si="78"/>
        <v>0</v>
      </c>
      <c r="AH36" s="187">
        <f t="shared" si="78"/>
        <v>113234.78556999998</v>
      </c>
      <c r="AI36" s="187">
        <f t="shared" si="78"/>
        <v>0</v>
      </c>
      <c r="AJ36" s="187">
        <f t="shared" si="78"/>
        <v>17867.723539999999</v>
      </c>
      <c r="AK36" s="187">
        <f t="shared" si="78"/>
        <v>0</v>
      </c>
      <c r="AL36" s="187">
        <f t="shared" si="78"/>
        <v>312701.16856850497</v>
      </c>
    </row>
    <row r="39">
      <c r="C39" s="176" t="s">
        <v>3</v>
      </c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</row>
    <row r="41">
      <c r="C41" s="177" t="s">
        <v>421</v>
      </c>
      <c r="U41" s="177" t="s">
        <v>422</v>
      </c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</row>
    <row r="44" ht="69.599999999999994">
      <c r="C44" s="197" t="s">
        <v>479</v>
      </c>
      <c r="D44" s="197"/>
      <c r="E44" s="198" t="s">
        <v>424</v>
      </c>
      <c r="F44" s="198" t="s">
        <v>440</v>
      </c>
      <c r="G44" s="198" t="s">
        <v>426</v>
      </c>
      <c r="H44" s="198" t="s">
        <v>427</v>
      </c>
      <c r="I44" s="199" t="s">
        <v>436</v>
      </c>
      <c r="J44" s="199" t="s">
        <v>437</v>
      </c>
      <c r="K44" s="199" t="s">
        <v>438</v>
      </c>
      <c r="L44" s="199" t="s">
        <v>439</v>
      </c>
      <c r="M44" s="199" t="s">
        <v>429</v>
      </c>
      <c r="N44" s="199" t="s">
        <v>430</v>
      </c>
      <c r="O44" s="198" t="s">
        <v>480</v>
      </c>
      <c r="P44" s="198" t="s">
        <v>441</v>
      </c>
      <c r="Q44" s="198" t="s">
        <v>432</v>
      </c>
      <c r="R44" s="198" t="s">
        <v>433</v>
      </c>
      <c r="S44" s="198" t="s">
        <v>49</v>
      </c>
      <c r="V44" s="200" t="s">
        <v>479</v>
      </c>
      <c r="W44" s="200"/>
      <c r="X44" s="200"/>
      <c r="Y44" s="201" t="s">
        <v>424</v>
      </c>
      <c r="Z44" s="201" t="s">
        <v>440</v>
      </c>
      <c r="AA44" s="201" t="s">
        <v>426</v>
      </c>
      <c r="AB44" s="201" t="s">
        <v>481</v>
      </c>
      <c r="AC44" s="201" t="s">
        <v>436</v>
      </c>
      <c r="AD44" s="201" t="s">
        <v>437</v>
      </c>
      <c r="AE44" s="201" t="s">
        <v>438</v>
      </c>
      <c r="AF44" s="201" t="s">
        <v>439</v>
      </c>
      <c r="AG44" s="201" t="s">
        <v>429</v>
      </c>
      <c r="AH44" s="201" t="s">
        <v>430</v>
      </c>
      <c r="AI44" s="201" t="s">
        <v>480</v>
      </c>
      <c r="AJ44" s="201" t="s">
        <v>441</v>
      </c>
      <c r="AK44" s="201" t="s">
        <v>432</v>
      </c>
      <c r="AL44" s="201" t="s">
        <v>433</v>
      </c>
      <c r="AM44" s="201" t="s">
        <v>49</v>
      </c>
    </row>
    <row r="45">
      <c r="B45" s="202"/>
      <c r="C45" s="202" t="s">
        <v>22</v>
      </c>
      <c r="D45" s="202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4"/>
      <c r="U45" s="202"/>
      <c r="V45" s="205" t="s">
        <v>22</v>
      </c>
      <c r="W45" s="205"/>
      <c r="X45" s="205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6"/>
      <c r="AJ45" s="206"/>
      <c r="AK45" s="203"/>
      <c r="AL45" s="203"/>
      <c r="AM45" s="204"/>
      <c r="AO45" s="58"/>
    </row>
    <row r="46">
      <c r="B46" s="207">
        <v>2019</v>
      </c>
      <c r="C46" s="207" t="s">
        <v>446</v>
      </c>
      <c r="D46" s="208" t="s">
        <v>482</v>
      </c>
      <c r="E46" s="209">
        <v>0.480388367208748</v>
      </c>
      <c r="F46" s="209"/>
      <c r="G46" s="209">
        <v>0.0039953763037986296</v>
      </c>
      <c r="H46" s="209">
        <v>0.28681843011004698</v>
      </c>
      <c r="I46" s="209">
        <v>0</v>
      </c>
      <c r="J46" s="209">
        <v>0</v>
      </c>
      <c r="K46" s="209">
        <v>0</v>
      </c>
      <c r="L46" s="209">
        <v>0</v>
      </c>
      <c r="M46" s="209">
        <v>0</v>
      </c>
      <c r="N46" s="209">
        <v>0</v>
      </c>
      <c r="O46" s="209">
        <v>0.22597022364698899</v>
      </c>
      <c r="P46" s="209">
        <v>0</v>
      </c>
      <c r="Q46" s="209">
        <v>0.0021191701877419102</v>
      </c>
      <c r="R46" s="209">
        <v>0</v>
      </c>
      <c r="S46" s="210">
        <f t="shared" ref="S46:S98" si="79">SUM(E46:R46)</f>
        <v>0.99929156745732439</v>
      </c>
      <c r="U46" s="207">
        <v>2019</v>
      </c>
      <c r="V46" s="207" t="s">
        <v>446</v>
      </c>
      <c r="W46" s="207">
        <v>2019</v>
      </c>
      <c r="X46" s="208" t="s">
        <v>482</v>
      </c>
      <c r="Y46" s="211">
        <f t="shared" ref="Y46:AH46" si="80">INDEX(X$11:X$35,MATCH($V46,$V$11:$V$35,0))/INDEX($AL$11:$AL$35,MATCH($V46,$V$11:$V$35,0))</f>
        <v>0.40361843755597487</v>
      </c>
      <c r="Z46" s="211">
        <f t="shared" si="80"/>
        <v>0.59638156244402507</v>
      </c>
      <c r="AA46" s="211">
        <f t="shared" si="80"/>
        <v>0</v>
      </c>
      <c r="AB46" s="211">
        <f t="shared" si="80"/>
        <v>0</v>
      </c>
      <c r="AC46" s="211">
        <f t="shared" si="80"/>
        <v>0</v>
      </c>
      <c r="AD46" s="211">
        <f t="shared" si="80"/>
        <v>0</v>
      </c>
      <c r="AE46" s="211">
        <f t="shared" si="80"/>
        <v>0</v>
      </c>
      <c r="AF46" s="211">
        <f t="shared" si="80"/>
        <v>0</v>
      </c>
      <c r="AG46" s="211">
        <f t="shared" si="80"/>
        <v>0</v>
      </c>
      <c r="AH46" s="211">
        <f t="shared" si="80"/>
        <v>0</v>
      </c>
      <c r="AI46" s="211">
        <v>0</v>
      </c>
      <c r="AJ46" s="211">
        <f>INDEX(AI$11:AI$35,MATCH($V46,$V$11:$V$35,0))/INDEX($AL$11:$AL$35,MATCH($V46,$V$11:$V$35,0))</f>
        <v>0</v>
      </c>
      <c r="AK46" s="211">
        <f>INDEX(AJ$11:AJ$35,MATCH($V46,$V$11:$V$35,0))/INDEX($AL$11:$AL$35,MATCH($V46,$V$11:$V$35,0))</f>
        <v>0</v>
      </c>
      <c r="AL46" s="211">
        <f>INDEX(AK$11:AK$35,MATCH($V46,$V$11:$V$35,0))/INDEX($AL$11:$AL$35,MATCH($V46,$V$11:$V$35,0))</f>
        <v>0</v>
      </c>
      <c r="AM46" s="204">
        <f t="shared" ref="AM46:AM47" si="81">INDEX(AL$11:AL$35,MATCH($V46,$V$11:$V$35,0))/INDEX($AL$11:$AL$35,MATCH($V46,$V$11:$V$35,0))</f>
        <v>1</v>
      </c>
      <c r="AO46" s="58" t="s">
        <v>483</v>
      </c>
    </row>
    <row r="47">
      <c r="B47" s="207">
        <v>2025</v>
      </c>
      <c r="C47" s="207" t="s">
        <v>446</v>
      </c>
      <c r="D47" s="208" t="s">
        <v>482</v>
      </c>
      <c r="E47" s="209">
        <v>0.48043184302947001</v>
      </c>
      <c r="F47" s="209">
        <v>0</v>
      </c>
      <c r="G47" s="209">
        <v>0.0044107272440989404</v>
      </c>
      <c r="H47" s="209">
        <v>0.28564589346437302</v>
      </c>
      <c r="I47" s="209">
        <v>0</v>
      </c>
      <c r="J47" s="209">
        <v>0</v>
      </c>
      <c r="K47" s="209">
        <v>0</v>
      </c>
      <c r="L47" s="209">
        <v>0</v>
      </c>
      <c r="M47" s="209">
        <v>0</v>
      </c>
      <c r="N47" s="209">
        <v>0</v>
      </c>
      <c r="O47" s="209">
        <v>0.226845961035822</v>
      </c>
      <c r="P47" s="209">
        <v>0</v>
      </c>
      <c r="Q47" s="209">
        <v>0.0026956628466980599</v>
      </c>
      <c r="R47" s="209">
        <v>0</v>
      </c>
      <c r="S47" s="210">
        <f t="shared" si="79"/>
        <v>1.000030087620462</v>
      </c>
      <c r="U47" s="207">
        <v>2025</v>
      </c>
      <c r="V47" s="207" t="s">
        <v>446</v>
      </c>
      <c r="W47" s="207">
        <v>2025</v>
      </c>
      <c r="X47" s="208" t="s">
        <v>482</v>
      </c>
      <c r="Y47" s="211">
        <f t="shared" ref="Y47:Y48" si="82">Y46</f>
        <v>0.40361843755597487</v>
      </c>
      <c r="Z47" s="211">
        <f t="shared" ref="Z47:Z48" si="83">Z46</f>
        <v>0.59638156244402507</v>
      </c>
      <c r="AA47" s="211">
        <f t="shared" ref="AA47:AA48" si="84">+G47</f>
        <v>0.0044107272440989404</v>
      </c>
      <c r="AB47" s="211">
        <f t="shared" ref="AB47:AB48" si="85">AB46</f>
        <v>0</v>
      </c>
      <c r="AC47" s="211">
        <f t="shared" ref="AC47:AH48" si="86">+I47</f>
        <v>0</v>
      </c>
      <c r="AD47" s="211">
        <f t="shared" si="86"/>
        <v>0</v>
      </c>
      <c r="AE47" s="211">
        <f t="shared" si="86"/>
        <v>0</v>
      </c>
      <c r="AF47" s="211">
        <f t="shared" si="86"/>
        <v>0</v>
      </c>
      <c r="AG47" s="211">
        <f t="shared" si="86"/>
        <v>0</v>
      </c>
      <c r="AH47" s="211">
        <f t="shared" si="86"/>
        <v>0</v>
      </c>
      <c r="AI47" s="211">
        <v>0</v>
      </c>
      <c r="AJ47" s="211">
        <f t="shared" ref="AJ47:AJ48" si="87">+P47</f>
        <v>0</v>
      </c>
      <c r="AK47" s="211">
        <f t="shared" ref="AK47:AK48" si="88">+Q47</f>
        <v>0.0026956628466980599</v>
      </c>
      <c r="AL47" s="211">
        <f>+R47</f>
        <v>0</v>
      </c>
      <c r="AM47" s="204">
        <f t="shared" si="81"/>
        <v>1</v>
      </c>
      <c r="AO47" s="58"/>
    </row>
    <row r="48">
      <c r="B48" s="207">
        <v>2050</v>
      </c>
      <c r="C48" s="207" t="s">
        <v>446</v>
      </c>
      <c r="D48" s="208" t="s">
        <v>482</v>
      </c>
      <c r="E48" s="209">
        <v>0.29818412658464</v>
      </c>
      <c r="F48" s="209">
        <v>0</v>
      </c>
      <c r="G48" s="209">
        <v>0</v>
      </c>
      <c r="H48" s="209">
        <v>0.32000000000000001</v>
      </c>
      <c r="I48" s="209">
        <v>0</v>
      </c>
      <c r="J48" s="209">
        <v>0</v>
      </c>
      <c r="K48" s="209">
        <v>0</v>
      </c>
      <c r="L48" s="209">
        <v>0</v>
      </c>
      <c r="M48" s="209">
        <v>0</v>
      </c>
      <c r="N48" s="209">
        <v>0</v>
      </c>
      <c r="O48" s="209">
        <v>0.27684596103582199</v>
      </c>
      <c r="P48" s="209">
        <v>0</v>
      </c>
      <c r="Q48" s="209">
        <v>0</v>
      </c>
      <c r="R48" s="209">
        <v>0.104969912379538</v>
      </c>
      <c r="S48" s="210">
        <f t="shared" si="79"/>
        <v>1</v>
      </c>
      <c r="U48" s="207">
        <v>2050</v>
      </c>
      <c r="V48" s="207" t="s">
        <v>446</v>
      </c>
      <c r="W48" s="207">
        <v>2050</v>
      </c>
      <c r="X48" s="208" t="s">
        <v>482</v>
      </c>
      <c r="Y48" s="211">
        <f t="shared" si="82"/>
        <v>0.40361843755597487</v>
      </c>
      <c r="Z48" s="211">
        <f t="shared" si="83"/>
        <v>0.59638156244402507</v>
      </c>
      <c r="AA48" s="211">
        <f t="shared" si="84"/>
        <v>0</v>
      </c>
      <c r="AB48" s="211">
        <f t="shared" si="85"/>
        <v>0</v>
      </c>
      <c r="AC48" s="211">
        <f t="shared" si="86"/>
        <v>0</v>
      </c>
      <c r="AD48" s="211">
        <f t="shared" si="86"/>
        <v>0</v>
      </c>
      <c r="AE48" s="211">
        <f t="shared" si="86"/>
        <v>0</v>
      </c>
      <c r="AF48" s="211">
        <f t="shared" si="86"/>
        <v>0</v>
      </c>
      <c r="AG48" s="211">
        <f t="shared" si="86"/>
        <v>0</v>
      </c>
      <c r="AH48" s="211">
        <f t="shared" si="86"/>
        <v>0</v>
      </c>
      <c r="AI48" s="211">
        <v>0</v>
      </c>
      <c r="AJ48" s="211">
        <f t="shared" si="87"/>
        <v>0</v>
      </c>
      <c r="AK48" s="211">
        <f t="shared" si="88"/>
        <v>0</v>
      </c>
      <c r="AL48" s="211">
        <v>0</v>
      </c>
      <c r="AM48" s="204">
        <f>SUM(Y48:AL48)</f>
        <v>1</v>
      </c>
      <c r="AO48" s="58"/>
      <c r="AP48" s="212"/>
    </row>
    <row r="49">
      <c r="B49" s="213"/>
      <c r="C49" s="213"/>
      <c r="D49" s="214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6"/>
      <c r="U49" s="213"/>
      <c r="V49" s="213"/>
      <c r="W49" s="213"/>
      <c r="X49" s="214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8"/>
      <c r="AO49" s="58"/>
    </row>
    <row r="50">
      <c r="B50" s="207">
        <v>2019</v>
      </c>
      <c r="C50" s="207" t="s">
        <v>449</v>
      </c>
      <c r="D50" s="208" t="s">
        <v>482</v>
      </c>
      <c r="E50" s="209">
        <v>0.035000000000000003</v>
      </c>
      <c r="F50" s="209"/>
      <c r="G50" s="209">
        <v>0.02</v>
      </c>
      <c r="H50" s="209">
        <v>0.191</v>
      </c>
      <c r="I50" s="209">
        <v>0.029000000000000001</v>
      </c>
      <c r="J50" s="209">
        <v>0</v>
      </c>
      <c r="K50" s="209">
        <v>0</v>
      </c>
      <c r="L50" s="209">
        <v>0</v>
      </c>
      <c r="M50" s="209">
        <v>0</v>
      </c>
      <c r="N50" s="209">
        <v>0</v>
      </c>
      <c r="O50" s="209">
        <v>0.72499999999999998</v>
      </c>
      <c r="P50" s="209">
        <v>0</v>
      </c>
      <c r="Q50" s="209">
        <v>0</v>
      </c>
      <c r="R50" s="209">
        <v>0</v>
      </c>
      <c r="S50" s="210">
        <f t="shared" si="79"/>
        <v>1</v>
      </c>
      <c r="U50" s="207">
        <v>2019</v>
      </c>
      <c r="V50" s="207" t="s">
        <v>449</v>
      </c>
      <c r="W50" s="207">
        <v>2019</v>
      </c>
      <c r="X50" s="208" t="s">
        <v>482</v>
      </c>
      <c r="Y50" s="211">
        <f t="shared" ref="Y50:AM50" si="89">INDEX(X$11:X$35,MATCH($V50,$V$11:$V$35,0))/INDEX($AL$11:$AL$35,MATCH($V50,$V$11:$V$35,0))</f>
        <v>0.035000000000000003</v>
      </c>
      <c r="Z50" s="211">
        <f t="shared" si="89"/>
        <v>0</v>
      </c>
      <c r="AA50" s="211">
        <f t="shared" si="89"/>
        <v>0.019999999999999997</v>
      </c>
      <c r="AB50" s="211">
        <f t="shared" si="89"/>
        <v>0.21999999999999997</v>
      </c>
      <c r="AC50" s="211">
        <f t="shared" si="89"/>
        <v>0</v>
      </c>
      <c r="AD50" s="211">
        <f t="shared" si="89"/>
        <v>0</v>
      </c>
      <c r="AE50" s="211">
        <f t="shared" si="89"/>
        <v>0</v>
      </c>
      <c r="AF50" s="211">
        <f t="shared" si="89"/>
        <v>0</v>
      </c>
      <c r="AG50" s="211">
        <f t="shared" si="89"/>
        <v>0</v>
      </c>
      <c r="AH50" s="211">
        <f t="shared" si="89"/>
        <v>0</v>
      </c>
      <c r="AI50" s="211">
        <f t="shared" si="89"/>
        <v>0.72499999999999998</v>
      </c>
      <c r="AJ50" s="211">
        <f t="shared" si="89"/>
        <v>0</v>
      </c>
      <c r="AK50" s="211">
        <f t="shared" si="89"/>
        <v>0</v>
      </c>
      <c r="AL50" s="211">
        <f t="shared" si="89"/>
        <v>0</v>
      </c>
      <c r="AM50" s="204">
        <f t="shared" si="89"/>
        <v>1</v>
      </c>
      <c r="AN50" s="4"/>
      <c r="AO50" s="58" t="s">
        <v>484</v>
      </c>
    </row>
    <row r="51">
      <c r="B51" s="207">
        <v>2025</v>
      </c>
      <c r="C51" s="207" t="s">
        <v>449</v>
      </c>
      <c r="D51" s="208" t="s">
        <v>482</v>
      </c>
      <c r="E51" s="209">
        <v>0.035000000000000003</v>
      </c>
      <c r="F51" s="209">
        <v>0</v>
      </c>
      <c r="G51" s="209">
        <v>0.02</v>
      </c>
      <c r="H51" s="209">
        <v>0.191</v>
      </c>
      <c r="I51" s="209">
        <v>0.029000000000000001</v>
      </c>
      <c r="J51" s="209">
        <v>0</v>
      </c>
      <c r="K51" s="209">
        <v>0</v>
      </c>
      <c r="L51" s="209">
        <v>0</v>
      </c>
      <c r="M51" s="209">
        <v>0</v>
      </c>
      <c r="N51" s="209">
        <v>0</v>
      </c>
      <c r="O51" s="209">
        <v>0.72499999999999998</v>
      </c>
      <c r="P51" s="209">
        <v>0</v>
      </c>
      <c r="Q51" s="209">
        <v>0</v>
      </c>
      <c r="R51" s="209">
        <v>0</v>
      </c>
      <c r="S51" s="210">
        <f t="shared" si="79"/>
        <v>1</v>
      </c>
      <c r="U51" s="207">
        <v>2025</v>
      </c>
      <c r="V51" s="207" t="s">
        <v>449</v>
      </c>
      <c r="W51" s="207">
        <v>2025</v>
      </c>
      <c r="X51" s="208" t="s">
        <v>482</v>
      </c>
      <c r="Y51" s="211">
        <f>+E51</f>
        <v>0.035000000000000003</v>
      </c>
      <c r="Z51" s="211">
        <f t="shared" ref="Z51:Z52" si="90">+F51</f>
        <v>0</v>
      </c>
      <c r="AA51" s="211">
        <f t="shared" ref="AA51:AA52" si="91">+G51</f>
        <v>0.02</v>
      </c>
      <c r="AB51" s="211">
        <f>+AB50</f>
        <v>0.21999999999999997</v>
      </c>
      <c r="AC51" s="211">
        <v>0</v>
      </c>
      <c r="AD51" s="211">
        <f t="shared" ref="AD51:AL52" si="92">+J51</f>
        <v>0</v>
      </c>
      <c r="AE51" s="211">
        <f t="shared" si="92"/>
        <v>0</v>
      </c>
      <c r="AF51" s="211">
        <f t="shared" si="92"/>
        <v>0</v>
      </c>
      <c r="AG51" s="211">
        <f t="shared" si="92"/>
        <v>0</v>
      </c>
      <c r="AH51" s="211">
        <f t="shared" si="92"/>
        <v>0</v>
      </c>
      <c r="AI51" s="211">
        <f t="shared" si="92"/>
        <v>0.72499999999999998</v>
      </c>
      <c r="AJ51" s="211">
        <f t="shared" si="92"/>
        <v>0</v>
      </c>
      <c r="AK51" s="211">
        <f t="shared" si="92"/>
        <v>0</v>
      </c>
      <c r="AL51" s="211">
        <f t="shared" si="92"/>
        <v>0</v>
      </c>
      <c r="AM51" s="204">
        <f t="shared" ref="AM51:AM60" si="93">SUM(Y51:AL51)</f>
        <v>1</v>
      </c>
      <c r="AN51" s="4"/>
      <c r="AO51" s="58"/>
    </row>
    <row r="52">
      <c r="B52" s="207">
        <v>2050</v>
      </c>
      <c r="C52" s="207" t="s">
        <v>449</v>
      </c>
      <c r="D52" s="208" t="s">
        <v>482</v>
      </c>
      <c r="E52" s="209">
        <v>0.014999999999999999</v>
      </c>
      <c r="F52" s="209">
        <v>0</v>
      </c>
      <c r="G52" s="209">
        <v>0.02</v>
      </c>
      <c r="H52" s="209">
        <v>0.21099999999999999</v>
      </c>
      <c r="I52" s="209">
        <v>0.029000000000000001</v>
      </c>
      <c r="J52" s="209">
        <v>0</v>
      </c>
      <c r="K52" s="209">
        <v>0</v>
      </c>
      <c r="L52" s="209">
        <v>0</v>
      </c>
      <c r="M52" s="209">
        <v>0</v>
      </c>
      <c r="N52" s="209">
        <v>0</v>
      </c>
      <c r="O52" s="209">
        <v>0.72499999999999998</v>
      </c>
      <c r="P52" s="209">
        <v>0</v>
      </c>
      <c r="Q52" s="209">
        <v>0</v>
      </c>
      <c r="R52" s="209">
        <v>0</v>
      </c>
      <c r="S52" s="210">
        <f t="shared" si="79"/>
        <v>1</v>
      </c>
      <c r="U52" s="207">
        <v>2050</v>
      </c>
      <c r="V52" s="207" t="s">
        <v>449</v>
      </c>
      <c r="W52" s="207">
        <v>2050</v>
      </c>
      <c r="X52" s="208" t="s">
        <v>482</v>
      </c>
      <c r="Y52" s="211">
        <v>0</v>
      </c>
      <c r="Z52" s="211">
        <f t="shared" si="90"/>
        <v>0</v>
      </c>
      <c r="AA52" s="211">
        <f t="shared" si="91"/>
        <v>0.02</v>
      </c>
      <c r="AB52" s="211">
        <f>+AB51+1%</f>
        <v>0.22999999999999998</v>
      </c>
      <c r="AC52" s="211">
        <v>0.02</v>
      </c>
      <c r="AD52" s="211">
        <f t="shared" si="92"/>
        <v>0</v>
      </c>
      <c r="AE52" s="211">
        <f>+K52</f>
        <v>0</v>
      </c>
      <c r="AF52" s="211">
        <f>+L52</f>
        <v>0</v>
      </c>
      <c r="AG52" s="211">
        <f>+M52</f>
        <v>0</v>
      </c>
      <c r="AH52" s="211">
        <f>+N52</f>
        <v>0</v>
      </c>
      <c r="AI52" s="211">
        <v>0.72999999999999998</v>
      </c>
      <c r="AJ52" s="211">
        <f>+P52</f>
        <v>0</v>
      </c>
      <c r="AK52" s="211">
        <f>+Q52</f>
        <v>0</v>
      </c>
      <c r="AL52" s="211">
        <f>+R52</f>
        <v>0</v>
      </c>
      <c r="AM52" s="204">
        <f t="shared" si="93"/>
        <v>1</v>
      </c>
      <c r="AO52" s="58"/>
    </row>
    <row r="53">
      <c r="B53" s="213"/>
      <c r="C53" s="213"/>
      <c r="D53" s="214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6"/>
      <c r="U53" s="213"/>
      <c r="V53" s="213"/>
      <c r="W53" s="213"/>
      <c r="X53" s="214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8"/>
      <c r="AO53" s="58"/>
    </row>
    <row r="54">
      <c r="B54" s="207">
        <v>2019</v>
      </c>
      <c r="C54" s="207" t="s">
        <v>451</v>
      </c>
      <c r="D54" s="208" t="s">
        <v>482</v>
      </c>
      <c r="E54" s="209">
        <v>0</v>
      </c>
      <c r="F54" s="209"/>
      <c r="G54" s="209">
        <v>0</v>
      </c>
      <c r="H54" s="209">
        <v>0.15207756232687</v>
      </c>
      <c r="I54" s="209">
        <v>0</v>
      </c>
      <c r="J54" s="209">
        <v>0</v>
      </c>
      <c r="K54" s="209">
        <v>0</v>
      </c>
      <c r="L54" s="209">
        <v>0</v>
      </c>
      <c r="M54" s="209">
        <v>0</v>
      </c>
      <c r="N54" s="209">
        <v>0</v>
      </c>
      <c r="O54" s="209">
        <v>0.13767313019390601</v>
      </c>
      <c r="P54" s="209">
        <v>0</v>
      </c>
      <c r="Q54" s="209">
        <v>0</v>
      </c>
      <c r="R54" s="209">
        <v>0.71024930747922399</v>
      </c>
      <c r="S54" s="210">
        <f t="shared" si="79"/>
        <v>1</v>
      </c>
      <c r="U54" s="207">
        <v>2019</v>
      </c>
      <c r="V54" s="207" t="s">
        <v>451</v>
      </c>
      <c r="W54" s="207">
        <v>2019</v>
      </c>
      <c r="X54" s="208" t="s">
        <v>482</v>
      </c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04"/>
      <c r="AO54" s="58"/>
    </row>
    <row r="55">
      <c r="B55" s="207">
        <v>2025</v>
      </c>
      <c r="C55" s="207" t="s">
        <v>451</v>
      </c>
      <c r="D55" s="208" t="s">
        <v>482</v>
      </c>
      <c r="E55" s="209">
        <v>0</v>
      </c>
      <c r="F55" s="209">
        <v>0</v>
      </c>
      <c r="G55" s="209">
        <v>0</v>
      </c>
      <c r="H55" s="209">
        <v>0.15207756232687</v>
      </c>
      <c r="I55" s="209">
        <v>0</v>
      </c>
      <c r="J55" s="209">
        <v>0</v>
      </c>
      <c r="K55" s="209">
        <v>0</v>
      </c>
      <c r="L55" s="209">
        <v>0</v>
      </c>
      <c r="M55" s="209">
        <v>0</v>
      </c>
      <c r="N55" s="209">
        <v>0</v>
      </c>
      <c r="O55" s="209">
        <v>0.13767313019390601</v>
      </c>
      <c r="P55" s="209">
        <v>0</v>
      </c>
      <c r="Q55" s="209">
        <v>0</v>
      </c>
      <c r="R55" s="209">
        <v>0.71024930747922399</v>
      </c>
      <c r="S55" s="210">
        <f t="shared" si="79"/>
        <v>1</v>
      </c>
      <c r="U55" s="207">
        <v>2025</v>
      </c>
      <c r="V55" s="207" t="s">
        <v>451</v>
      </c>
      <c r="W55" s="207">
        <v>2025</v>
      </c>
      <c r="X55" s="208" t="s">
        <v>482</v>
      </c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04"/>
      <c r="AO55" s="58"/>
    </row>
    <row r="56">
      <c r="B56" s="207">
        <v>2050</v>
      </c>
      <c r="C56" s="207" t="s">
        <v>451</v>
      </c>
      <c r="D56" s="208" t="s">
        <v>482</v>
      </c>
      <c r="E56" s="209">
        <v>0</v>
      </c>
      <c r="F56" s="209">
        <v>0</v>
      </c>
      <c r="G56" s="209">
        <v>0</v>
      </c>
      <c r="H56" s="209">
        <v>0.15207756232687</v>
      </c>
      <c r="I56" s="209">
        <v>0</v>
      </c>
      <c r="J56" s="209">
        <v>0</v>
      </c>
      <c r="K56" s="209">
        <v>0</v>
      </c>
      <c r="L56" s="209">
        <v>0</v>
      </c>
      <c r="M56" s="209">
        <v>0</v>
      </c>
      <c r="N56" s="209">
        <v>0</v>
      </c>
      <c r="O56" s="209">
        <v>0.13767313019390601</v>
      </c>
      <c r="P56" s="209">
        <v>0</v>
      </c>
      <c r="Q56" s="209">
        <v>0</v>
      </c>
      <c r="R56" s="209">
        <v>0.71024930747922399</v>
      </c>
      <c r="S56" s="210">
        <f t="shared" si="79"/>
        <v>1</v>
      </c>
      <c r="U56" s="207">
        <v>2050</v>
      </c>
      <c r="V56" s="207" t="s">
        <v>451</v>
      </c>
      <c r="W56" s="207">
        <v>2050</v>
      </c>
      <c r="X56" s="208" t="s">
        <v>482</v>
      </c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04"/>
      <c r="AO56" s="58"/>
    </row>
    <row r="57">
      <c r="B57" s="213"/>
      <c r="C57" s="213"/>
      <c r="D57" s="214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6"/>
      <c r="U57" s="213"/>
      <c r="V57" s="213"/>
      <c r="W57" s="213"/>
      <c r="X57" s="214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7"/>
      <c r="AM57" s="218"/>
      <c r="AO57" s="58"/>
    </row>
    <row r="58">
      <c r="B58" s="207">
        <v>2019</v>
      </c>
      <c r="C58" s="207" t="s">
        <v>485</v>
      </c>
      <c r="D58" s="208"/>
      <c r="E58" s="209">
        <v>0</v>
      </c>
      <c r="F58" s="209"/>
      <c r="G58" s="209">
        <v>0</v>
      </c>
      <c r="H58" s="209">
        <v>0</v>
      </c>
      <c r="I58" s="209">
        <v>0</v>
      </c>
      <c r="J58" s="209">
        <v>0</v>
      </c>
      <c r="K58" s="209">
        <v>0</v>
      </c>
      <c r="L58" s="209">
        <v>0</v>
      </c>
      <c r="M58" s="209">
        <v>0</v>
      </c>
      <c r="N58" s="209">
        <v>0</v>
      </c>
      <c r="O58" s="209">
        <v>0</v>
      </c>
      <c r="P58" s="209">
        <v>0</v>
      </c>
      <c r="Q58" s="209">
        <v>0</v>
      </c>
      <c r="R58" s="209">
        <v>0</v>
      </c>
      <c r="S58" s="210"/>
      <c r="U58" s="207">
        <v>2019</v>
      </c>
      <c r="V58" s="207" t="s">
        <v>452</v>
      </c>
      <c r="W58" s="207">
        <v>2019</v>
      </c>
      <c r="X58" s="208"/>
      <c r="Y58" s="211">
        <f t="shared" ref="Y58:AL58" si="94">INDEX(X$11:X$35,MATCH($V58,$V$11:$V$35,0))/INDEX($AL$11:$AL$35,MATCH($V58,$V$11:$V$35,0))</f>
        <v>0.055844909255524718</v>
      </c>
      <c r="Z58" s="211">
        <f t="shared" si="94"/>
        <v>0.032423689380245542</v>
      </c>
      <c r="AA58" s="211">
        <f t="shared" si="94"/>
        <v>0.011370402229773324</v>
      </c>
      <c r="AB58" s="211">
        <f t="shared" si="94"/>
        <v>0.31143599829499524</v>
      </c>
      <c r="AC58" s="211">
        <f t="shared" si="94"/>
        <v>0.00029856067569286875</v>
      </c>
      <c r="AD58" s="211">
        <f t="shared" si="94"/>
        <v>0</v>
      </c>
      <c r="AE58" s="211">
        <f t="shared" si="94"/>
        <v>0</v>
      </c>
      <c r="AF58" s="211">
        <f t="shared" si="94"/>
        <v>0</v>
      </c>
      <c r="AG58" s="211">
        <f t="shared" si="94"/>
        <v>0</v>
      </c>
      <c r="AH58" s="211">
        <f t="shared" si="94"/>
        <v>0</v>
      </c>
      <c r="AI58" s="211">
        <f t="shared" si="94"/>
        <v>0.58259551451477254</v>
      </c>
      <c r="AJ58" s="211">
        <f t="shared" si="94"/>
        <v>0</v>
      </c>
      <c r="AK58" s="211">
        <f t="shared" si="94"/>
        <v>0.0060309256489959485</v>
      </c>
      <c r="AL58" s="211">
        <f t="shared" si="94"/>
        <v>0</v>
      </c>
      <c r="AM58" s="204">
        <f t="shared" si="93"/>
        <v>1.0000000000000002</v>
      </c>
      <c r="AO58" s="58" t="s">
        <v>483</v>
      </c>
    </row>
    <row r="59">
      <c r="B59" s="207">
        <v>2025</v>
      </c>
      <c r="C59" s="207" t="s">
        <v>485</v>
      </c>
      <c r="D59" s="208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10"/>
      <c r="U59" s="207">
        <v>2025</v>
      </c>
      <c r="V59" s="207" t="s">
        <v>452</v>
      </c>
      <c r="W59" s="207">
        <v>2025</v>
      </c>
      <c r="X59" s="208"/>
      <c r="Y59" s="211">
        <f t="shared" ref="Y59:AL60" si="95">Y58</f>
        <v>0.055844909255524718</v>
      </c>
      <c r="Z59" s="211">
        <f t="shared" si="95"/>
        <v>0.032423689380245542</v>
      </c>
      <c r="AA59" s="211">
        <f t="shared" si="95"/>
        <v>0.011370402229773324</v>
      </c>
      <c r="AB59" s="211">
        <f t="shared" si="95"/>
        <v>0.31143599829499524</v>
      </c>
      <c r="AC59" s="211">
        <f t="shared" si="95"/>
        <v>0.00029856067569286875</v>
      </c>
      <c r="AD59" s="211">
        <f t="shared" si="95"/>
        <v>0</v>
      </c>
      <c r="AE59" s="211">
        <f t="shared" si="95"/>
        <v>0</v>
      </c>
      <c r="AF59" s="211">
        <f t="shared" si="95"/>
        <v>0</v>
      </c>
      <c r="AG59" s="211">
        <f t="shared" si="95"/>
        <v>0</v>
      </c>
      <c r="AH59" s="211">
        <f t="shared" si="95"/>
        <v>0</v>
      </c>
      <c r="AI59" s="211">
        <f t="shared" si="95"/>
        <v>0.58259551451477254</v>
      </c>
      <c r="AJ59" s="211">
        <f t="shared" si="95"/>
        <v>0</v>
      </c>
      <c r="AK59" s="211">
        <f t="shared" si="95"/>
        <v>0.0060309256489959485</v>
      </c>
      <c r="AL59" s="211">
        <f t="shared" si="95"/>
        <v>0</v>
      </c>
      <c r="AM59" s="204">
        <f t="shared" si="93"/>
        <v>1.0000000000000002</v>
      </c>
      <c r="AO59" s="58"/>
    </row>
    <row r="60">
      <c r="B60" s="207">
        <v>2050</v>
      </c>
      <c r="C60" s="207" t="s">
        <v>485</v>
      </c>
      <c r="D60" s="208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10"/>
      <c r="U60" s="207">
        <v>2050</v>
      </c>
      <c r="V60" s="207" t="s">
        <v>452</v>
      </c>
      <c r="W60" s="207">
        <v>2050</v>
      </c>
      <c r="X60" s="208"/>
      <c r="Y60" s="211">
        <f t="shared" si="95"/>
        <v>0.055844909255524718</v>
      </c>
      <c r="Z60" s="211">
        <f t="shared" si="95"/>
        <v>0.032423689380245542</v>
      </c>
      <c r="AA60" s="211">
        <f t="shared" si="95"/>
        <v>0.011370402229773324</v>
      </c>
      <c r="AB60" s="211">
        <f t="shared" si="95"/>
        <v>0.31143599829499524</v>
      </c>
      <c r="AC60" s="211">
        <f t="shared" si="95"/>
        <v>0.00029856067569286875</v>
      </c>
      <c r="AD60" s="211">
        <f t="shared" si="95"/>
        <v>0</v>
      </c>
      <c r="AE60" s="211">
        <f t="shared" si="95"/>
        <v>0</v>
      </c>
      <c r="AF60" s="211">
        <f t="shared" si="95"/>
        <v>0</v>
      </c>
      <c r="AG60" s="211">
        <f t="shared" si="95"/>
        <v>0</v>
      </c>
      <c r="AH60" s="211">
        <f t="shared" si="95"/>
        <v>0</v>
      </c>
      <c r="AI60" s="211">
        <f t="shared" si="95"/>
        <v>0.58259551451477254</v>
      </c>
      <c r="AJ60" s="211">
        <f t="shared" si="95"/>
        <v>0</v>
      </c>
      <c r="AK60" s="211">
        <f t="shared" si="95"/>
        <v>0.0060309256489959485</v>
      </c>
      <c r="AL60" s="211">
        <f t="shared" si="95"/>
        <v>0</v>
      </c>
      <c r="AM60" s="204">
        <f t="shared" si="93"/>
        <v>1.0000000000000002</v>
      </c>
      <c r="AO60" s="58"/>
    </row>
    <row r="61">
      <c r="B61" s="213"/>
      <c r="C61" s="213"/>
      <c r="D61" s="214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6"/>
      <c r="U61" s="213"/>
      <c r="V61" s="213"/>
      <c r="W61" s="213"/>
      <c r="X61" s="214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8"/>
      <c r="AO61" s="58"/>
    </row>
    <row r="62">
      <c r="B62" s="207">
        <v>2019</v>
      </c>
      <c r="C62" s="207" t="s">
        <v>454</v>
      </c>
      <c r="D62" s="208" t="s">
        <v>482</v>
      </c>
      <c r="E62" s="209">
        <v>0.0040000000000000001</v>
      </c>
      <c r="F62" s="209"/>
      <c r="G62" s="209">
        <v>0.028000000000000001</v>
      </c>
      <c r="H62" s="209">
        <v>0.25</v>
      </c>
      <c r="I62" s="209">
        <v>0</v>
      </c>
      <c r="J62" s="209">
        <v>0</v>
      </c>
      <c r="K62" s="209">
        <v>0</v>
      </c>
      <c r="L62" s="209">
        <v>0</v>
      </c>
      <c r="M62" s="209">
        <v>0</v>
      </c>
      <c r="N62" s="209">
        <v>0</v>
      </c>
      <c r="O62" s="209">
        <v>0.70999999999999996</v>
      </c>
      <c r="P62" s="209">
        <v>0</v>
      </c>
      <c r="Q62" s="209">
        <v>0.0080000000000000002</v>
      </c>
      <c r="R62" s="209">
        <v>0</v>
      </c>
      <c r="S62" s="210">
        <f t="shared" si="79"/>
        <v>1</v>
      </c>
      <c r="U62" s="207">
        <v>2019</v>
      </c>
      <c r="V62" s="207" t="s">
        <v>454</v>
      </c>
      <c r="W62" s="207">
        <v>2019</v>
      </c>
      <c r="X62" s="208" t="s">
        <v>482</v>
      </c>
      <c r="Y62" s="220">
        <f t="shared" ref="Y62:AM62" si="96">INDEX(X$11:X$35,MATCH($V62,$V$11:$V$35,0))/INDEX($AL$11:$AL$35,MATCH($V62,$V$11:$V$35,0))</f>
        <v>0.0040000000000000001</v>
      </c>
      <c r="Z62" s="220">
        <f t="shared" si="96"/>
        <v>0</v>
      </c>
      <c r="AA62" s="220">
        <f t="shared" si="96"/>
        <v>0.028000000000000001</v>
      </c>
      <c r="AB62" s="220">
        <f t="shared" si="96"/>
        <v>0.25</v>
      </c>
      <c r="AC62" s="220">
        <f t="shared" si="96"/>
        <v>0</v>
      </c>
      <c r="AD62" s="220">
        <f t="shared" si="96"/>
        <v>0</v>
      </c>
      <c r="AE62" s="220">
        <f t="shared" si="96"/>
        <v>0</v>
      </c>
      <c r="AF62" s="220">
        <f t="shared" si="96"/>
        <v>0</v>
      </c>
      <c r="AG62" s="220">
        <f t="shared" si="96"/>
        <v>0</v>
      </c>
      <c r="AH62" s="220">
        <f t="shared" si="96"/>
        <v>0</v>
      </c>
      <c r="AI62" s="220">
        <f t="shared" si="96"/>
        <v>0.70999999999999996</v>
      </c>
      <c r="AJ62" s="220">
        <f t="shared" si="96"/>
        <v>0</v>
      </c>
      <c r="AK62" s="220">
        <f t="shared" si="96"/>
        <v>0</v>
      </c>
      <c r="AL62" s="220">
        <f t="shared" si="96"/>
        <v>0</v>
      </c>
      <c r="AM62" s="204">
        <f t="shared" si="96"/>
        <v>1</v>
      </c>
      <c r="AO62" s="58" t="s">
        <v>486</v>
      </c>
    </row>
    <row r="63">
      <c r="B63" s="207">
        <v>2025</v>
      </c>
      <c r="C63" s="207" t="s">
        <v>454</v>
      </c>
      <c r="D63" s="208" t="s">
        <v>482</v>
      </c>
      <c r="E63" s="209">
        <v>0.0040000000000000001</v>
      </c>
      <c r="F63" s="209">
        <v>0</v>
      </c>
      <c r="G63" s="209">
        <v>0.028000000000000001</v>
      </c>
      <c r="H63" s="209">
        <v>0.25</v>
      </c>
      <c r="I63" s="209">
        <v>0</v>
      </c>
      <c r="J63" s="209">
        <v>0</v>
      </c>
      <c r="K63" s="209">
        <v>0</v>
      </c>
      <c r="L63" s="209">
        <v>0</v>
      </c>
      <c r="M63" s="209">
        <v>0</v>
      </c>
      <c r="N63" s="209">
        <v>0</v>
      </c>
      <c r="O63" s="209">
        <v>0.70999999999999996</v>
      </c>
      <c r="P63" s="209">
        <v>0</v>
      </c>
      <c r="Q63" s="209">
        <v>0.0080000000000000002</v>
      </c>
      <c r="R63" s="209">
        <v>0</v>
      </c>
      <c r="S63" s="210">
        <f t="shared" si="79"/>
        <v>1</v>
      </c>
      <c r="U63" s="207">
        <v>2025</v>
      </c>
      <c r="V63" s="207" t="s">
        <v>454</v>
      </c>
      <c r="W63" s="207">
        <v>2025</v>
      </c>
      <c r="X63" s="208" t="s">
        <v>482</v>
      </c>
      <c r="Y63" s="220">
        <f t="shared" ref="Y63:AL64" si="97">+E63</f>
        <v>0.0040000000000000001</v>
      </c>
      <c r="Z63" s="220">
        <f t="shared" si="97"/>
        <v>0</v>
      </c>
      <c r="AA63" s="220">
        <f t="shared" si="97"/>
        <v>0.028000000000000001</v>
      </c>
      <c r="AB63" s="220">
        <f t="shared" si="97"/>
        <v>0.25</v>
      </c>
      <c r="AC63" s="220">
        <f t="shared" si="97"/>
        <v>0</v>
      </c>
      <c r="AD63" s="220">
        <f t="shared" si="97"/>
        <v>0</v>
      </c>
      <c r="AE63" s="220">
        <f t="shared" si="97"/>
        <v>0</v>
      </c>
      <c r="AF63" s="220">
        <f t="shared" si="97"/>
        <v>0</v>
      </c>
      <c r="AG63" s="220">
        <f t="shared" si="97"/>
        <v>0</v>
      </c>
      <c r="AH63" s="220">
        <f t="shared" si="97"/>
        <v>0</v>
      </c>
      <c r="AI63" s="220">
        <f t="shared" si="97"/>
        <v>0.70999999999999996</v>
      </c>
      <c r="AJ63" s="220">
        <f t="shared" si="97"/>
        <v>0</v>
      </c>
      <c r="AK63" s="220">
        <f t="shared" si="97"/>
        <v>0.0080000000000000002</v>
      </c>
      <c r="AL63" s="220">
        <f t="shared" si="97"/>
        <v>0</v>
      </c>
      <c r="AM63" s="204">
        <f t="shared" ref="AM63:AM64" si="98">SUM(Y63:AL63)</f>
        <v>1</v>
      </c>
      <c r="AO63" s="58"/>
    </row>
    <row r="64">
      <c r="B64" s="207">
        <v>2050</v>
      </c>
      <c r="C64" s="207" t="s">
        <v>454</v>
      </c>
      <c r="D64" s="208" t="s">
        <v>482</v>
      </c>
      <c r="E64" s="209">
        <v>0.0040000000000000001</v>
      </c>
      <c r="F64" s="209">
        <v>0</v>
      </c>
      <c r="G64" s="209">
        <v>0.028000000000000001</v>
      </c>
      <c r="H64" s="209">
        <v>0.25</v>
      </c>
      <c r="I64" s="209">
        <v>0</v>
      </c>
      <c r="J64" s="209">
        <v>0</v>
      </c>
      <c r="K64" s="209">
        <v>0</v>
      </c>
      <c r="L64" s="209">
        <v>0</v>
      </c>
      <c r="M64" s="209">
        <v>0</v>
      </c>
      <c r="N64" s="209">
        <v>0</v>
      </c>
      <c r="O64" s="209">
        <v>0.70999999999999996</v>
      </c>
      <c r="P64" s="209">
        <v>0</v>
      </c>
      <c r="Q64" s="209">
        <v>0.0080000000000000002</v>
      </c>
      <c r="R64" s="209">
        <v>0</v>
      </c>
      <c r="S64" s="210">
        <f t="shared" si="79"/>
        <v>1</v>
      </c>
      <c r="U64" s="207">
        <v>2050</v>
      </c>
      <c r="V64" s="207" t="s">
        <v>454</v>
      </c>
      <c r="W64" s="207">
        <v>2050</v>
      </c>
      <c r="X64" s="208" t="s">
        <v>482</v>
      </c>
      <c r="Y64" s="220">
        <f t="shared" si="97"/>
        <v>0.0040000000000000001</v>
      </c>
      <c r="Z64" s="220">
        <f t="shared" si="97"/>
        <v>0</v>
      </c>
      <c r="AA64" s="220">
        <f t="shared" si="97"/>
        <v>0.028000000000000001</v>
      </c>
      <c r="AB64" s="220">
        <f t="shared" si="97"/>
        <v>0.25</v>
      </c>
      <c r="AC64" s="220">
        <f t="shared" si="97"/>
        <v>0</v>
      </c>
      <c r="AD64" s="220">
        <f t="shared" si="97"/>
        <v>0</v>
      </c>
      <c r="AE64" s="220">
        <f t="shared" si="97"/>
        <v>0</v>
      </c>
      <c r="AF64" s="220">
        <f t="shared" si="97"/>
        <v>0</v>
      </c>
      <c r="AG64" s="220">
        <f t="shared" si="97"/>
        <v>0</v>
      </c>
      <c r="AH64" s="220">
        <f t="shared" si="97"/>
        <v>0</v>
      </c>
      <c r="AI64" s="220">
        <f t="shared" si="97"/>
        <v>0.70999999999999996</v>
      </c>
      <c r="AJ64" s="220">
        <f t="shared" si="97"/>
        <v>0</v>
      </c>
      <c r="AK64" s="220">
        <f t="shared" si="97"/>
        <v>0.0080000000000000002</v>
      </c>
      <c r="AL64" s="220">
        <f t="shared" si="97"/>
        <v>0</v>
      </c>
      <c r="AM64" s="204">
        <f t="shared" si="98"/>
        <v>1</v>
      </c>
      <c r="AO64" s="58"/>
    </row>
    <row r="65">
      <c r="B65" s="213"/>
      <c r="C65" s="213"/>
      <c r="D65" s="214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6"/>
      <c r="U65" s="213"/>
      <c r="V65" s="213"/>
      <c r="W65" s="213"/>
      <c r="X65" s="214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8"/>
      <c r="AO65" s="58"/>
    </row>
    <row r="66">
      <c r="B66" s="207">
        <v>2019</v>
      </c>
      <c r="C66" s="207" t="s">
        <v>456</v>
      </c>
      <c r="D66" s="208" t="s">
        <v>482</v>
      </c>
      <c r="E66" s="209">
        <v>0</v>
      </c>
      <c r="F66" s="209"/>
      <c r="G66" s="209">
        <v>0</v>
      </c>
      <c r="H66" s="209">
        <v>0.90000000000000002</v>
      </c>
      <c r="I66" s="209">
        <v>0</v>
      </c>
      <c r="J66" s="209">
        <v>0</v>
      </c>
      <c r="K66" s="209">
        <v>0</v>
      </c>
      <c r="L66" s="209">
        <v>0</v>
      </c>
      <c r="M66" s="209">
        <v>0</v>
      </c>
      <c r="N66" s="209">
        <v>0</v>
      </c>
      <c r="O66" s="209">
        <v>0.10000000000000001</v>
      </c>
      <c r="P66" s="209">
        <v>0</v>
      </c>
      <c r="Q66" s="209">
        <v>0</v>
      </c>
      <c r="R66" s="209">
        <v>0</v>
      </c>
      <c r="S66" s="210">
        <f t="shared" si="79"/>
        <v>1</v>
      </c>
      <c r="U66" s="207">
        <v>2019</v>
      </c>
      <c r="V66" s="207" t="s">
        <v>456</v>
      </c>
      <c r="W66" s="207">
        <v>2019</v>
      </c>
      <c r="X66" s="208" t="s">
        <v>482</v>
      </c>
      <c r="Y66" s="211">
        <f t="shared" ref="Y66:AM66" si="99">INDEX(X$11:X$35,MATCH($V66,$V$11:$V$35,0))/INDEX($AL$11:$AL$35,MATCH($V66,$V$11:$V$35,0))</f>
        <v>0</v>
      </c>
      <c r="Z66" s="211">
        <f t="shared" si="99"/>
        <v>0</v>
      </c>
      <c r="AA66" s="211">
        <f t="shared" si="99"/>
        <v>0.024619339529365129</v>
      </c>
      <c r="AB66" s="211">
        <f t="shared" si="99"/>
        <v>0.63990508206446284</v>
      </c>
      <c r="AC66" s="211">
        <f t="shared" si="99"/>
        <v>0</v>
      </c>
      <c r="AD66" s="211">
        <f t="shared" si="99"/>
        <v>0</v>
      </c>
      <c r="AE66" s="211">
        <f t="shared" si="99"/>
        <v>0</v>
      </c>
      <c r="AF66" s="211">
        <f t="shared" si="99"/>
        <v>0</v>
      </c>
      <c r="AG66" s="211">
        <f t="shared" si="99"/>
        <v>0</v>
      </c>
      <c r="AH66" s="211">
        <f t="shared" si="99"/>
        <v>0</v>
      </c>
      <c r="AI66" s="211">
        <f t="shared" si="99"/>
        <v>0.33547557840616854</v>
      </c>
      <c r="AJ66" s="211">
        <f t="shared" si="99"/>
        <v>0</v>
      </c>
      <c r="AK66" s="211">
        <f t="shared" si="99"/>
        <v>0</v>
      </c>
      <c r="AL66" s="211">
        <f t="shared" si="99"/>
        <v>0</v>
      </c>
      <c r="AM66" s="204">
        <f t="shared" si="99"/>
        <v>1</v>
      </c>
      <c r="AO66" s="58" t="s">
        <v>483</v>
      </c>
    </row>
    <row r="67">
      <c r="B67" s="207">
        <v>2025</v>
      </c>
      <c r="C67" s="207" t="s">
        <v>456</v>
      </c>
      <c r="D67" s="208" t="s">
        <v>482</v>
      </c>
      <c r="E67" s="209">
        <v>0</v>
      </c>
      <c r="F67" s="209">
        <v>0</v>
      </c>
      <c r="G67" s="209">
        <v>0</v>
      </c>
      <c r="H67" s="209">
        <v>0.90000000000000002</v>
      </c>
      <c r="I67" s="209">
        <v>0</v>
      </c>
      <c r="J67" s="209">
        <v>0</v>
      </c>
      <c r="K67" s="209">
        <v>0</v>
      </c>
      <c r="L67" s="209">
        <v>0</v>
      </c>
      <c r="M67" s="209">
        <v>0</v>
      </c>
      <c r="N67" s="209">
        <v>0</v>
      </c>
      <c r="O67" s="209">
        <v>0.10000000000000001</v>
      </c>
      <c r="P67" s="209">
        <v>0</v>
      </c>
      <c r="Q67" s="209">
        <v>0</v>
      </c>
      <c r="R67" s="209">
        <v>0</v>
      </c>
      <c r="S67" s="210">
        <f t="shared" si="79"/>
        <v>1</v>
      </c>
      <c r="U67" s="207">
        <v>2025</v>
      </c>
      <c r="V67" s="207" t="s">
        <v>456</v>
      </c>
      <c r="W67" s="207">
        <v>2025</v>
      </c>
      <c r="X67" s="208" t="s">
        <v>482</v>
      </c>
      <c r="Y67" s="211">
        <f t="shared" ref="Y67:Y68" si="100">+E67</f>
        <v>0</v>
      </c>
      <c r="Z67" s="211">
        <f t="shared" ref="Z67:Z68" si="101">+F67</f>
        <v>0</v>
      </c>
      <c r="AA67" s="211">
        <f>AA66</f>
        <v>0.024619339529365129</v>
      </c>
      <c r="AB67" s="211">
        <f>AB66</f>
        <v>0.63990508206446284</v>
      </c>
      <c r="AC67" s="211">
        <f t="shared" ref="AC67:AH68" si="102">+I67</f>
        <v>0</v>
      </c>
      <c r="AD67" s="211">
        <f t="shared" si="102"/>
        <v>0</v>
      </c>
      <c r="AE67" s="211">
        <f t="shared" si="102"/>
        <v>0</v>
      </c>
      <c r="AF67" s="211">
        <f t="shared" si="102"/>
        <v>0</v>
      </c>
      <c r="AG67" s="211">
        <f t="shared" si="102"/>
        <v>0</v>
      </c>
      <c r="AH67" s="211">
        <f t="shared" si="102"/>
        <v>0</v>
      </c>
      <c r="AI67" s="211">
        <f>1-SUM(Y67:AH67)</f>
        <v>0.33547557840617204</v>
      </c>
      <c r="AJ67" s="211">
        <f t="shared" ref="AJ67:AL68" si="103">+P67</f>
        <v>0</v>
      </c>
      <c r="AK67" s="211">
        <f t="shared" si="103"/>
        <v>0</v>
      </c>
      <c r="AL67" s="211">
        <f t="shared" si="103"/>
        <v>0</v>
      </c>
      <c r="AM67" s="204">
        <f t="shared" ref="AM67:AM68" si="104">SUM(Y67:AL67)</f>
        <v>1</v>
      </c>
      <c r="AO67" s="58" t="s">
        <v>487</v>
      </c>
    </row>
    <row r="68">
      <c r="B68" s="207">
        <v>2050</v>
      </c>
      <c r="C68" s="207" t="s">
        <v>456</v>
      </c>
      <c r="D68" s="208" t="s">
        <v>482</v>
      </c>
      <c r="E68" s="209">
        <v>0</v>
      </c>
      <c r="F68" s="209">
        <v>0</v>
      </c>
      <c r="G68" s="209">
        <v>0</v>
      </c>
      <c r="H68" s="209">
        <v>0.80000000000000004</v>
      </c>
      <c r="I68" s="209">
        <v>0</v>
      </c>
      <c r="J68" s="209">
        <v>0</v>
      </c>
      <c r="K68" s="209">
        <v>0</v>
      </c>
      <c r="L68" s="209">
        <v>0</v>
      </c>
      <c r="M68" s="209">
        <v>0</v>
      </c>
      <c r="N68" s="209">
        <v>0</v>
      </c>
      <c r="O68" s="209">
        <v>0.20000000000000001</v>
      </c>
      <c r="P68" s="209">
        <v>0</v>
      </c>
      <c r="Q68" s="209">
        <v>0</v>
      </c>
      <c r="R68" s="209">
        <v>0</v>
      </c>
      <c r="S68" s="210">
        <f t="shared" si="79"/>
        <v>1</v>
      </c>
      <c r="U68" s="207">
        <v>2050</v>
      </c>
      <c r="V68" s="207" t="s">
        <v>456</v>
      </c>
      <c r="W68" s="207">
        <v>2050</v>
      </c>
      <c r="X68" s="208" t="s">
        <v>482</v>
      </c>
      <c r="Y68" s="211">
        <f t="shared" si="100"/>
        <v>0</v>
      </c>
      <c r="Z68" s="211">
        <f t="shared" si="101"/>
        <v>0</v>
      </c>
      <c r="AA68" s="211">
        <f>+AA67</f>
        <v>0.024619339529365129</v>
      </c>
      <c r="AB68" s="211">
        <f>+AB67</f>
        <v>0.63990508206446284</v>
      </c>
      <c r="AC68" s="211">
        <f t="shared" si="102"/>
        <v>0</v>
      </c>
      <c r="AD68" s="211">
        <f t="shared" si="102"/>
        <v>0</v>
      </c>
      <c r="AE68" s="211">
        <f t="shared" si="102"/>
        <v>0</v>
      </c>
      <c r="AF68" s="211">
        <f t="shared" si="102"/>
        <v>0</v>
      </c>
      <c r="AG68" s="211">
        <f t="shared" si="102"/>
        <v>0</v>
      </c>
      <c r="AH68" s="211">
        <f t="shared" si="102"/>
        <v>0</v>
      </c>
      <c r="AI68" s="211">
        <f>+AI67</f>
        <v>0.33547557840617204</v>
      </c>
      <c r="AJ68" s="211">
        <f t="shared" si="103"/>
        <v>0</v>
      </c>
      <c r="AK68" s="211">
        <f t="shared" si="103"/>
        <v>0</v>
      </c>
      <c r="AL68" s="211">
        <f t="shared" si="103"/>
        <v>0</v>
      </c>
      <c r="AM68" s="204">
        <f t="shared" si="104"/>
        <v>1</v>
      </c>
      <c r="AO68" s="58"/>
    </row>
    <row r="69">
      <c r="B69" s="213"/>
      <c r="C69" s="213"/>
      <c r="D69" s="214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6"/>
      <c r="U69" s="213"/>
      <c r="V69" s="213"/>
      <c r="W69" s="213"/>
      <c r="X69" s="214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18"/>
      <c r="AO69" s="58"/>
    </row>
    <row r="70">
      <c r="B70" s="207">
        <v>2019</v>
      </c>
      <c r="C70" s="207" t="s">
        <v>458</v>
      </c>
      <c r="D70" s="208" t="s">
        <v>482</v>
      </c>
      <c r="E70" s="209">
        <v>0.00022038991391149301</v>
      </c>
      <c r="F70" s="209"/>
      <c r="G70" s="209">
        <v>0.166835456962417</v>
      </c>
      <c r="H70" s="209">
        <v>0.15712852885131401</v>
      </c>
      <c r="I70" s="209">
        <v>0.00022038991391149301</v>
      </c>
      <c r="J70" s="209">
        <v>0</v>
      </c>
      <c r="K70" s="209">
        <v>0</v>
      </c>
      <c r="L70" s="209">
        <v>0</v>
      </c>
      <c r="M70" s="209">
        <v>0</v>
      </c>
      <c r="N70" s="209">
        <v>0</v>
      </c>
      <c r="O70" s="209">
        <v>0.675599380753927</v>
      </c>
      <c r="P70" s="209">
        <v>0</v>
      </c>
      <c r="Q70" s="209">
        <v>0</v>
      </c>
      <c r="R70" s="209">
        <v>0</v>
      </c>
      <c r="S70" s="210">
        <f t="shared" si="79"/>
        <v>1.000004146395481</v>
      </c>
      <c r="U70" s="207">
        <v>2019</v>
      </c>
      <c r="V70" s="207" t="s">
        <v>458</v>
      </c>
      <c r="W70" s="207">
        <v>2019</v>
      </c>
      <c r="X70" s="208" t="s">
        <v>482</v>
      </c>
      <c r="Y70" s="211">
        <f t="shared" ref="Y70:AM70" si="105">INDEX(X$11:X$35,MATCH($V70,$V$11:$V$35,0))/INDEX($AL$11:$AL$35,MATCH($V70,$V$11:$V$35,0))</f>
        <v>0.00026520931861475272</v>
      </c>
      <c r="Z70" s="211">
        <f t="shared" si="105"/>
        <v>0</v>
      </c>
      <c r="AA70" s="211">
        <f t="shared" si="105"/>
        <v>0.19516251311002381</v>
      </c>
      <c r="AB70" s="211">
        <f t="shared" si="105"/>
        <v>0.087168072497337712</v>
      </c>
      <c r="AC70" s="211">
        <f t="shared" si="105"/>
        <v>0.00026520931861475272</v>
      </c>
      <c r="AD70" s="211">
        <f t="shared" si="105"/>
        <v>0</v>
      </c>
      <c r="AE70" s="211">
        <f t="shared" si="105"/>
        <v>0</v>
      </c>
      <c r="AF70" s="211">
        <f t="shared" si="105"/>
        <v>0</v>
      </c>
      <c r="AG70" s="211">
        <f t="shared" si="105"/>
        <v>0</v>
      </c>
      <c r="AH70" s="211">
        <f t="shared" si="105"/>
        <v>0</v>
      </c>
      <c r="AI70" s="211">
        <f t="shared" si="105"/>
        <v>0.72856648446944483</v>
      </c>
      <c r="AJ70" s="211">
        <f t="shared" si="105"/>
        <v>0</v>
      </c>
      <c r="AK70" s="211">
        <f t="shared" si="105"/>
        <v>0</v>
      </c>
      <c r="AL70" s="211">
        <f t="shared" si="105"/>
        <v>0</v>
      </c>
      <c r="AM70" s="204">
        <f t="shared" si="105"/>
        <v>1</v>
      </c>
      <c r="AO70" s="58" t="s">
        <v>488</v>
      </c>
    </row>
    <row r="71">
      <c r="B71" s="207">
        <v>2025</v>
      </c>
      <c r="C71" s="207" t="s">
        <v>458</v>
      </c>
      <c r="D71" s="208" t="s">
        <v>482</v>
      </c>
      <c r="E71" s="209">
        <v>0.000218316716171187</v>
      </c>
      <c r="F71" s="209">
        <v>0</v>
      </c>
      <c r="G71" s="209">
        <v>0.152259671871665</v>
      </c>
      <c r="H71" s="209">
        <v>0.15712852885131401</v>
      </c>
      <c r="I71" s="209">
        <v>0.000218316716171187</v>
      </c>
      <c r="J71" s="209">
        <v>0.000218316716171187</v>
      </c>
      <c r="K71" s="209">
        <v>0.000218316716171187</v>
      </c>
      <c r="L71" s="209">
        <v>0.000218316716171187</v>
      </c>
      <c r="M71" s="209">
        <v>0.000218316716171187</v>
      </c>
      <c r="N71" s="209">
        <v>0.000218316716171187</v>
      </c>
      <c r="O71" s="209">
        <v>0.675599380753927</v>
      </c>
      <c r="P71" s="209">
        <v>0</v>
      </c>
      <c r="Q71" s="209">
        <v>0.0145757850907516</v>
      </c>
      <c r="R71" s="209">
        <v>0.000218316716171187</v>
      </c>
      <c r="S71" s="210">
        <f t="shared" si="79"/>
        <v>1.0013099002970269</v>
      </c>
      <c r="U71" s="207">
        <v>2025</v>
      </c>
      <c r="V71" s="207" t="s">
        <v>458</v>
      </c>
      <c r="W71" s="207">
        <v>2025</v>
      </c>
      <c r="X71" s="208" t="s">
        <v>482</v>
      </c>
      <c r="Y71" s="211">
        <f t="shared" ref="Y71:Y72" si="106">+E71</f>
        <v>0.000218316716171187</v>
      </c>
      <c r="Z71" s="211">
        <f t="shared" ref="Z71:Z72" si="107">+F71</f>
        <v>0</v>
      </c>
      <c r="AA71" s="211">
        <v>0.17000000000000001</v>
      </c>
      <c r="AB71" s="211">
        <v>0.085000000000000006</v>
      </c>
      <c r="AC71" s="211">
        <f t="shared" ref="AC71:AH72" si="108">+I71</f>
        <v>0.000218316716171187</v>
      </c>
      <c r="AD71" s="211">
        <f t="shared" si="108"/>
        <v>0.000218316716171187</v>
      </c>
      <c r="AE71" s="211">
        <f t="shared" si="108"/>
        <v>0.000218316716171187</v>
      </c>
      <c r="AF71" s="211">
        <f t="shared" si="108"/>
        <v>0.000218316716171187</v>
      </c>
      <c r="AG71" s="211">
        <f t="shared" si="108"/>
        <v>0.000218316716171187</v>
      </c>
      <c r="AH71" s="211">
        <f t="shared" si="108"/>
        <v>0.000218316716171187</v>
      </c>
      <c r="AI71" s="211">
        <f t="shared" ref="AI71:AI72" si="109">AI70</f>
        <v>0.72856648446944483</v>
      </c>
      <c r="AJ71" s="211">
        <f t="shared" ref="AJ71:AL72" si="110">+P71</f>
        <v>0</v>
      </c>
      <c r="AK71" s="211">
        <f t="shared" si="110"/>
        <v>0.0145757850907516</v>
      </c>
      <c r="AL71" s="211">
        <f t="shared" si="110"/>
        <v>0.000218316716171187</v>
      </c>
      <c r="AM71" s="204">
        <f t="shared" ref="AM71:AM72" si="111">SUM(Y71:AL71)</f>
        <v>0.99988880328956586</v>
      </c>
      <c r="AO71" s="58"/>
    </row>
    <row r="72">
      <c r="B72" s="207">
        <v>2050</v>
      </c>
      <c r="C72" s="207" t="s">
        <v>458</v>
      </c>
      <c r="D72" s="208" t="s">
        <v>482</v>
      </c>
      <c r="E72" s="209">
        <v>0.000218316716171187</v>
      </c>
      <c r="F72" s="209">
        <v>0</v>
      </c>
      <c r="G72" s="209">
        <v>0.152259671871665</v>
      </c>
      <c r="H72" s="209">
        <v>0.15712852885131401</v>
      </c>
      <c r="I72" s="209">
        <v>0.000218316716171187</v>
      </c>
      <c r="J72" s="209">
        <v>0.000218316716171187</v>
      </c>
      <c r="K72" s="209">
        <v>0.000218316716171187</v>
      </c>
      <c r="L72" s="209">
        <v>0.000218316716171187</v>
      </c>
      <c r="M72" s="209">
        <v>0.000218316716171187</v>
      </c>
      <c r="N72" s="209">
        <v>0.000218316716171187</v>
      </c>
      <c r="O72" s="209">
        <v>0.675599380753927</v>
      </c>
      <c r="P72" s="209">
        <v>0</v>
      </c>
      <c r="Q72" s="209">
        <v>0.0145757850907516</v>
      </c>
      <c r="R72" s="209">
        <v>0.000218316716171187</v>
      </c>
      <c r="S72" s="210">
        <f t="shared" si="79"/>
        <v>1.0013099002970269</v>
      </c>
      <c r="U72" s="207">
        <v>2050</v>
      </c>
      <c r="V72" s="207" t="s">
        <v>458</v>
      </c>
      <c r="W72" s="207">
        <v>2050</v>
      </c>
      <c r="X72" s="208" t="s">
        <v>482</v>
      </c>
      <c r="Y72" s="211">
        <f t="shared" si="106"/>
        <v>0.000218316716171187</v>
      </c>
      <c r="Z72" s="211">
        <f t="shared" si="107"/>
        <v>0</v>
      </c>
      <c r="AA72" s="211">
        <f>AA71</f>
        <v>0.17000000000000001</v>
      </c>
      <c r="AB72" s="211">
        <f>AB71</f>
        <v>0.085000000000000006</v>
      </c>
      <c r="AC72" s="211">
        <f t="shared" si="108"/>
        <v>0.000218316716171187</v>
      </c>
      <c r="AD72" s="211">
        <f t="shared" si="108"/>
        <v>0.000218316716171187</v>
      </c>
      <c r="AE72" s="211">
        <f t="shared" si="108"/>
        <v>0.000218316716171187</v>
      </c>
      <c r="AF72" s="211">
        <f t="shared" si="108"/>
        <v>0.000218316716171187</v>
      </c>
      <c r="AG72" s="211">
        <f t="shared" si="108"/>
        <v>0.000218316716171187</v>
      </c>
      <c r="AH72" s="211">
        <f t="shared" si="108"/>
        <v>0.000218316716171187</v>
      </c>
      <c r="AI72" s="211">
        <f t="shared" si="109"/>
        <v>0.72856648446944483</v>
      </c>
      <c r="AJ72" s="211">
        <f t="shared" si="110"/>
        <v>0</v>
      </c>
      <c r="AK72" s="211">
        <f t="shared" si="110"/>
        <v>0.0145757850907516</v>
      </c>
      <c r="AL72" s="211">
        <f t="shared" si="110"/>
        <v>0.000218316716171187</v>
      </c>
      <c r="AM72" s="204">
        <f t="shared" si="111"/>
        <v>0.99988880328956586</v>
      </c>
      <c r="AO72" s="58"/>
    </row>
    <row r="73">
      <c r="B73" s="213"/>
      <c r="C73" s="213"/>
      <c r="D73" s="214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6"/>
      <c r="U73" s="213"/>
      <c r="V73" s="213"/>
      <c r="W73" s="213"/>
      <c r="X73" s="214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8"/>
      <c r="AO73" s="58"/>
    </row>
    <row r="74">
      <c r="B74" s="202"/>
      <c r="C74" s="202" t="s">
        <v>23</v>
      </c>
      <c r="D74" s="202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10"/>
      <c r="U74" s="202"/>
      <c r="V74" s="205" t="s">
        <v>23</v>
      </c>
      <c r="W74" s="205"/>
      <c r="X74" s="205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4"/>
      <c r="AO74" s="58"/>
    </row>
    <row r="75">
      <c r="B75" s="207">
        <v>2019</v>
      </c>
      <c r="C75" s="207" t="s">
        <v>460</v>
      </c>
      <c r="D75" s="208" t="s">
        <v>482</v>
      </c>
      <c r="E75" s="209">
        <v>0</v>
      </c>
      <c r="F75" s="209"/>
      <c r="G75" s="209">
        <v>0.0050000000000000001</v>
      </c>
      <c r="H75" s="209">
        <v>0.93000000000000005</v>
      </c>
      <c r="I75" s="209">
        <v>0.0050000000000000001</v>
      </c>
      <c r="J75" s="209">
        <v>0</v>
      </c>
      <c r="K75" s="209">
        <v>0</v>
      </c>
      <c r="L75" s="209">
        <v>0</v>
      </c>
      <c r="M75" s="209">
        <v>0</v>
      </c>
      <c r="N75" s="209">
        <v>0</v>
      </c>
      <c r="O75" s="209">
        <v>0.059999999999999998</v>
      </c>
      <c r="P75" s="209">
        <v>0</v>
      </c>
      <c r="Q75" s="209">
        <v>0</v>
      </c>
      <c r="R75" s="209">
        <v>0</v>
      </c>
      <c r="S75" s="210">
        <f t="shared" si="79"/>
        <v>1</v>
      </c>
      <c r="U75" s="207">
        <v>2019</v>
      </c>
      <c r="V75" s="207" t="s">
        <v>460</v>
      </c>
      <c r="W75" s="207">
        <v>2019</v>
      </c>
      <c r="X75" s="208" t="s">
        <v>482</v>
      </c>
      <c r="Y75" s="211">
        <f t="shared" ref="Y75:AM75" si="112">INDEX(X$11:X$35,MATCH($V75,$V$11:$V$35,0))/INDEX($AL$11:$AL$35,MATCH($V75,$V$11:$V$35,0))</f>
        <v>0</v>
      </c>
      <c r="Z75" s="211">
        <f t="shared" si="112"/>
        <v>0</v>
      </c>
      <c r="AA75" s="211">
        <f t="shared" si="112"/>
        <v>0.0050000000000000096</v>
      </c>
      <c r="AB75" s="211">
        <f t="shared" si="112"/>
        <v>0.93000000000000105</v>
      </c>
      <c r="AC75" s="211">
        <f t="shared" si="112"/>
        <v>0.0050000000000000096</v>
      </c>
      <c r="AD75" s="211">
        <f t="shared" si="112"/>
        <v>0</v>
      </c>
      <c r="AE75" s="211">
        <f t="shared" si="112"/>
        <v>0</v>
      </c>
      <c r="AF75" s="211">
        <f t="shared" si="112"/>
        <v>0</v>
      </c>
      <c r="AG75" s="211">
        <f t="shared" si="112"/>
        <v>0</v>
      </c>
      <c r="AH75" s="211">
        <f t="shared" si="112"/>
        <v>0</v>
      </c>
      <c r="AI75" s="211">
        <f t="shared" si="112"/>
        <v>0.060000000000000005</v>
      </c>
      <c r="AJ75" s="211">
        <f t="shared" si="112"/>
        <v>0</v>
      </c>
      <c r="AK75" s="211">
        <f t="shared" si="112"/>
        <v>0</v>
      </c>
      <c r="AL75" s="211">
        <f t="shared" si="112"/>
        <v>0</v>
      </c>
      <c r="AM75" s="204">
        <f t="shared" si="112"/>
        <v>1</v>
      </c>
      <c r="AO75" s="58" t="s">
        <v>489</v>
      </c>
    </row>
    <row r="76">
      <c r="B76" s="207">
        <v>2025</v>
      </c>
      <c r="C76" s="207" t="s">
        <v>460</v>
      </c>
      <c r="D76" s="208" t="s">
        <v>482</v>
      </c>
      <c r="E76" s="209">
        <v>0</v>
      </c>
      <c r="F76" s="209">
        <v>0</v>
      </c>
      <c r="G76" s="209">
        <v>0.0050000000000000001</v>
      </c>
      <c r="H76" s="209">
        <v>0.93000000000000005</v>
      </c>
      <c r="I76" s="209">
        <v>0.0050000000000000001</v>
      </c>
      <c r="J76" s="209">
        <v>0</v>
      </c>
      <c r="K76" s="209">
        <v>0</v>
      </c>
      <c r="L76" s="209">
        <v>0</v>
      </c>
      <c r="M76" s="209">
        <v>0</v>
      </c>
      <c r="N76" s="209">
        <v>0</v>
      </c>
      <c r="O76" s="209">
        <v>0.059999999999999998</v>
      </c>
      <c r="P76" s="209">
        <v>0</v>
      </c>
      <c r="Q76" s="209">
        <v>0</v>
      </c>
      <c r="R76" s="209">
        <v>0</v>
      </c>
      <c r="S76" s="210">
        <f t="shared" si="79"/>
        <v>1</v>
      </c>
      <c r="U76" s="207">
        <v>2025</v>
      </c>
      <c r="V76" s="207" t="s">
        <v>460</v>
      </c>
      <c r="W76" s="207">
        <v>2025</v>
      </c>
      <c r="X76" s="208" t="s">
        <v>482</v>
      </c>
      <c r="Y76" s="211">
        <f t="shared" ref="Y76:AL77" si="113">+E76</f>
        <v>0</v>
      </c>
      <c r="Z76" s="211">
        <f t="shared" si="113"/>
        <v>0</v>
      </c>
      <c r="AA76" s="211">
        <f t="shared" si="113"/>
        <v>0.0050000000000000001</v>
      </c>
      <c r="AB76" s="211">
        <f t="shared" si="113"/>
        <v>0.93000000000000005</v>
      </c>
      <c r="AC76" s="211">
        <f t="shared" si="113"/>
        <v>0.0050000000000000001</v>
      </c>
      <c r="AD76" s="211">
        <f t="shared" si="113"/>
        <v>0</v>
      </c>
      <c r="AE76" s="211">
        <f t="shared" si="113"/>
        <v>0</v>
      </c>
      <c r="AF76" s="211">
        <f t="shared" si="113"/>
        <v>0</v>
      </c>
      <c r="AG76" s="211">
        <f t="shared" si="113"/>
        <v>0</v>
      </c>
      <c r="AH76" s="211">
        <f t="shared" si="113"/>
        <v>0</v>
      </c>
      <c r="AI76" s="211">
        <f t="shared" si="113"/>
        <v>0.059999999999999998</v>
      </c>
      <c r="AJ76" s="211">
        <f t="shared" si="113"/>
        <v>0</v>
      </c>
      <c r="AK76" s="211">
        <f t="shared" si="113"/>
        <v>0</v>
      </c>
      <c r="AL76" s="211">
        <f t="shared" si="113"/>
        <v>0</v>
      </c>
      <c r="AM76" s="204">
        <f t="shared" ref="AM76:AM77" si="114">SUM(Y76:AL76)</f>
        <v>1</v>
      </c>
      <c r="AO76" s="58"/>
    </row>
    <row r="77">
      <c r="B77" s="207">
        <v>2050</v>
      </c>
      <c r="C77" s="207" t="s">
        <v>460</v>
      </c>
      <c r="D77" s="208" t="s">
        <v>482</v>
      </c>
      <c r="E77" s="209">
        <v>0</v>
      </c>
      <c r="F77" s="209">
        <v>0</v>
      </c>
      <c r="G77" s="209">
        <v>0.0050000000000000001</v>
      </c>
      <c r="H77" s="209">
        <v>0.23000000000000001</v>
      </c>
      <c r="I77" s="209">
        <v>0.0050000000000000001</v>
      </c>
      <c r="J77" s="209">
        <v>0</v>
      </c>
      <c r="K77" s="209">
        <v>0</v>
      </c>
      <c r="L77" s="209">
        <v>0</v>
      </c>
      <c r="M77" s="209">
        <v>0</v>
      </c>
      <c r="N77" s="209">
        <v>0</v>
      </c>
      <c r="O77" s="209">
        <v>0.76000000000000001</v>
      </c>
      <c r="P77" s="209">
        <v>0</v>
      </c>
      <c r="Q77" s="209">
        <v>0</v>
      </c>
      <c r="R77" s="209">
        <v>0</v>
      </c>
      <c r="S77" s="210">
        <f t="shared" si="79"/>
        <v>1</v>
      </c>
      <c r="U77" s="207">
        <v>2050</v>
      </c>
      <c r="V77" s="207" t="s">
        <v>460</v>
      </c>
      <c r="W77" s="207">
        <v>2050</v>
      </c>
      <c r="X77" s="208" t="s">
        <v>482</v>
      </c>
      <c r="Y77" s="211">
        <f t="shared" si="113"/>
        <v>0</v>
      </c>
      <c r="Z77" s="211">
        <f>+F77</f>
        <v>0</v>
      </c>
      <c r="AA77" s="211">
        <f>+G77</f>
        <v>0.0050000000000000001</v>
      </c>
      <c r="AB77" s="211">
        <f>+AB76</f>
        <v>0.93000000000000005</v>
      </c>
      <c r="AC77" s="211">
        <f t="shared" ref="AC77:AH77" si="115">+I77</f>
        <v>0.0050000000000000001</v>
      </c>
      <c r="AD77" s="211">
        <f t="shared" si="115"/>
        <v>0</v>
      </c>
      <c r="AE77" s="211">
        <f t="shared" si="115"/>
        <v>0</v>
      </c>
      <c r="AF77" s="211">
        <f t="shared" si="115"/>
        <v>0</v>
      </c>
      <c r="AG77" s="211">
        <f t="shared" si="115"/>
        <v>0</v>
      </c>
      <c r="AH77" s="211">
        <f t="shared" si="115"/>
        <v>0</v>
      </c>
      <c r="AI77" s="211">
        <f>+AI76</f>
        <v>0.059999999999999998</v>
      </c>
      <c r="AJ77" s="211">
        <f>+P77</f>
        <v>0</v>
      </c>
      <c r="AK77" s="211">
        <f>+Q77</f>
        <v>0</v>
      </c>
      <c r="AL77" s="211">
        <f>+R77</f>
        <v>0</v>
      </c>
      <c r="AM77" s="204">
        <f t="shared" si="114"/>
        <v>1</v>
      </c>
      <c r="AO77" s="58"/>
    </row>
    <row r="78">
      <c r="B78" s="213"/>
      <c r="C78" s="213"/>
      <c r="D78" s="214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6"/>
      <c r="U78" s="213"/>
      <c r="V78" s="213"/>
      <c r="W78" s="213"/>
      <c r="X78" s="214"/>
      <c r="Y78" s="217"/>
      <c r="Z78" s="217"/>
      <c r="AA78" s="217"/>
      <c r="AB78" s="217"/>
      <c r="AC78" s="217"/>
      <c r="AD78" s="217"/>
      <c r="AE78" s="217"/>
      <c r="AF78" s="217"/>
      <c r="AG78" s="217"/>
      <c r="AH78" s="217"/>
      <c r="AI78" s="217"/>
      <c r="AJ78" s="217"/>
      <c r="AK78" s="217"/>
      <c r="AL78" s="217"/>
      <c r="AM78" s="218"/>
      <c r="AO78" s="58"/>
    </row>
    <row r="79">
      <c r="B79" s="207">
        <v>2019</v>
      </c>
      <c r="C79" s="207" t="s">
        <v>461</v>
      </c>
      <c r="D79" s="208" t="s">
        <v>482</v>
      </c>
      <c r="E79" s="209">
        <v>0</v>
      </c>
      <c r="F79" s="209"/>
      <c r="G79" s="209">
        <v>0.068403293431177806</v>
      </c>
      <c r="H79" s="209">
        <v>0.494979970656034</v>
      </c>
      <c r="I79" s="209">
        <v>0.030411115934223999</v>
      </c>
      <c r="J79" s="209">
        <v>0</v>
      </c>
      <c r="K79" s="209">
        <v>0</v>
      </c>
      <c r="L79" s="209">
        <v>0</v>
      </c>
      <c r="M79" s="209">
        <v>0</v>
      </c>
      <c r="N79" s="209">
        <v>0</v>
      </c>
      <c r="O79" s="209">
        <v>0.22808336950668001</v>
      </c>
      <c r="P79" s="209">
        <v>0</v>
      </c>
      <c r="Q79" s="209">
        <v>0.17812225047188401</v>
      </c>
      <c r="R79" s="209">
        <v>0</v>
      </c>
      <c r="S79" s="210">
        <f t="shared" si="79"/>
        <v>0.99999999999999978</v>
      </c>
      <c r="U79" s="207">
        <v>2019</v>
      </c>
      <c r="V79" s="207" t="s">
        <v>461</v>
      </c>
      <c r="W79" s="207">
        <v>2019</v>
      </c>
      <c r="X79" s="208" t="s">
        <v>482</v>
      </c>
      <c r="Y79" s="211">
        <f t="shared" ref="Y79:AM79" si="116">INDEX(X$11:X$35,MATCH($V79,$V$11:$V$35,0))/INDEX($AL$11:$AL$35,MATCH($V79,$V$11:$V$35,0))</f>
        <v>0</v>
      </c>
      <c r="Z79" s="211">
        <f t="shared" si="116"/>
        <v>0</v>
      </c>
      <c r="AA79" s="211">
        <f t="shared" si="116"/>
        <v>0.036525385410182312</v>
      </c>
      <c r="AB79" s="211">
        <f t="shared" si="116"/>
        <v>0.65745693738328292</v>
      </c>
      <c r="AC79" s="211">
        <f t="shared" si="116"/>
        <v>0.013284637135304488</v>
      </c>
      <c r="AD79" s="211">
        <f t="shared" si="116"/>
        <v>0</v>
      </c>
      <c r="AE79" s="211">
        <f t="shared" si="116"/>
        <v>0</v>
      </c>
      <c r="AF79" s="211">
        <f t="shared" si="116"/>
        <v>0</v>
      </c>
      <c r="AG79" s="211">
        <f t="shared" si="116"/>
        <v>0</v>
      </c>
      <c r="AH79" s="211">
        <f t="shared" si="116"/>
        <v>0</v>
      </c>
      <c r="AI79" s="211">
        <f t="shared" si="116"/>
        <v>0.16043805594258678</v>
      </c>
      <c r="AJ79" s="211">
        <f t="shared" si="116"/>
        <v>0</v>
      </c>
      <c r="AK79" s="211">
        <f t="shared" si="116"/>
        <v>0.13229498412864227</v>
      </c>
      <c r="AL79" s="211">
        <f t="shared" si="116"/>
        <v>0</v>
      </c>
      <c r="AM79" s="204">
        <f t="shared" si="116"/>
        <v>1</v>
      </c>
      <c r="AO79" s="58" t="s">
        <v>488</v>
      </c>
    </row>
    <row r="80">
      <c r="B80" s="207">
        <v>2025</v>
      </c>
      <c r="C80" s="207" t="s">
        <v>461</v>
      </c>
      <c r="D80" s="208" t="s">
        <v>482</v>
      </c>
      <c r="E80" s="209">
        <v>0</v>
      </c>
      <c r="F80" s="209">
        <v>0</v>
      </c>
      <c r="G80" s="209">
        <v>0.036519027230689297</v>
      </c>
      <c r="H80" s="209">
        <v>0.494979970656034</v>
      </c>
      <c r="I80" s="209">
        <v>0.030411115934223999</v>
      </c>
      <c r="J80" s="209">
        <v>0</v>
      </c>
      <c r="K80" s="209">
        <v>0</v>
      </c>
      <c r="L80" s="209">
        <v>0</v>
      </c>
      <c r="M80" s="209">
        <v>0</v>
      </c>
      <c r="N80" s="209">
        <v>0</v>
      </c>
      <c r="O80" s="209">
        <v>0.24821952548086201</v>
      </c>
      <c r="P80" s="209">
        <v>0</v>
      </c>
      <c r="Q80" s="209">
        <v>0.17812225047188401</v>
      </c>
      <c r="R80" s="209">
        <v>0.0117</v>
      </c>
      <c r="S80" s="210">
        <f t="shared" si="79"/>
        <v>0.99995188977369331</v>
      </c>
      <c r="U80" s="207">
        <v>2025</v>
      </c>
      <c r="V80" s="207" t="s">
        <v>461</v>
      </c>
      <c r="W80" s="207">
        <v>2025</v>
      </c>
      <c r="X80" s="208" t="s">
        <v>482</v>
      </c>
      <c r="Y80" s="211">
        <f t="shared" ref="Y80:Y81" si="117">+E80</f>
        <v>0</v>
      </c>
      <c r="Z80" s="211">
        <f t="shared" ref="Z80:Z81" si="118">+F80</f>
        <v>0</v>
      </c>
      <c r="AA80" s="211">
        <v>0.029999999999999999</v>
      </c>
      <c r="AB80" s="211">
        <v>0.64000000000000001</v>
      </c>
      <c r="AC80" s="211">
        <f t="shared" ref="AC80:AH80" si="119">+I80</f>
        <v>0.030411115934223999</v>
      </c>
      <c r="AD80" s="211">
        <f t="shared" si="119"/>
        <v>0</v>
      </c>
      <c r="AE80" s="211">
        <f t="shared" si="119"/>
        <v>0</v>
      </c>
      <c r="AF80" s="211">
        <f t="shared" si="119"/>
        <v>0</v>
      </c>
      <c r="AG80" s="211">
        <f t="shared" si="119"/>
        <v>0</v>
      </c>
      <c r="AH80" s="211">
        <f t="shared" si="119"/>
        <v>0</v>
      </c>
      <c r="AI80" s="211">
        <v>0.17000000000000001</v>
      </c>
      <c r="AJ80" s="211">
        <f t="shared" ref="AJ80:AJ81" si="120">+P80</f>
        <v>0</v>
      </c>
      <c r="AK80" s="211">
        <v>0.12</v>
      </c>
      <c r="AL80" s="211">
        <v>0.01</v>
      </c>
      <c r="AM80" s="204">
        <f t="shared" ref="AM80:AM81" si="121">SUM(Y80:AL80)</f>
        <v>1.0004111159342239</v>
      </c>
      <c r="AO80" s="58" t="s">
        <v>490</v>
      </c>
    </row>
    <row r="81">
      <c r="B81" s="207">
        <v>2050</v>
      </c>
      <c r="C81" s="207" t="s">
        <v>461</v>
      </c>
      <c r="D81" s="208" t="s">
        <v>482</v>
      </c>
      <c r="E81" s="209">
        <v>0</v>
      </c>
      <c r="F81" s="209">
        <v>0</v>
      </c>
      <c r="G81" s="209">
        <v>0.01</v>
      </c>
      <c r="H81" s="209">
        <v>0.52149899788672405</v>
      </c>
      <c r="I81" s="209">
        <v>0.030411115934223999</v>
      </c>
      <c r="J81" s="209">
        <v>0</v>
      </c>
      <c r="K81" s="209">
        <v>0</v>
      </c>
      <c r="L81" s="209">
        <v>0</v>
      </c>
      <c r="M81" s="209">
        <v>0</v>
      </c>
      <c r="N81" s="209">
        <v>0</v>
      </c>
      <c r="O81" s="209">
        <v>0.298219525480862</v>
      </c>
      <c r="P81" s="209">
        <v>0</v>
      </c>
      <c r="Q81" s="209">
        <v>0.128122250471884</v>
      </c>
      <c r="R81" s="209">
        <v>0.011748110226307101</v>
      </c>
      <c r="S81" s="210">
        <f t="shared" si="79"/>
        <v>1.0000000000000011</v>
      </c>
      <c r="U81" s="207">
        <v>2050</v>
      </c>
      <c r="V81" s="207" t="s">
        <v>461</v>
      </c>
      <c r="W81" s="207">
        <v>2050</v>
      </c>
      <c r="X81" s="208" t="s">
        <v>482</v>
      </c>
      <c r="Y81" s="211">
        <f t="shared" si="117"/>
        <v>0</v>
      </c>
      <c r="Z81" s="211">
        <f t="shared" si="118"/>
        <v>0</v>
      </c>
      <c r="AA81" s="211">
        <f>+G81</f>
        <v>0.01</v>
      </c>
      <c r="AB81" s="211">
        <v>0.64000000000000001</v>
      </c>
      <c r="AC81" s="211">
        <v>0.050000000000000003</v>
      </c>
      <c r="AD81" s="211">
        <f>+J81</f>
        <v>0</v>
      </c>
      <c r="AE81" s="211">
        <f>+K81</f>
        <v>0</v>
      </c>
      <c r="AF81" s="211">
        <f>+L81</f>
        <v>0</v>
      </c>
      <c r="AG81" s="211">
        <f>+M81</f>
        <v>0</v>
      </c>
      <c r="AH81" s="211">
        <f>+N81</f>
        <v>0</v>
      </c>
      <c r="AI81" s="211">
        <f>1-SUM(Y81:AH81,AJ81:AL81)</f>
        <v>0.19999999999999996</v>
      </c>
      <c r="AJ81" s="211">
        <f t="shared" si="120"/>
        <v>0</v>
      </c>
      <c r="AK81" s="211">
        <v>0.089999999999999997</v>
      </c>
      <c r="AL81" s="211">
        <v>0.01</v>
      </c>
      <c r="AM81" s="204">
        <f t="shared" si="121"/>
        <v>1</v>
      </c>
      <c r="AO81" s="58"/>
    </row>
    <row r="82">
      <c r="B82" s="213"/>
      <c r="C82" s="213"/>
      <c r="D82" s="214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6"/>
      <c r="U82" s="213"/>
      <c r="V82" s="213"/>
      <c r="W82" s="213"/>
      <c r="X82" s="214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8"/>
      <c r="AO82" s="58"/>
    </row>
    <row r="83">
      <c r="B83" s="207">
        <v>2019</v>
      </c>
      <c r="C83" s="207" t="s">
        <v>463</v>
      </c>
      <c r="D83" s="208" t="s">
        <v>482</v>
      </c>
      <c r="E83" s="209">
        <v>0.081790103158823804</v>
      </c>
      <c r="F83" s="209"/>
      <c r="G83" s="209">
        <v>0.058595894299541498</v>
      </c>
      <c r="H83" s="209">
        <v>0.40213172017946802</v>
      </c>
      <c r="I83" s="209">
        <v>0.0064971647823342804</v>
      </c>
      <c r="J83" s="209">
        <v>0</v>
      </c>
      <c r="K83" s="209">
        <v>0</v>
      </c>
      <c r="L83" s="209">
        <v>0</v>
      </c>
      <c r="M83" s="209">
        <v>0</v>
      </c>
      <c r="N83" s="209">
        <v>0</v>
      </c>
      <c r="O83" s="209">
        <v>0.29902835091906599</v>
      </c>
      <c r="P83" s="209">
        <v>0</v>
      </c>
      <c r="Q83" s="209">
        <v>0.15194510837917699</v>
      </c>
      <c r="R83" s="209">
        <v>0</v>
      </c>
      <c r="S83" s="210">
        <f t="shared" si="79"/>
        <v>0.99998834171841056</v>
      </c>
      <c r="U83" s="207">
        <v>2019</v>
      </c>
      <c r="V83" s="207" t="s">
        <v>463</v>
      </c>
      <c r="W83" s="207">
        <v>2019</v>
      </c>
      <c r="X83" s="208" t="s">
        <v>482</v>
      </c>
      <c r="Y83" s="211">
        <f t="shared" ref="Y83:AM88" si="122">INDEX(X$11:X$35,MATCH($V83,$V$11:$V$35,0))/INDEX($AL$11:$AL$35,MATCH($V83,$V$11:$V$35,0))</f>
        <v>0.1397937629383523</v>
      </c>
      <c r="Z83" s="211">
        <f t="shared" si="122"/>
        <v>0.0026319607416896646</v>
      </c>
      <c r="AA83" s="211">
        <f t="shared" si="122"/>
        <v>0.10527809907127257</v>
      </c>
      <c r="AB83" s="211">
        <f t="shared" si="122"/>
        <v>0.058343169023411294</v>
      </c>
      <c r="AC83" s="211">
        <f t="shared" si="122"/>
        <v>0.017759393453846233</v>
      </c>
      <c r="AD83" s="211">
        <f t="shared" si="122"/>
        <v>0</v>
      </c>
      <c r="AE83" s="211">
        <f t="shared" si="122"/>
        <v>0</v>
      </c>
      <c r="AF83" s="211">
        <f t="shared" si="122"/>
        <v>0</v>
      </c>
      <c r="AG83" s="211">
        <f t="shared" si="122"/>
        <v>0</v>
      </c>
      <c r="AH83" s="211">
        <f t="shared" si="122"/>
        <v>0</v>
      </c>
      <c r="AI83" s="211">
        <f t="shared" si="122"/>
        <v>0.46608999419356434</v>
      </c>
      <c r="AJ83" s="211">
        <f t="shared" si="122"/>
        <v>0</v>
      </c>
      <c r="AK83" s="211">
        <f t="shared" si="122"/>
        <v>0.21010362057786305</v>
      </c>
      <c r="AL83" s="211">
        <f t="shared" si="122"/>
        <v>0</v>
      </c>
      <c r="AM83" s="204">
        <f t="shared" si="122"/>
        <v>1</v>
      </c>
      <c r="AO83" s="58" t="s">
        <v>488</v>
      </c>
    </row>
    <row r="84">
      <c r="B84" s="207">
        <v>2025</v>
      </c>
      <c r="C84" s="207" t="s">
        <v>463</v>
      </c>
      <c r="D84" s="208" t="s">
        <v>482</v>
      </c>
      <c r="E84" s="209">
        <v>0.062550627514588494</v>
      </c>
      <c r="F84" s="209">
        <v>0</v>
      </c>
      <c r="G84" s="209">
        <v>0.058595894299541498</v>
      </c>
      <c r="H84" s="209">
        <v>0.39124178724877001</v>
      </c>
      <c r="I84" s="209">
        <v>0.017387097713031801</v>
      </c>
      <c r="J84" s="209">
        <v>0</v>
      </c>
      <c r="K84" s="209">
        <v>0</v>
      </c>
      <c r="L84" s="209">
        <v>0</v>
      </c>
      <c r="M84" s="209">
        <v>0</v>
      </c>
      <c r="N84" s="209">
        <v>0</v>
      </c>
      <c r="O84" s="209">
        <v>0.30482105840411999</v>
      </c>
      <c r="P84" s="209">
        <v>0</v>
      </c>
      <c r="Q84" s="209">
        <v>0.16389187653835899</v>
      </c>
      <c r="R84" s="209">
        <v>0</v>
      </c>
      <c r="S84" s="210">
        <f t="shared" si="79"/>
        <v>0.99848834171841083</v>
      </c>
      <c r="U84" s="207">
        <v>2025</v>
      </c>
      <c r="V84" s="207" t="s">
        <v>463</v>
      </c>
      <c r="W84" s="207">
        <v>2025</v>
      </c>
      <c r="X84" s="208" t="s">
        <v>482</v>
      </c>
      <c r="Y84" s="211">
        <v>0.11</v>
      </c>
      <c r="Z84" s="211">
        <f t="shared" ref="Z84:Z85" si="123">+F84</f>
        <v>0</v>
      </c>
      <c r="AA84" s="211">
        <v>0.089999999999999997</v>
      </c>
      <c r="AB84" s="211">
        <f>AB83+1%</f>
        <v>0.068343169023411296</v>
      </c>
      <c r="AC84" s="211">
        <f t="shared" ref="AC84:AH84" si="124">+I84</f>
        <v>0.017387097713031801</v>
      </c>
      <c r="AD84" s="211">
        <f t="shared" si="124"/>
        <v>0</v>
      </c>
      <c r="AE84" s="211">
        <f t="shared" si="124"/>
        <v>0</v>
      </c>
      <c r="AF84" s="211">
        <f t="shared" si="124"/>
        <v>0</v>
      </c>
      <c r="AG84" s="211">
        <f t="shared" si="124"/>
        <v>0</v>
      </c>
      <c r="AH84" s="211">
        <f t="shared" si="124"/>
        <v>0</v>
      </c>
      <c r="AI84" s="211">
        <f t="shared" ref="AI84:AI85" si="125">1-SUM(Y84:AH84,AJ84:AL84)</f>
        <v>0.49426973326355683</v>
      </c>
      <c r="AJ84" s="211">
        <f t="shared" ref="AJ84:AJ85" si="126">+P84</f>
        <v>0</v>
      </c>
      <c r="AK84" s="211">
        <v>0.22</v>
      </c>
      <c r="AL84" s="211">
        <f t="shared" ref="AL84:AL85" si="127">+R84</f>
        <v>0</v>
      </c>
      <c r="AM84" s="204">
        <f t="shared" ref="AM84:AM85" si="128">SUM(Y84:AL84)</f>
        <v>1</v>
      </c>
      <c r="AO84" s="58" t="s">
        <v>490</v>
      </c>
    </row>
    <row r="85">
      <c r="B85" s="207">
        <v>2050</v>
      </c>
      <c r="C85" s="207" t="s">
        <v>463</v>
      </c>
      <c r="D85" s="208" t="s">
        <v>482</v>
      </c>
      <c r="E85" s="209">
        <v>0</v>
      </c>
      <c r="F85" s="209">
        <v>0</v>
      </c>
      <c r="G85" s="209">
        <v>0.058595894299541498</v>
      </c>
      <c r="H85" s="209">
        <v>0.39124178724877001</v>
      </c>
      <c r="I85" s="209">
        <v>0.017387097713031801</v>
      </c>
      <c r="J85" s="209">
        <v>0</v>
      </c>
      <c r="K85" s="209">
        <v>0</v>
      </c>
      <c r="L85" s="209">
        <v>0</v>
      </c>
      <c r="M85" s="209">
        <v>0</v>
      </c>
      <c r="N85" s="209">
        <v>0</v>
      </c>
      <c r="O85" s="209">
        <v>0.32482105840412001</v>
      </c>
      <c r="P85" s="209">
        <v>0</v>
      </c>
      <c r="Q85" s="209">
        <v>0.20795416233453601</v>
      </c>
      <c r="R85" s="209">
        <v>0</v>
      </c>
      <c r="S85" s="210">
        <f t="shared" si="79"/>
        <v>0.99999999999999933</v>
      </c>
      <c r="U85" s="207">
        <v>2050</v>
      </c>
      <c r="V85" s="207" t="s">
        <v>463</v>
      </c>
      <c r="W85" s="207">
        <v>2050</v>
      </c>
      <c r="X85" s="208" t="s">
        <v>482</v>
      </c>
      <c r="Y85" s="211">
        <v>0</v>
      </c>
      <c r="Z85" s="211">
        <f t="shared" si="123"/>
        <v>0</v>
      </c>
      <c r="AA85" s="211">
        <f>AA84</f>
        <v>0.089999999999999997</v>
      </c>
      <c r="AB85" s="211">
        <f>AB84</f>
        <v>0.068343169023411296</v>
      </c>
      <c r="AC85" s="211">
        <f>AC84+3%</f>
        <v>0.047387097713031803</v>
      </c>
      <c r="AD85" s="211">
        <f>+J85</f>
        <v>0</v>
      </c>
      <c r="AE85" s="211">
        <f>+K85</f>
        <v>0</v>
      </c>
      <c r="AF85" s="211">
        <f>+L85</f>
        <v>0</v>
      </c>
      <c r="AG85" s="211">
        <f>+M85</f>
        <v>0</v>
      </c>
      <c r="AH85" s="211">
        <f>+N85</f>
        <v>0</v>
      </c>
      <c r="AI85" s="211">
        <f t="shared" si="125"/>
        <v>0.54416611268569381</v>
      </c>
      <c r="AJ85" s="211">
        <f t="shared" si="126"/>
        <v>0</v>
      </c>
      <c r="AK85" s="211">
        <f>AK83+4%</f>
        <v>0.25010362057786306</v>
      </c>
      <c r="AL85" s="211">
        <f t="shared" si="127"/>
        <v>0</v>
      </c>
      <c r="AM85" s="204">
        <f t="shared" si="128"/>
        <v>1</v>
      </c>
      <c r="AO85" s="58"/>
    </row>
    <row r="86">
      <c r="B86" s="213"/>
      <c r="C86" s="213"/>
      <c r="D86" s="214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6"/>
      <c r="U86" s="213"/>
      <c r="V86" s="213"/>
      <c r="W86" s="213"/>
      <c r="X86" s="214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8"/>
      <c r="AO86" s="58"/>
    </row>
    <row r="87">
      <c r="B87" s="202"/>
      <c r="C87" s="202" t="s">
        <v>464</v>
      </c>
      <c r="D87" s="202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10"/>
      <c r="U87" s="202"/>
      <c r="V87" s="205" t="s">
        <v>464</v>
      </c>
      <c r="W87" s="205"/>
      <c r="X87" s="205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4"/>
      <c r="AO87" s="58"/>
    </row>
    <row r="88">
      <c r="B88" s="207">
        <v>2019</v>
      </c>
      <c r="C88" s="207" t="s">
        <v>465</v>
      </c>
      <c r="D88" s="208" t="s">
        <v>482</v>
      </c>
      <c r="E88" s="209">
        <v>0.14000000000000001</v>
      </c>
      <c r="F88" s="209"/>
      <c r="G88" s="209">
        <v>0.38500000000000001</v>
      </c>
      <c r="H88" s="209">
        <v>0.02</v>
      </c>
      <c r="I88" s="209">
        <v>0.42499999999999999</v>
      </c>
      <c r="J88" s="209">
        <v>0</v>
      </c>
      <c r="K88" s="209">
        <v>0</v>
      </c>
      <c r="L88" s="209">
        <v>0</v>
      </c>
      <c r="M88" s="209">
        <v>0</v>
      </c>
      <c r="N88" s="209">
        <v>0</v>
      </c>
      <c r="O88" s="209">
        <v>0.029999999999999999</v>
      </c>
      <c r="P88" s="209">
        <v>0</v>
      </c>
      <c r="Q88" s="209">
        <v>0</v>
      </c>
      <c r="R88" s="209">
        <v>0</v>
      </c>
      <c r="S88" s="210">
        <f t="shared" si="79"/>
        <v>1</v>
      </c>
      <c r="U88" s="207">
        <v>2019</v>
      </c>
      <c r="V88" s="207" t="s">
        <v>465</v>
      </c>
      <c r="W88" s="207">
        <v>2019</v>
      </c>
      <c r="X88" s="208" t="s">
        <v>482</v>
      </c>
      <c r="Y88" s="211">
        <f t="shared" si="122"/>
        <v>0.12616352577283507</v>
      </c>
      <c r="Z88" s="211">
        <f t="shared" si="122"/>
        <v>0</v>
      </c>
      <c r="AA88" s="211">
        <f t="shared" si="122"/>
        <v>0.34694969587529612</v>
      </c>
      <c r="AB88" s="211">
        <f t="shared" si="122"/>
        <v>0.018023360824690714</v>
      </c>
      <c r="AC88" s="211">
        <f t="shared" si="122"/>
        <v>0.15319856700987075</v>
      </c>
      <c r="AD88" s="211">
        <f t="shared" si="122"/>
        <v>0.2297978505148065</v>
      </c>
      <c r="AE88" s="211">
        <f t="shared" si="122"/>
        <v>0</v>
      </c>
      <c r="AF88" s="211">
        <f t="shared" si="122"/>
        <v>0</v>
      </c>
      <c r="AG88" s="211">
        <f t="shared" si="122"/>
        <v>0</v>
      </c>
      <c r="AH88" s="211">
        <f t="shared" si="122"/>
        <v>0</v>
      </c>
      <c r="AI88" s="211">
        <f t="shared" si="122"/>
        <v>0.12586700000250084</v>
      </c>
      <c r="AJ88" s="211">
        <f t="shared" si="122"/>
        <v>0</v>
      </c>
      <c r="AK88" s="211">
        <f t="shared" si="122"/>
        <v>0</v>
      </c>
      <c r="AL88" s="211">
        <f t="shared" si="122"/>
        <v>0</v>
      </c>
      <c r="AM88" s="204">
        <f t="shared" si="122"/>
        <v>1</v>
      </c>
      <c r="AO88" s="58" t="s">
        <v>488</v>
      </c>
      <c r="AP88" s="4"/>
      <c r="AQ88" s="4"/>
    </row>
    <row r="89">
      <c r="B89" s="207">
        <v>2025</v>
      </c>
      <c r="C89" s="207" t="s">
        <v>465</v>
      </c>
      <c r="D89" s="208" t="s">
        <v>482</v>
      </c>
      <c r="E89" s="209">
        <v>0.13806751208555099</v>
      </c>
      <c r="F89" s="209">
        <v>0</v>
      </c>
      <c r="G89" s="209">
        <v>0.38500000000000001</v>
      </c>
      <c r="H89" s="209">
        <v>0.02</v>
      </c>
      <c r="I89" s="209">
        <v>0.42693248791444899</v>
      </c>
      <c r="J89" s="209">
        <v>0</v>
      </c>
      <c r="K89" s="209">
        <v>0</v>
      </c>
      <c r="L89" s="209">
        <v>0</v>
      </c>
      <c r="M89" s="209">
        <v>0</v>
      </c>
      <c r="N89" s="209">
        <v>0</v>
      </c>
      <c r="O89" s="209">
        <v>0.029999999999999999</v>
      </c>
      <c r="P89" s="209">
        <v>0</v>
      </c>
      <c r="Q89" s="209">
        <v>0</v>
      </c>
      <c r="R89" s="209">
        <v>0</v>
      </c>
      <c r="S89" s="210">
        <f t="shared" si="79"/>
        <v>1</v>
      </c>
      <c r="U89" s="207">
        <v>2025</v>
      </c>
      <c r="V89" s="207" t="s">
        <v>465</v>
      </c>
      <c r="W89" s="207">
        <v>2025</v>
      </c>
      <c r="X89" s="208" t="s">
        <v>482</v>
      </c>
      <c r="Y89" s="211">
        <v>0.089999999999999997</v>
      </c>
      <c r="Z89" s="211">
        <f t="shared" ref="Z89:Z90" si="129">+F89</f>
        <v>0</v>
      </c>
      <c r="AA89" s="211">
        <f>AA88</f>
        <v>0.34694969587529612</v>
      </c>
      <c r="AB89" s="211">
        <f t="shared" ref="AB89:AB90" si="130">+H89</f>
        <v>0.02</v>
      </c>
      <c r="AC89" s="211">
        <v>0.17000000000000001</v>
      </c>
      <c r="AD89" s="211">
        <v>0.23999999999999999</v>
      </c>
      <c r="AE89" s="211">
        <f t="shared" ref="AE89:AH90" si="131">+K89</f>
        <v>0</v>
      </c>
      <c r="AF89" s="211">
        <f t="shared" si="131"/>
        <v>0</v>
      </c>
      <c r="AG89" s="211">
        <f t="shared" si="131"/>
        <v>0</v>
      </c>
      <c r="AH89" s="211">
        <f t="shared" si="131"/>
        <v>0</v>
      </c>
      <c r="AI89" s="211">
        <f t="shared" ref="AI89:AI90" si="132">1-SUM(Y89:AH89)</f>
        <v>0.13305030412470387</v>
      </c>
      <c r="AJ89" s="211">
        <f t="shared" ref="AJ89:AL90" si="133">+P89</f>
        <v>0</v>
      </c>
      <c r="AK89" s="211">
        <f t="shared" si="133"/>
        <v>0</v>
      </c>
      <c r="AL89" s="211">
        <f t="shared" si="133"/>
        <v>0</v>
      </c>
      <c r="AM89" s="204">
        <f t="shared" ref="AM89:AM90" si="134">SUM(Y89:AL89)</f>
        <v>1</v>
      </c>
      <c r="AO89" s="58" t="s">
        <v>490</v>
      </c>
      <c r="AP89" s="4"/>
      <c r="AQ89" s="4"/>
    </row>
    <row r="90">
      <c r="B90" s="207">
        <v>2050</v>
      </c>
      <c r="C90" s="207" t="s">
        <v>465</v>
      </c>
      <c r="D90" s="208" t="s">
        <v>482</v>
      </c>
      <c r="E90" s="209">
        <v>0.088067512085551095</v>
      </c>
      <c r="F90" s="209">
        <v>0</v>
      </c>
      <c r="G90" s="209">
        <v>0.33500000000000002</v>
      </c>
      <c r="H90" s="209">
        <v>0</v>
      </c>
      <c r="I90" s="209">
        <v>0.52693248791444902</v>
      </c>
      <c r="J90" s="209">
        <v>0</v>
      </c>
      <c r="K90" s="209">
        <v>0</v>
      </c>
      <c r="L90" s="209">
        <v>0</v>
      </c>
      <c r="M90" s="209">
        <v>0</v>
      </c>
      <c r="N90" s="209">
        <v>0</v>
      </c>
      <c r="O90" s="209">
        <v>0.029999999999999999</v>
      </c>
      <c r="P90" s="209">
        <v>0</v>
      </c>
      <c r="Q90" s="209">
        <v>0</v>
      </c>
      <c r="R90" s="209">
        <v>0</v>
      </c>
      <c r="S90" s="210">
        <f t="shared" si="79"/>
        <v>0.9800000000000002</v>
      </c>
      <c r="U90" s="207">
        <v>2050</v>
      </c>
      <c r="V90" s="207" t="s">
        <v>465</v>
      </c>
      <c r="W90" s="207">
        <v>2050</v>
      </c>
      <c r="X90" s="208" t="s">
        <v>482</v>
      </c>
      <c r="Y90" s="211">
        <f>+E90</f>
        <v>0.088067512085551095</v>
      </c>
      <c r="Z90" s="211">
        <f t="shared" si="129"/>
        <v>0</v>
      </c>
      <c r="AA90" s="211">
        <f>AA89-5%</f>
        <v>0.29694969587529613</v>
      </c>
      <c r="AB90" s="211">
        <f t="shared" si="130"/>
        <v>0</v>
      </c>
      <c r="AC90" s="211">
        <f>AC89+4%</f>
        <v>0.21000000000000002</v>
      </c>
      <c r="AD90" s="211">
        <f>AD89+3%</f>
        <v>0.27000000000000002</v>
      </c>
      <c r="AE90" s="211">
        <f t="shared" si="131"/>
        <v>0</v>
      </c>
      <c r="AF90" s="211">
        <f t="shared" si="131"/>
        <v>0</v>
      </c>
      <c r="AG90" s="211">
        <f t="shared" si="131"/>
        <v>0</v>
      </c>
      <c r="AH90" s="211">
        <f t="shared" si="131"/>
        <v>0</v>
      </c>
      <c r="AI90" s="211">
        <f t="shared" si="132"/>
        <v>0.13498279203915275</v>
      </c>
      <c r="AJ90" s="211">
        <f t="shared" si="133"/>
        <v>0</v>
      </c>
      <c r="AK90" s="211">
        <f t="shared" si="133"/>
        <v>0</v>
      </c>
      <c r="AL90" s="211">
        <f t="shared" si="133"/>
        <v>0</v>
      </c>
      <c r="AM90" s="204">
        <f t="shared" si="134"/>
        <v>1</v>
      </c>
      <c r="AO90" s="58"/>
      <c r="AP90" s="4"/>
      <c r="AQ90" s="4"/>
    </row>
    <row r="91">
      <c r="B91" s="213"/>
      <c r="C91" s="213"/>
      <c r="D91" s="214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6"/>
      <c r="U91" s="213"/>
      <c r="V91" s="213"/>
      <c r="W91" s="213"/>
      <c r="X91" s="214"/>
      <c r="Y91" s="217"/>
      <c r="Z91" s="217"/>
      <c r="AA91" s="217"/>
      <c r="AB91" s="217"/>
      <c r="AC91" s="217"/>
      <c r="AD91" s="217"/>
      <c r="AE91" s="217"/>
      <c r="AF91" s="217"/>
      <c r="AG91" s="217"/>
      <c r="AH91" s="217"/>
      <c r="AI91" s="217"/>
      <c r="AJ91" s="217"/>
      <c r="AK91" s="217"/>
      <c r="AL91" s="217"/>
      <c r="AM91" s="218"/>
      <c r="AO91" s="58"/>
    </row>
    <row r="92">
      <c r="B92" s="207">
        <v>2019</v>
      </c>
      <c r="C92" s="207" t="s">
        <v>466</v>
      </c>
      <c r="D92" s="208" t="s">
        <v>482</v>
      </c>
      <c r="E92" s="209">
        <v>0</v>
      </c>
      <c r="F92" s="209"/>
      <c r="G92" s="209">
        <v>0.089999999999999997</v>
      </c>
      <c r="H92" s="209">
        <v>0.67000000000000004</v>
      </c>
      <c r="I92" s="209">
        <v>0</v>
      </c>
      <c r="J92" s="209">
        <v>0</v>
      </c>
      <c r="K92" s="209">
        <v>0</v>
      </c>
      <c r="L92" s="209">
        <v>0</v>
      </c>
      <c r="M92" s="209">
        <v>0</v>
      </c>
      <c r="N92" s="209">
        <v>0</v>
      </c>
      <c r="O92" s="209">
        <v>0.23999999999999999</v>
      </c>
      <c r="P92" s="209">
        <v>0</v>
      </c>
      <c r="Q92" s="209">
        <v>0</v>
      </c>
      <c r="R92" s="209">
        <v>0</v>
      </c>
      <c r="S92" s="210">
        <f t="shared" si="79"/>
        <v>1</v>
      </c>
      <c r="U92" s="207">
        <v>2019</v>
      </c>
      <c r="V92" s="207" t="s">
        <v>466</v>
      </c>
      <c r="W92" s="207">
        <v>2019</v>
      </c>
      <c r="X92" s="208" t="s">
        <v>482</v>
      </c>
      <c r="Y92" s="220">
        <f t="shared" ref="Y92:AM92" si="135">INDEX(X$11:X$35,MATCH($V92,$V$11:$V$35,0))/INDEX($AL$11:$AL$35,MATCH($V92,$V$11:$V$35,0))</f>
        <v>0</v>
      </c>
      <c r="Z92" s="220">
        <f t="shared" si="135"/>
        <v>0</v>
      </c>
      <c r="AA92" s="220">
        <f t="shared" si="135"/>
        <v>0.089999999999999789</v>
      </c>
      <c r="AB92" s="220">
        <f t="shared" si="135"/>
        <v>0.67000000000000071</v>
      </c>
      <c r="AC92" s="220">
        <f t="shared" si="135"/>
        <v>0</v>
      </c>
      <c r="AD92" s="220">
        <f t="shared" si="135"/>
        <v>0</v>
      </c>
      <c r="AE92" s="220">
        <f t="shared" si="135"/>
        <v>0</v>
      </c>
      <c r="AF92" s="220">
        <f t="shared" si="135"/>
        <v>0</v>
      </c>
      <c r="AG92" s="220">
        <f t="shared" si="135"/>
        <v>0</v>
      </c>
      <c r="AH92" s="220">
        <f t="shared" si="135"/>
        <v>0</v>
      </c>
      <c r="AI92" s="220">
        <f t="shared" si="135"/>
        <v>0.23999999999999949</v>
      </c>
      <c r="AJ92" s="220">
        <f t="shared" si="135"/>
        <v>0</v>
      </c>
      <c r="AK92" s="220">
        <f t="shared" si="135"/>
        <v>0</v>
      </c>
      <c r="AL92" s="220">
        <f t="shared" si="135"/>
        <v>0</v>
      </c>
      <c r="AM92" s="204">
        <f t="shared" si="135"/>
        <v>1</v>
      </c>
      <c r="AO92" s="58" t="s">
        <v>486</v>
      </c>
    </row>
    <row r="93">
      <c r="B93" s="207">
        <v>2025</v>
      </c>
      <c r="C93" s="207" t="s">
        <v>466</v>
      </c>
      <c r="D93" s="208" t="s">
        <v>482</v>
      </c>
      <c r="E93" s="209">
        <v>0</v>
      </c>
      <c r="F93" s="209">
        <v>0</v>
      </c>
      <c r="G93" s="209">
        <v>0.089999999999999997</v>
      </c>
      <c r="H93" s="209">
        <v>0.67000000000000004</v>
      </c>
      <c r="I93" s="209">
        <v>0</v>
      </c>
      <c r="J93" s="209">
        <v>0</v>
      </c>
      <c r="K93" s="209">
        <v>0</v>
      </c>
      <c r="L93" s="209">
        <v>0</v>
      </c>
      <c r="M93" s="209">
        <v>0</v>
      </c>
      <c r="N93" s="209">
        <v>0</v>
      </c>
      <c r="O93" s="209">
        <v>0.23999999999999999</v>
      </c>
      <c r="P93" s="209">
        <v>0</v>
      </c>
      <c r="Q93" s="209">
        <v>0</v>
      </c>
      <c r="R93" s="209">
        <v>0</v>
      </c>
      <c r="S93" s="210">
        <f t="shared" si="79"/>
        <v>1</v>
      </c>
      <c r="U93" s="207">
        <v>2025</v>
      </c>
      <c r="V93" s="207" t="s">
        <v>466</v>
      </c>
      <c r="W93" s="207">
        <v>2025</v>
      </c>
      <c r="X93" s="208" t="s">
        <v>482</v>
      </c>
      <c r="Y93" s="220">
        <f t="shared" ref="Y93:AL94" si="136">+E93</f>
        <v>0</v>
      </c>
      <c r="Z93" s="220">
        <f t="shared" si="136"/>
        <v>0</v>
      </c>
      <c r="AA93" s="220">
        <f t="shared" si="136"/>
        <v>0.089999999999999997</v>
      </c>
      <c r="AB93" s="220">
        <f t="shared" si="136"/>
        <v>0.67000000000000004</v>
      </c>
      <c r="AC93" s="220">
        <f t="shared" si="136"/>
        <v>0</v>
      </c>
      <c r="AD93" s="220">
        <f t="shared" si="136"/>
        <v>0</v>
      </c>
      <c r="AE93" s="220">
        <f t="shared" si="136"/>
        <v>0</v>
      </c>
      <c r="AF93" s="220">
        <f t="shared" si="136"/>
        <v>0</v>
      </c>
      <c r="AG93" s="220">
        <f t="shared" si="136"/>
        <v>0</v>
      </c>
      <c r="AH93" s="220">
        <f t="shared" si="136"/>
        <v>0</v>
      </c>
      <c r="AI93" s="220">
        <f t="shared" si="136"/>
        <v>0.23999999999999999</v>
      </c>
      <c r="AJ93" s="220">
        <f t="shared" si="136"/>
        <v>0</v>
      </c>
      <c r="AK93" s="220">
        <f t="shared" si="136"/>
        <v>0</v>
      </c>
      <c r="AL93" s="220">
        <f t="shared" si="136"/>
        <v>0</v>
      </c>
      <c r="AM93" s="204">
        <f t="shared" ref="AM93:AM94" si="137">SUM(Y93:AL93)</f>
        <v>1</v>
      </c>
      <c r="AO93" s="58"/>
    </row>
    <row r="94">
      <c r="B94" s="207">
        <v>2050</v>
      </c>
      <c r="C94" s="207" t="s">
        <v>466</v>
      </c>
      <c r="D94" s="208" t="s">
        <v>482</v>
      </c>
      <c r="E94" s="209">
        <v>0</v>
      </c>
      <c r="F94" s="209">
        <v>0</v>
      </c>
      <c r="G94" s="209">
        <v>0.02</v>
      </c>
      <c r="H94" s="209">
        <v>0.67000000000000004</v>
      </c>
      <c r="I94" s="209">
        <v>0</v>
      </c>
      <c r="J94" s="209">
        <v>0</v>
      </c>
      <c r="K94" s="209">
        <v>0</v>
      </c>
      <c r="L94" s="209">
        <v>0</v>
      </c>
      <c r="M94" s="209">
        <v>0</v>
      </c>
      <c r="N94" s="209">
        <v>0</v>
      </c>
      <c r="O94" s="209">
        <v>0.31</v>
      </c>
      <c r="P94" s="209">
        <v>0</v>
      </c>
      <c r="Q94" s="209">
        <v>0</v>
      </c>
      <c r="R94" s="209">
        <v>0</v>
      </c>
      <c r="S94" s="210">
        <f t="shared" si="79"/>
        <v>1</v>
      </c>
      <c r="U94" s="207">
        <v>2050</v>
      </c>
      <c r="V94" s="207" t="s">
        <v>466</v>
      </c>
      <c r="W94" s="207">
        <v>2050</v>
      </c>
      <c r="X94" s="208" t="s">
        <v>482</v>
      </c>
      <c r="Y94" s="220">
        <f t="shared" si="136"/>
        <v>0</v>
      </c>
      <c r="Z94" s="220">
        <f t="shared" si="136"/>
        <v>0</v>
      </c>
      <c r="AA94" s="220">
        <f t="shared" si="136"/>
        <v>0.02</v>
      </c>
      <c r="AB94" s="220">
        <f t="shared" si="136"/>
        <v>0.67000000000000004</v>
      </c>
      <c r="AC94" s="220">
        <f t="shared" si="136"/>
        <v>0</v>
      </c>
      <c r="AD94" s="220">
        <f t="shared" si="136"/>
        <v>0</v>
      </c>
      <c r="AE94" s="220">
        <f t="shared" si="136"/>
        <v>0</v>
      </c>
      <c r="AF94" s="220">
        <f t="shared" si="136"/>
        <v>0</v>
      </c>
      <c r="AG94" s="220">
        <f t="shared" si="136"/>
        <v>0</v>
      </c>
      <c r="AH94" s="220">
        <f t="shared" si="136"/>
        <v>0</v>
      </c>
      <c r="AI94" s="220">
        <f t="shared" si="136"/>
        <v>0.31</v>
      </c>
      <c r="AJ94" s="220">
        <f t="shared" si="136"/>
        <v>0</v>
      </c>
      <c r="AK94" s="220">
        <f t="shared" si="136"/>
        <v>0</v>
      </c>
      <c r="AL94" s="220">
        <f t="shared" si="136"/>
        <v>0</v>
      </c>
      <c r="AM94" s="204">
        <f t="shared" si="137"/>
        <v>1</v>
      </c>
      <c r="AO94" s="58"/>
    </row>
    <row r="95">
      <c r="B95" s="213"/>
      <c r="C95" s="213"/>
      <c r="D95" s="214"/>
      <c r="E95" s="215"/>
      <c r="F95" s="215"/>
      <c r="G95" s="215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6"/>
      <c r="U95" s="213"/>
      <c r="V95" s="213"/>
      <c r="W95" s="213"/>
      <c r="X95" s="214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8"/>
      <c r="AO95" s="58"/>
    </row>
    <row r="96">
      <c r="B96" s="207">
        <v>2019</v>
      </c>
      <c r="C96" s="207" t="s">
        <v>467</v>
      </c>
      <c r="D96" s="208" t="s">
        <v>482</v>
      </c>
      <c r="E96" s="209">
        <v>0.072272284052321403</v>
      </c>
      <c r="F96" s="209"/>
      <c r="G96" s="209">
        <v>0.0201689588256188</v>
      </c>
      <c r="H96" s="209">
        <v>0.59944091663669197</v>
      </c>
      <c r="I96" s="209">
        <v>0.019519577919500101</v>
      </c>
      <c r="J96" s="209">
        <v>0</v>
      </c>
      <c r="K96" s="209">
        <v>0</v>
      </c>
      <c r="L96" s="209">
        <v>0</v>
      </c>
      <c r="M96" s="209">
        <v>0</v>
      </c>
      <c r="N96" s="209">
        <v>0</v>
      </c>
      <c r="O96" s="209">
        <v>0.28856456772665201</v>
      </c>
      <c r="P96" s="209">
        <v>0</v>
      </c>
      <c r="Q96" s="209">
        <v>0</v>
      </c>
      <c r="R96" s="209">
        <v>0</v>
      </c>
      <c r="S96" s="210">
        <f t="shared" si="79"/>
        <v>0.99996630516078433</v>
      </c>
      <c r="U96" s="207">
        <v>2019</v>
      </c>
      <c r="V96" s="207" t="s">
        <v>467</v>
      </c>
      <c r="W96" s="207">
        <v>2019</v>
      </c>
      <c r="X96" s="208" t="s">
        <v>482</v>
      </c>
      <c r="Y96" s="211">
        <f t="shared" ref="Y96:AM96" si="138">INDEX(X$11:X$35,MATCH($V96,$V$11:$V$35,0))/INDEX($AL$11:$AL$35,MATCH($V96,$V$11:$V$35,0))</f>
        <v>0.050974689493015597</v>
      </c>
      <c r="Z96" s="211">
        <f t="shared" si="138"/>
        <v>0.028679360398211028</v>
      </c>
      <c r="AA96" s="211">
        <f t="shared" si="138"/>
        <v>0.022218622542401905</v>
      </c>
      <c r="AB96" s="211">
        <f t="shared" si="138"/>
        <v>0.66035889994998098</v>
      </c>
      <c r="AC96" s="211">
        <f t="shared" si="138"/>
        <v>0.030041367735568508</v>
      </c>
      <c r="AD96" s="211">
        <f t="shared" si="138"/>
        <v>0</v>
      </c>
      <c r="AE96" s="211">
        <f t="shared" si="138"/>
        <v>0</v>
      </c>
      <c r="AF96" s="211">
        <f t="shared" si="138"/>
        <v>0</v>
      </c>
      <c r="AG96" s="211">
        <f t="shared" si="138"/>
        <v>0</v>
      </c>
      <c r="AH96" s="211">
        <f t="shared" si="138"/>
        <v>0</v>
      </c>
      <c r="AI96" s="211">
        <f t="shared" si="138"/>
        <v>0.20772705988082213</v>
      </c>
      <c r="AJ96" s="211">
        <f t="shared" si="138"/>
        <v>0</v>
      </c>
      <c r="AK96" s="211">
        <f t="shared" si="138"/>
        <v>0</v>
      </c>
      <c r="AL96" s="211">
        <f t="shared" si="138"/>
        <v>0</v>
      </c>
      <c r="AM96" s="204">
        <f t="shared" si="138"/>
        <v>1</v>
      </c>
      <c r="AO96" s="58" t="s">
        <v>491</v>
      </c>
    </row>
    <row r="97">
      <c r="B97" s="207">
        <v>2025</v>
      </c>
      <c r="C97" s="207" t="s">
        <v>467</v>
      </c>
      <c r="D97" s="208" t="s">
        <v>482</v>
      </c>
      <c r="E97" s="209">
        <v>0.0718828948153757</v>
      </c>
      <c r="F97" s="209">
        <v>0</v>
      </c>
      <c r="G97" s="209">
        <v>0.0201689588256188</v>
      </c>
      <c r="H97" s="209">
        <v>0.59670049547708004</v>
      </c>
      <c r="I97" s="209">
        <v>0.022259999079112702</v>
      </c>
      <c r="J97" s="209">
        <v>0</v>
      </c>
      <c r="K97" s="209">
        <v>0</v>
      </c>
      <c r="L97" s="209">
        <v>0</v>
      </c>
      <c r="M97" s="209">
        <v>0</v>
      </c>
      <c r="N97" s="209">
        <v>0</v>
      </c>
      <c r="O97" s="209">
        <v>0.28883543240466703</v>
      </c>
      <c r="P97" s="209">
        <v>0</v>
      </c>
      <c r="Q97" s="209">
        <v>0</v>
      </c>
      <c r="R97" s="209">
        <v>0</v>
      </c>
      <c r="S97" s="210">
        <f t="shared" si="79"/>
        <v>0.9998477806018542</v>
      </c>
      <c r="U97" s="207">
        <v>2025</v>
      </c>
      <c r="V97" s="207" t="s">
        <v>467</v>
      </c>
      <c r="W97" s="207">
        <v>2025</v>
      </c>
      <c r="X97" s="208" t="s">
        <v>482</v>
      </c>
      <c r="Y97" s="211">
        <v>0.044999999999999998</v>
      </c>
      <c r="Z97" s="211">
        <f t="shared" ref="Z97:Z98" si="139">+F97</f>
        <v>0</v>
      </c>
      <c r="AA97" s="211">
        <f>+G97</f>
        <v>0.0201689588256188</v>
      </c>
      <c r="AB97" s="211">
        <v>0.64500000000000002</v>
      </c>
      <c r="AC97" s="211">
        <v>0.040000000000000001</v>
      </c>
      <c r="AD97" s="211">
        <f t="shared" ref="AD97:AH98" si="140">+J97</f>
        <v>0</v>
      </c>
      <c r="AE97" s="211">
        <f t="shared" si="140"/>
        <v>0</v>
      </c>
      <c r="AF97" s="211">
        <f t="shared" si="140"/>
        <v>0</v>
      </c>
      <c r="AG97" s="211">
        <f t="shared" si="140"/>
        <v>0</v>
      </c>
      <c r="AH97" s="211">
        <f t="shared" si="140"/>
        <v>0</v>
      </c>
      <c r="AI97" s="211">
        <v>0.25</v>
      </c>
      <c r="AJ97" s="211">
        <f t="shared" ref="AJ97:AL98" si="141">+P97</f>
        <v>0</v>
      </c>
      <c r="AK97" s="211">
        <f t="shared" si="141"/>
        <v>0</v>
      </c>
      <c r="AL97" s="211">
        <f t="shared" si="141"/>
        <v>0</v>
      </c>
      <c r="AM97" s="204">
        <f t="shared" ref="AM97:AM98" si="142">SUM(Y97:AL97)</f>
        <v>1.0001689588256188</v>
      </c>
      <c r="AO97" s="58" t="s">
        <v>490</v>
      </c>
    </row>
    <row r="98">
      <c r="B98" s="207">
        <v>2050</v>
      </c>
      <c r="C98" s="207" t="s">
        <v>467</v>
      </c>
      <c r="D98" s="208" t="s">
        <v>482</v>
      </c>
      <c r="E98" s="209">
        <v>0.0718828948153757</v>
      </c>
      <c r="F98" s="209">
        <v>0</v>
      </c>
      <c r="G98" s="209">
        <v>0.0201689588256188</v>
      </c>
      <c r="H98" s="209">
        <v>0.58907901911512295</v>
      </c>
      <c r="I98" s="209">
        <v>0</v>
      </c>
      <c r="J98" s="209">
        <v>0</v>
      </c>
      <c r="K98" s="209">
        <v>0</v>
      </c>
      <c r="L98" s="209">
        <v>0</v>
      </c>
      <c r="M98" s="209">
        <v>0</v>
      </c>
      <c r="N98" s="209">
        <v>0</v>
      </c>
      <c r="O98" s="209">
        <v>0.318835432404667</v>
      </c>
      <c r="P98" s="209">
        <v>0</v>
      </c>
      <c r="Q98" s="209">
        <v>0</v>
      </c>
      <c r="R98" s="209">
        <v>0</v>
      </c>
      <c r="S98" s="210">
        <f t="shared" si="79"/>
        <v>0.99996630516078433</v>
      </c>
      <c r="U98" s="207">
        <v>2050</v>
      </c>
      <c r="V98" s="207" t="s">
        <v>467</v>
      </c>
      <c r="W98" s="207">
        <v>2050</v>
      </c>
      <c r="X98" s="208" t="s">
        <v>482</v>
      </c>
      <c r="Y98" s="211">
        <v>0</v>
      </c>
      <c r="Z98" s="211">
        <f t="shared" si="139"/>
        <v>0</v>
      </c>
      <c r="AA98" s="211">
        <v>0.01</v>
      </c>
      <c r="AB98" s="211">
        <v>0.58999999999999997</v>
      </c>
      <c r="AC98" s="211">
        <v>0.050000000000000003</v>
      </c>
      <c r="AD98" s="211">
        <f t="shared" si="140"/>
        <v>0</v>
      </c>
      <c r="AE98" s="211">
        <f t="shared" si="140"/>
        <v>0</v>
      </c>
      <c r="AF98" s="211">
        <f t="shared" si="140"/>
        <v>0</v>
      </c>
      <c r="AG98" s="211">
        <f t="shared" si="140"/>
        <v>0</v>
      </c>
      <c r="AH98" s="211">
        <f t="shared" si="140"/>
        <v>0</v>
      </c>
      <c r="AI98" s="211">
        <v>0.34999999999999998</v>
      </c>
      <c r="AJ98" s="211">
        <f t="shared" si="141"/>
        <v>0</v>
      </c>
      <c r="AK98" s="211">
        <f t="shared" si="141"/>
        <v>0</v>
      </c>
      <c r="AL98" s="211">
        <f t="shared" si="141"/>
        <v>0</v>
      </c>
      <c r="AM98" s="204">
        <f t="shared" si="142"/>
        <v>1</v>
      </c>
      <c r="AO98" s="58"/>
    </row>
    <row r="99">
      <c r="B99" s="213"/>
      <c r="C99" s="213"/>
      <c r="D99" s="214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6"/>
      <c r="U99" s="213"/>
      <c r="V99" s="213"/>
      <c r="W99" s="213"/>
      <c r="X99" s="214"/>
      <c r="Y99" s="217"/>
      <c r="Z99" s="217"/>
      <c r="AA99" s="217"/>
      <c r="AB99" s="217"/>
      <c r="AC99" s="217"/>
      <c r="AD99" s="217"/>
      <c r="AE99" s="217"/>
      <c r="AF99" s="217"/>
      <c r="AG99" s="217"/>
      <c r="AH99" s="217"/>
      <c r="AI99" s="217"/>
      <c r="AJ99" s="217"/>
      <c r="AK99" s="217"/>
      <c r="AL99" s="217"/>
      <c r="AM99" s="218"/>
      <c r="AO99" s="58"/>
    </row>
    <row r="100">
      <c r="B100" s="202"/>
      <c r="C100" s="202" t="s">
        <v>468</v>
      </c>
      <c r="D100" s="202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  <c r="R100" s="221"/>
      <c r="S100" s="210"/>
      <c r="U100" s="202"/>
      <c r="V100" s="205" t="s">
        <v>468</v>
      </c>
      <c r="W100" s="205"/>
      <c r="X100" s="205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4"/>
      <c r="AO100" s="58"/>
    </row>
    <row r="101">
      <c r="B101" s="207">
        <v>2019</v>
      </c>
      <c r="C101" s="207" t="s">
        <v>469</v>
      </c>
      <c r="D101" s="208" t="s">
        <v>482</v>
      </c>
      <c r="E101" s="209">
        <v>0.186</v>
      </c>
      <c r="F101" s="209"/>
      <c r="G101" s="209">
        <v>0.089999999999999997</v>
      </c>
      <c r="H101" s="209">
        <v>0.67000000000000004</v>
      </c>
      <c r="I101" s="209">
        <v>0.0040000000000000001</v>
      </c>
      <c r="J101" s="209">
        <v>0</v>
      </c>
      <c r="K101" s="209">
        <v>0</v>
      </c>
      <c r="L101" s="209">
        <v>0</v>
      </c>
      <c r="M101" s="209">
        <v>0</v>
      </c>
      <c r="N101" s="209">
        <v>0</v>
      </c>
      <c r="O101" s="209">
        <v>0.050000000000000003</v>
      </c>
      <c r="P101" s="209">
        <v>0</v>
      </c>
      <c r="Q101" s="209">
        <v>0</v>
      </c>
      <c r="R101" s="209">
        <v>0</v>
      </c>
      <c r="S101" s="210">
        <f t="shared" ref="S101:S124" si="143">SUM(E101:R101)</f>
        <v>1</v>
      </c>
      <c r="U101" s="207">
        <v>2019</v>
      </c>
      <c r="V101" s="207" t="s">
        <v>469</v>
      </c>
      <c r="W101" s="207">
        <v>2019</v>
      </c>
      <c r="X101" s="208" t="s">
        <v>482</v>
      </c>
      <c r="Y101" s="220">
        <f t="shared" ref="Y101:AM101" si="144">INDEX(X$11:X$35,MATCH($V101,$V$11:$V$35,0))/INDEX($AL$11:$AL$35,MATCH($V101,$V$11:$V$35,0))</f>
        <v>0.18599999999999997</v>
      </c>
      <c r="Z101" s="220">
        <f t="shared" si="144"/>
        <v>0</v>
      </c>
      <c r="AA101" s="220">
        <f t="shared" si="144"/>
        <v>0.089999999999999997</v>
      </c>
      <c r="AB101" s="220">
        <f t="shared" si="144"/>
        <v>0.66999999999999993</v>
      </c>
      <c r="AC101" s="220">
        <f t="shared" si="144"/>
        <v>0.0040000000000000001</v>
      </c>
      <c r="AD101" s="220">
        <f t="shared" si="144"/>
        <v>0</v>
      </c>
      <c r="AE101" s="220">
        <f t="shared" si="144"/>
        <v>0</v>
      </c>
      <c r="AF101" s="220">
        <f t="shared" si="144"/>
        <v>0</v>
      </c>
      <c r="AG101" s="220">
        <f t="shared" si="144"/>
        <v>0</v>
      </c>
      <c r="AH101" s="220">
        <f t="shared" si="144"/>
        <v>0</v>
      </c>
      <c r="AI101" s="220">
        <f t="shared" si="144"/>
        <v>0.049999999999999996</v>
      </c>
      <c r="AJ101" s="220">
        <f t="shared" si="144"/>
        <v>0</v>
      </c>
      <c r="AK101" s="220">
        <f t="shared" si="144"/>
        <v>0</v>
      </c>
      <c r="AL101" s="220">
        <f t="shared" si="144"/>
        <v>0</v>
      </c>
      <c r="AM101" s="204">
        <f t="shared" si="144"/>
        <v>1</v>
      </c>
      <c r="AO101" s="58" t="s">
        <v>492</v>
      </c>
    </row>
    <row r="102">
      <c r="B102" s="207">
        <v>2025</v>
      </c>
      <c r="C102" s="207" t="s">
        <v>469</v>
      </c>
      <c r="D102" s="208" t="s">
        <v>482</v>
      </c>
      <c r="E102" s="209">
        <v>0.15175876436862501</v>
      </c>
      <c r="F102" s="209">
        <v>0</v>
      </c>
      <c r="G102" s="209">
        <v>0.089999999999999997</v>
      </c>
      <c r="H102" s="209">
        <v>0.67000000000000004</v>
      </c>
      <c r="I102" s="209">
        <v>0</v>
      </c>
      <c r="J102" s="209">
        <v>0</v>
      </c>
      <c r="K102" s="209">
        <v>0</v>
      </c>
      <c r="L102" s="209">
        <v>0</v>
      </c>
      <c r="M102" s="209">
        <v>0</v>
      </c>
      <c r="N102" s="209">
        <v>0</v>
      </c>
      <c r="O102" s="209">
        <v>0.074778557978260093</v>
      </c>
      <c r="P102" s="209">
        <v>0</v>
      </c>
      <c r="Q102" s="209">
        <v>0.0094626776531150699</v>
      </c>
      <c r="R102" s="209">
        <v>0</v>
      </c>
      <c r="S102" s="210">
        <f t="shared" si="143"/>
        <v>0.99600000000000011</v>
      </c>
      <c r="U102" s="207">
        <v>2025</v>
      </c>
      <c r="V102" s="207" t="s">
        <v>469</v>
      </c>
      <c r="W102" s="207">
        <v>2025</v>
      </c>
      <c r="X102" s="208" t="s">
        <v>482</v>
      </c>
      <c r="Y102" s="211">
        <v>0.16</v>
      </c>
      <c r="Z102" s="211">
        <f t="shared" ref="Z102:Z103" si="145">+F102</f>
        <v>0</v>
      </c>
      <c r="AA102" s="211">
        <f>8.5%</f>
        <v>0.085000000000000006</v>
      </c>
      <c r="AB102" s="211">
        <v>0.66600000000000004</v>
      </c>
      <c r="AC102" s="211">
        <v>0.02</v>
      </c>
      <c r="AD102" s="211">
        <f t="shared" ref="AD102:AH103" si="146">+J102</f>
        <v>0</v>
      </c>
      <c r="AE102" s="211">
        <f t="shared" si="146"/>
        <v>0</v>
      </c>
      <c r="AF102" s="211">
        <f t="shared" si="146"/>
        <v>0</v>
      </c>
      <c r="AG102" s="211">
        <f t="shared" si="146"/>
        <v>0</v>
      </c>
      <c r="AH102" s="211">
        <f t="shared" si="146"/>
        <v>0</v>
      </c>
      <c r="AI102" s="211">
        <v>0.059999999999999998</v>
      </c>
      <c r="AJ102" s="211">
        <f t="shared" ref="AJ102:AL103" si="147">+P102</f>
        <v>0</v>
      </c>
      <c r="AK102" s="211">
        <f t="shared" si="147"/>
        <v>0.0094626776531150699</v>
      </c>
      <c r="AL102" s="211">
        <f t="shared" si="147"/>
        <v>0</v>
      </c>
      <c r="AM102" s="204">
        <f t="shared" ref="AM102:AM103" si="148">SUM(Y102:AL102)</f>
        <v>1.0004626776531151</v>
      </c>
      <c r="AO102" s="58" t="s">
        <v>490</v>
      </c>
    </row>
    <row r="103">
      <c r="B103" s="207">
        <v>2050</v>
      </c>
      <c r="C103" s="207" t="s">
        <v>469</v>
      </c>
      <c r="D103" s="208" t="s">
        <v>482</v>
      </c>
      <c r="E103" s="209">
        <v>0</v>
      </c>
      <c r="F103" s="209">
        <v>0</v>
      </c>
      <c r="G103" s="209">
        <v>0.044999999999999998</v>
      </c>
      <c r="H103" s="209">
        <v>0.766758764368625</v>
      </c>
      <c r="I103" s="209">
        <v>0</v>
      </c>
      <c r="J103" s="209">
        <v>0</v>
      </c>
      <c r="K103" s="209">
        <v>0</v>
      </c>
      <c r="L103" s="209">
        <v>0</v>
      </c>
      <c r="M103" s="209">
        <v>0</v>
      </c>
      <c r="N103" s="209">
        <v>0</v>
      </c>
      <c r="O103" s="209">
        <v>0.17477855797826</v>
      </c>
      <c r="P103" s="209">
        <v>0</v>
      </c>
      <c r="Q103" s="209">
        <v>0.0094626776531150699</v>
      </c>
      <c r="R103" s="209">
        <v>0</v>
      </c>
      <c r="S103" s="210">
        <f t="shared" si="143"/>
        <v>0.99600000000000011</v>
      </c>
      <c r="U103" s="207">
        <v>2050</v>
      </c>
      <c r="V103" s="207" t="s">
        <v>469</v>
      </c>
      <c r="W103" s="207">
        <v>2050</v>
      </c>
      <c r="X103" s="208" t="s">
        <v>482</v>
      </c>
      <c r="Y103" s="211">
        <f>+E103</f>
        <v>0</v>
      </c>
      <c r="Z103" s="211">
        <f t="shared" si="145"/>
        <v>0</v>
      </c>
      <c r="AA103" s="211">
        <v>0.02</v>
      </c>
      <c r="AB103" s="211">
        <v>0.746</v>
      </c>
      <c r="AC103" s="211">
        <v>0.050000000000000003</v>
      </c>
      <c r="AD103" s="211">
        <f t="shared" si="146"/>
        <v>0</v>
      </c>
      <c r="AE103" s="211">
        <f t="shared" si="146"/>
        <v>0</v>
      </c>
      <c r="AF103" s="211">
        <f t="shared" si="146"/>
        <v>0</v>
      </c>
      <c r="AG103" s="211">
        <f t="shared" si="146"/>
        <v>0</v>
      </c>
      <c r="AH103" s="211">
        <f t="shared" si="146"/>
        <v>0</v>
      </c>
      <c r="AI103" s="211">
        <f>+O103</f>
        <v>0.17477855797826</v>
      </c>
      <c r="AJ103" s="211">
        <f t="shared" si="147"/>
        <v>0</v>
      </c>
      <c r="AK103" s="211">
        <f t="shared" si="147"/>
        <v>0.0094626776531150699</v>
      </c>
      <c r="AL103" s="211">
        <f t="shared" si="147"/>
        <v>0</v>
      </c>
      <c r="AM103" s="204">
        <f t="shared" si="148"/>
        <v>1.0002412356313752</v>
      </c>
      <c r="AO103" s="58"/>
    </row>
    <row r="104">
      <c r="B104" s="213"/>
      <c r="C104" s="213"/>
      <c r="D104" s="214"/>
      <c r="E104" s="215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6"/>
      <c r="U104" s="213"/>
      <c r="V104" s="213"/>
      <c r="W104" s="213"/>
      <c r="X104" s="214"/>
      <c r="Y104" s="217"/>
      <c r="Z104" s="217"/>
      <c r="AA104" s="217"/>
      <c r="AB104" s="217"/>
      <c r="AC104" s="217"/>
      <c r="AD104" s="217"/>
      <c r="AE104" s="217"/>
      <c r="AF104" s="217"/>
      <c r="AG104" s="217"/>
      <c r="AH104" s="217"/>
      <c r="AI104" s="217"/>
      <c r="AJ104" s="217"/>
      <c r="AK104" s="217"/>
      <c r="AL104" s="217"/>
      <c r="AM104" s="218"/>
      <c r="AO104" s="58"/>
    </row>
    <row r="105">
      <c r="B105" s="207">
        <v>2019</v>
      </c>
      <c r="C105" s="207" t="s">
        <v>470</v>
      </c>
      <c r="D105" s="208" t="s">
        <v>482</v>
      </c>
      <c r="E105" s="209">
        <v>0.0080396422478601296</v>
      </c>
      <c r="F105" s="209"/>
      <c r="G105" s="209">
        <v>0.040987243078700303</v>
      </c>
      <c r="H105" s="209">
        <v>0.39554572706355101</v>
      </c>
      <c r="I105" s="209">
        <v>0.043557005701464299</v>
      </c>
      <c r="J105" s="209">
        <v>0</v>
      </c>
      <c r="K105" s="209">
        <v>0</v>
      </c>
      <c r="L105" s="209">
        <v>0</v>
      </c>
      <c r="M105" s="209">
        <v>0</v>
      </c>
      <c r="N105" s="209">
        <v>0</v>
      </c>
      <c r="O105" s="209">
        <v>0.45612245802627299</v>
      </c>
      <c r="P105" s="209">
        <v>0</v>
      </c>
      <c r="Q105" s="209">
        <v>0.055782681281329703</v>
      </c>
      <c r="R105" s="209">
        <v>0</v>
      </c>
      <c r="S105" s="210">
        <f t="shared" si="143"/>
        <v>1.0000347573991786</v>
      </c>
      <c r="U105" s="207">
        <v>2019</v>
      </c>
      <c r="V105" s="207" t="s">
        <v>470</v>
      </c>
      <c r="W105" s="207">
        <v>2019</v>
      </c>
      <c r="X105" s="208" t="s">
        <v>482</v>
      </c>
      <c r="Y105" s="220">
        <f t="shared" ref="Y105:AM105" si="149">INDEX(X$11:X$35,MATCH($V105,$V$11:$V$35,0))/INDEX($AL$11:$AL$35,MATCH($V105,$V$11:$V$35,0))</f>
        <v>0.0045396422478601334</v>
      </c>
      <c r="Z105" s="220">
        <f t="shared" si="149"/>
        <v>0.0034652426008214862</v>
      </c>
      <c r="AA105" s="220">
        <f t="shared" si="149"/>
        <v>0.040987243078700289</v>
      </c>
      <c r="AB105" s="220">
        <f t="shared" si="149"/>
        <v>0.39554572706355073</v>
      </c>
      <c r="AC105" s="220">
        <f t="shared" si="149"/>
        <v>0.04355700570146432</v>
      </c>
      <c r="AD105" s="220">
        <f t="shared" si="149"/>
        <v>0</v>
      </c>
      <c r="AE105" s="220">
        <f t="shared" si="149"/>
        <v>0</v>
      </c>
      <c r="AF105" s="220">
        <f t="shared" si="149"/>
        <v>0</v>
      </c>
      <c r="AG105" s="220">
        <f t="shared" si="149"/>
        <v>0</v>
      </c>
      <c r="AH105" s="220">
        <f t="shared" si="149"/>
        <v>0</v>
      </c>
      <c r="AI105" s="220">
        <f t="shared" si="149"/>
        <v>0.45612245802627327</v>
      </c>
      <c r="AJ105" s="220">
        <f t="shared" si="149"/>
        <v>0</v>
      </c>
      <c r="AK105" s="220">
        <f t="shared" si="149"/>
        <v>0.055782681281329675</v>
      </c>
      <c r="AL105" s="220">
        <f t="shared" si="149"/>
        <v>0</v>
      </c>
      <c r="AM105" s="204">
        <f t="shared" si="149"/>
        <v>1</v>
      </c>
      <c r="AO105" s="58"/>
    </row>
    <row r="106">
      <c r="B106" s="207">
        <v>2025</v>
      </c>
      <c r="C106" s="207" t="s">
        <v>470</v>
      </c>
      <c r="D106" s="208" t="s">
        <v>482</v>
      </c>
      <c r="E106" s="209">
        <v>0</v>
      </c>
      <c r="F106" s="209">
        <v>0</v>
      </c>
      <c r="G106" s="209">
        <v>0.027540056386653699</v>
      </c>
      <c r="H106" s="209">
        <v>0.379441691839836</v>
      </c>
      <c r="I106" s="209">
        <v>0.077366489552603099</v>
      </c>
      <c r="J106" s="209">
        <v>0</v>
      </c>
      <c r="K106" s="209">
        <v>0</v>
      </c>
      <c r="L106" s="209">
        <v>0</v>
      </c>
      <c r="M106" s="209">
        <v>0</v>
      </c>
      <c r="N106" s="209">
        <v>0</v>
      </c>
      <c r="O106" s="209">
        <v>0.45636348652369502</v>
      </c>
      <c r="P106" s="209">
        <v>0</v>
      </c>
      <c r="Q106" s="209">
        <v>0.055823099680444598</v>
      </c>
      <c r="R106" s="209">
        <v>0</v>
      </c>
      <c r="S106" s="210">
        <f t="shared" si="143"/>
        <v>0.99653482398323245</v>
      </c>
      <c r="U106" s="207">
        <v>2025</v>
      </c>
      <c r="V106" s="207" t="s">
        <v>470</v>
      </c>
      <c r="W106" s="207">
        <v>2025</v>
      </c>
      <c r="X106" s="208" t="s">
        <v>482</v>
      </c>
      <c r="Y106" s="220">
        <f t="shared" ref="Y106:Y107" si="150">+E106</f>
        <v>0</v>
      </c>
      <c r="Z106" s="220">
        <f t="shared" ref="Z106:Z107" si="151">+F106</f>
        <v>0</v>
      </c>
      <c r="AA106" s="220">
        <v>0.025000000000000001</v>
      </c>
      <c r="AB106" s="220">
        <f t="shared" ref="AB106:AB107" si="152">+H106</f>
        <v>0.379441691839836</v>
      </c>
      <c r="AC106" s="211">
        <v>0.059999999999999998</v>
      </c>
      <c r="AD106" s="220">
        <f t="shared" ref="AD106:AH107" si="153">+J106</f>
        <v>0</v>
      </c>
      <c r="AE106" s="220">
        <f t="shared" si="153"/>
        <v>0</v>
      </c>
      <c r="AF106" s="220">
        <f t="shared" si="153"/>
        <v>0</v>
      </c>
      <c r="AG106" s="220">
        <f t="shared" si="153"/>
        <v>0</v>
      </c>
      <c r="AH106" s="220">
        <f t="shared" si="153"/>
        <v>0</v>
      </c>
      <c r="AI106" s="211">
        <v>0.47999999999999998</v>
      </c>
      <c r="AJ106" s="220">
        <f t="shared" ref="AJ106:AL107" si="154">+P106</f>
        <v>0</v>
      </c>
      <c r="AK106" s="220">
        <f t="shared" si="154"/>
        <v>0.055823099680444598</v>
      </c>
      <c r="AL106" s="220">
        <f t="shared" si="154"/>
        <v>0</v>
      </c>
      <c r="AM106" s="204">
        <f t="shared" ref="AM106:AM107" si="155">SUM(Y106:AL106)</f>
        <v>1.0002647915202805</v>
      </c>
      <c r="AO106" s="58"/>
    </row>
    <row r="107">
      <c r="B107" s="207">
        <v>2050</v>
      </c>
      <c r="C107" s="207" t="s">
        <v>470</v>
      </c>
      <c r="D107" s="208" t="s">
        <v>482</v>
      </c>
      <c r="E107" s="209">
        <v>0</v>
      </c>
      <c r="F107" s="209">
        <v>0</v>
      </c>
      <c r="G107" s="209">
        <v>0</v>
      </c>
      <c r="H107" s="209">
        <v>0.38</v>
      </c>
      <c r="I107" s="209">
        <v>0.10000000000000001</v>
      </c>
      <c r="J107" s="209">
        <v>0</v>
      </c>
      <c r="K107" s="209">
        <v>0</v>
      </c>
      <c r="L107" s="209">
        <v>0</v>
      </c>
      <c r="M107" s="209">
        <v>0</v>
      </c>
      <c r="N107" s="209">
        <v>0</v>
      </c>
      <c r="O107" s="209">
        <v>0.464176900319556</v>
      </c>
      <c r="P107" s="209">
        <v>0</v>
      </c>
      <c r="Q107" s="209">
        <v>0.055823099680444598</v>
      </c>
      <c r="R107" s="209">
        <v>0</v>
      </c>
      <c r="S107" s="210">
        <f t="shared" si="143"/>
        <v>1.0000000000000004</v>
      </c>
      <c r="U107" s="207">
        <v>2050</v>
      </c>
      <c r="V107" s="207" t="s">
        <v>470</v>
      </c>
      <c r="W107" s="207">
        <v>2050</v>
      </c>
      <c r="X107" s="208" t="s">
        <v>482</v>
      </c>
      <c r="Y107" s="220">
        <f t="shared" si="150"/>
        <v>0</v>
      </c>
      <c r="Z107" s="220">
        <f t="shared" si="151"/>
        <v>0</v>
      </c>
      <c r="AA107" s="220">
        <f>+G107</f>
        <v>0</v>
      </c>
      <c r="AB107" s="220">
        <f t="shared" si="152"/>
        <v>0.38</v>
      </c>
      <c r="AC107" s="211">
        <f>8%</f>
        <v>0.080000000000000002</v>
      </c>
      <c r="AD107" s="220">
        <f t="shared" si="153"/>
        <v>0</v>
      </c>
      <c r="AE107" s="220">
        <f t="shared" si="153"/>
        <v>0</v>
      </c>
      <c r="AF107" s="220">
        <f t="shared" si="153"/>
        <v>0</v>
      </c>
      <c r="AG107" s="220">
        <f t="shared" si="153"/>
        <v>0</v>
      </c>
      <c r="AH107" s="220">
        <f t="shared" si="153"/>
        <v>0</v>
      </c>
      <c r="AI107" s="211">
        <v>0.48399999999999999</v>
      </c>
      <c r="AJ107" s="220">
        <f t="shared" si="154"/>
        <v>0</v>
      </c>
      <c r="AK107" s="220">
        <f t="shared" si="154"/>
        <v>0.055823099680444598</v>
      </c>
      <c r="AL107" s="220">
        <f t="shared" si="154"/>
        <v>0</v>
      </c>
      <c r="AM107" s="204">
        <f t="shared" si="155"/>
        <v>0.99982309968044458</v>
      </c>
      <c r="AO107" s="58"/>
    </row>
    <row r="108">
      <c r="B108" s="213"/>
      <c r="C108" s="213"/>
      <c r="D108" s="214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6"/>
      <c r="U108" s="213"/>
      <c r="V108" s="213"/>
      <c r="W108" s="213"/>
      <c r="X108" s="214"/>
      <c r="Y108" s="203"/>
      <c r="Z108" s="203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/>
      <c r="AM108" s="218"/>
      <c r="AO108" s="58"/>
    </row>
    <row r="109">
      <c r="B109" s="202">
        <v>2019</v>
      </c>
      <c r="C109" s="202" t="s">
        <v>471</v>
      </c>
      <c r="D109" s="202"/>
      <c r="E109" s="209">
        <v>0.0097767349260523308</v>
      </c>
      <c r="F109" s="209"/>
      <c r="G109" s="209">
        <v>0.045328498293515401</v>
      </c>
      <c r="H109" s="209">
        <v>0.366218714448237</v>
      </c>
      <c r="I109" s="209">
        <v>0.0034129692832764501</v>
      </c>
      <c r="J109" s="209">
        <v>0</v>
      </c>
      <c r="K109" s="209">
        <v>0</v>
      </c>
      <c r="L109" s="209">
        <v>0</v>
      </c>
      <c r="M109" s="209">
        <v>0</v>
      </c>
      <c r="N109" s="209">
        <v>0</v>
      </c>
      <c r="O109" s="209">
        <v>0.57416097838452795</v>
      </c>
      <c r="P109" s="209">
        <v>0</v>
      </c>
      <c r="Q109" s="209">
        <v>0.0011021046643913499</v>
      </c>
      <c r="R109" s="209">
        <v>0</v>
      </c>
      <c r="S109" s="210">
        <f t="shared" si="143"/>
        <v>1.0000000000000004</v>
      </c>
      <c r="U109" s="202">
        <v>2019</v>
      </c>
      <c r="V109" s="202" t="s">
        <v>471</v>
      </c>
      <c r="W109" s="222">
        <v>2019</v>
      </c>
      <c r="X109" s="202"/>
      <c r="Y109" s="220">
        <f t="shared" ref="Y109:AM113" si="156">INDEX(X$11:X$35,MATCH($V109,$V$11:$V$35,0))/INDEX($AL$11:$AL$35,MATCH($V109,$V$11:$V$35,0))</f>
        <v>0.0004621729237770193</v>
      </c>
      <c r="Z109" s="220">
        <f t="shared" si="156"/>
        <v>0.0093145620022753138</v>
      </c>
      <c r="AA109" s="220">
        <f t="shared" si="156"/>
        <v>0.04532849829351536</v>
      </c>
      <c r="AB109" s="211">
        <f t="shared" si="156"/>
        <v>0.36621871444823662</v>
      </c>
      <c r="AC109" s="220">
        <f t="shared" si="156"/>
        <v>0.0034129692832764501</v>
      </c>
      <c r="AD109" s="220">
        <f t="shared" si="156"/>
        <v>0</v>
      </c>
      <c r="AE109" s="220">
        <f t="shared" si="156"/>
        <v>0</v>
      </c>
      <c r="AF109" s="220">
        <f t="shared" si="156"/>
        <v>0</v>
      </c>
      <c r="AG109" s="220">
        <f t="shared" si="156"/>
        <v>0</v>
      </c>
      <c r="AH109" s="220">
        <f t="shared" si="156"/>
        <v>0</v>
      </c>
      <c r="AI109" s="220">
        <f t="shared" si="156"/>
        <v>0.57416097838452784</v>
      </c>
      <c r="AJ109" s="220">
        <f t="shared" si="156"/>
        <v>0</v>
      </c>
      <c r="AK109" s="220">
        <f t="shared" si="156"/>
        <v>0.0011021046643913536</v>
      </c>
      <c r="AL109" s="220">
        <f t="shared" si="156"/>
        <v>0</v>
      </c>
      <c r="AM109" s="204">
        <f t="shared" si="156"/>
        <v>1</v>
      </c>
      <c r="AO109" s="58" t="s">
        <v>493</v>
      </c>
    </row>
    <row r="110">
      <c r="B110" s="202">
        <v>2025</v>
      </c>
      <c r="C110" s="202" t="s">
        <v>471</v>
      </c>
      <c r="D110" s="202"/>
      <c r="E110" s="209">
        <v>0.0096145620022753207</v>
      </c>
      <c r="F110" s="209">
        <v>0</v>
      </c>
      <c r="G110" s="209">
        <v>0.045328498293515401</v>
      </c>
      <c r="H110" s="209">
        <v>0.36181179367236099</v>
      </c>
      <c r="I110" s="209">
        <v>0.0078198900591522694</v>
      </c>
      <c r="J110" s="209">
        <v>0</v>
      </c>
      <c r="K110" s="209">
        <v>0</v>
      </c>
      <c r="L110" s="209">
        <v>0</v>
      </c>
      <c r="M110" s="209">
        <v>0</v>
      </c>
      <c r="N110" s="209">
        <v>0</v>
      </c>
      <c r="O110" s="209">
        <v>0.57419922022113401</v>
      </c>
      <c r="P110" s="209">
        <v>0</v>
      </c>
      <c r="Q110" s="209">
        <v>0.0012597185009542401</v>
      </c>
      <c r="R110" s="209">
        <v>0</v>
      </c>
      <c r="S110" s="210">
        <f t="shared" si="143"/>
        <v>1.0000336827493923</v>
      </c>
      <c r="U110" s="202">
        <v>2025</v>
      </c>
      <c r="V110" s="202" t="s">
        <v>471</v>
      </c>
      <c r="W110" s="222">
        <v>2025</v>
      </c>
      <c r="X110" s="202"/>
      <c r="Y110" s="220">
        <v>0</v>
      </c>
      <c r="Z110" s="220">
        <f t="shared" ref="Z110:Z111" si="157">+F110</f>
        <v>0</v>
      </c>
      <c r="AA110" s="220">
        <f t="shared" ref="AA110:AA111" si="158">+G110</f>
        <v>0.045328498293515401</v>
      </c>
      <c r="AB110" s="211">
        <v>0.36499999999999999</v>
      </c>
      <c r="AC110" s="220">
        <f>0.8%</f>
        <v>0.0080000000000000002</v>
      </c>
      <c r="AD110" s="220">
        <f t="shared" ref="AD110:AH111" si="159">+J110</f>
        <v>0</v>
      </c>
      <c r="AE110" s="220">
        <f t="shared" si="159"/>
        <v>0</v>
      </c>
      <c r="AF110" s="220">
        <f t="shared" si="159"/>
        <v>0</v>
      </c>
      <c r="AG110" s="220">
        <f t="shared" si="159"/>
        <v>0</v>
      </c>
      <c r="AH110" s="220">
        <f t="shared" si="159"/>
        <v>0</v>
      </c>
      <c r="AI110" s="211">
        <f>58%</f>
        <v>0.57999999999999996</v>
      </c>
      <c r="AJ110" s="220">
        <f t="shared" ref="AJ110:AJ111" si="160">+P110</f>
        <v>0</v>
      </c>
      <c r="AK110" s="220">
        <f>+Q110</f>
        <v>0.0012597185009542401</v>
      </c>
      <c r="AL110" s="220">
        <f t="shared" ref="AL110:AL111" si="161">+R110</f>
        <v>0</v>
      </c>
      <c r="AM110" s="204">
        <f t="shared" ref="AM110:AM111" si="162">SUM(Y110:AL110)</f>
        <v>0.99958821679446952</v>
      </c>
      <c r="AO110" s="58" t="s">
        <v>490</v>
      </c>
    </row>
    <row r="111">
      <c r="B111" s="202">
        <v>2050</v>
      </c>
      <c r="C111" s="202" t="s">
        <v>471</v>
      </c>
      <c r="D111" s="202"/>
      <c r="E111" s="209">
        <v>0.0093145620022753207</v>
      </c>
      <c r="F111" s="209">
        <v>0</v>
      </c>
      <c r="G111" s="209">
        <v>0.013414705603275699</v>
      </c>
      <c r="H111" s="209">
        <v>0.32181179367236101</v>
      </c>
      <c r="I111" s="209">
        <v>0.029999999999999999</v>
      </c>
      <c r="J111" s="209">
        <v>0</v>
      </c>
      <c r="K111" s="209">
        <v>0</v>
      </c>
      <c r="L111" s="209">
        <v>0</v>
      </c>
      <c r="M111" s="209">
        <v>0</v>
      </c>
      <c r="N111" s="209">
        <v>0</v>
      </c>
      <c r="O111" s="209">
        <v>0.62419922022113405</v>
      </c>
      <c r="P111" s="209">
        <v>0</v>
      </c>
      <c r="Q111" s="209">
        <v>0</v>
      </c>
      <c r="R111" s="209">
        <v>0</v>
      </c>
      <c r="S111" s="210">
        <f t="shared" si="143"/>
        <v>0.99874028149904603</v>
      </c>
      <c r="U111" s="202">
        <v>2050</v>
      </c>
      <c r="V111" s="202" t="s">
        <v>471</v>
      </c>
      <c r="W111" s="222">
        <v>2050</v>
      </c>
      <c r="X111" s="202"/>
      <c r="Y111" s="220">
        <v>0</v>
      </c>
      <c r="Z111" s="220">
        <f t="shared" si="157"/>
        <v>0</v>
      </c>
      <c r="AA111" s="220">
        <f t="shared" si="158"/>
        <v>0.013414705603275699</v>
      </c>
      <c r="AB111" s="211">
        <f>+H111+1%</f>
        <v>0.33181179367236102</v>
      </c>
      <c r="AC111" s="220">
        <f>+I111</f>
        <v>0.029999999999999999</v>
      </c>
      <c r="AD111" s="220">
        <f t="shared" si="159"/>
        <v>0</v>
      </c>
      <c r="AE111" s="220">
        <f t="shared" si="159"/>
        <v>0</v>
      </c>
      <c r="AF111" s="220">
        <f t="shared" si="159"/>
        <v>0</v>
      </c>
      <c r="AG111" s="220">
        <f t="shared" si="159"/>
        <v>0</v>
      </c>
      <c r="AH111" s="220">
        <f t="shared" si="159"/>
        <v>0</v>
      </c>
      <c r="AI111" s="220">
        <f>O111</f>
        <v>0.62419922022113405</v>
      </c>
      <c r="AJ111" s="220">
        <f t="shared" si="160"/>
        <v>0</v>
      </c>
      <c r="AK111" s="220">
        <v>0.001</v>
      </c>
      <c r="AL111" s="220">
        <f t="shared" si="161"/>
        <v>0</v>
      </c>
      <c r="AM111" s="204">
        <f t="shared" si="162"/>
        <v>1.0004257194967707</v>
      </c>
      <c r="AO111" s="58"/>
    </row>
    <row r="112">
      <c r="B112" s="213"/>
      <c r="C112" s="213"/>
      <c r="D112" s="214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6"/>
      <c r="U112" s="213"/>
      <c r="V112" s="213"/>
      <c r="W112" s="223"/>
      <c r="X112" s="214"/>
      <c r="Y112" s="217"/>
      <c r="Z112" s="217"/>
      <c r="AA112" s="217"/>
      <c r="AB112" s="217"/>
      <c r="AC112" s="217"/>
      <c r="AD112" s="217"/>
      <c r="AE112" s="217"/>
      <c r="AF112" s="217"/>
      <c r="AG112" s="217"/>
      <c r="AH112" s="217"/>
      <c r="AI112" s="217"/>
      <c r="AJ112" s="217"/>
      <c r="AK112" s="217"/>
      <c r="AL112" s="217"/>
      <c r="AM112" s="218"/>
      <c r="AO112" s="58"/>
    </row>
    <row r="113">
      <c r="B113" s="202">
        <v>2019</v>
      </c>
      <c r="C113" s="202" t="s">
        <v>29</v>
      </c>
      <c r="D113" s="224"/>
      <c r="E113" s="209">
        <v>0</v>
      </c>
      <c r="F113" s="209"/>
      <c r="G113" s="209">
        <v>0.60548661005878501</v>
      </c>
      <c r="H113" s="209">
        <v>0.12495101241018899</v>
      </c>
      <c r="I113" s="209">
        <v>0.0374265186152841</v>
      </c>
      <c r="J113" s="209">
        <v>0</v>
      </c>
      <c r="K113" s="209">
        <v>0</v>
      </c>
      <c r="L113" s="209">
        <v>0</v>
      </c>
      <c r="M113" s="209">
        <v>0</v>
      </c>
      <c r="N113" s="209">
        <v>0</v>
      </c>
      <c r="O113" s="209">
        <v>0.23213585891574101</v>
      </c>
      <c r="P113" s="209">
        <v>0</v>
      </c>
      <c r="Q113" s="209">
        <v>0</v>
      </c>
      <c r="R113" s="209">
        <v>0</v>
      </c>
      <c r="S113" s="210">
        <f t="shared" si="143"/>
        <v>0.99999999999999911</v>
      </c>
      <c r="U113" s="202">
        <v>2019</v>
      </c>
      <c r="V113" s="202" t="s">
        <v>29</v>
      </c>
      <c r="W113" s="222">
        <v>2019</v>
      </c>
      <c r="X113" s="224"/>
      <c r="Y113" s="220">
        <f t="shared" si="156"/>
        <v>0</v>
      </c>
      <c r="Z113" s="220">
        <f t="shared" si="156"/>
        <v>0</v>
      </c>
      <c r="AA113" s="220">
        <f t="shared" si="156"/>
        <v>0.60548661005878512</v>
      </c>
      <c r="AB113" s="220">
        <f t="shared" si="156"/>
        <v>0.12495101241018942</v>
      </c>
      <c r="AC113" s="220">
        <f t="shared" si="156"/>
        <v>0.037426518615284128</v>
      </c>
      <c r="AD113" s="220">
        <f t="shared" si="156"/>
        <v>0</v>
      </c>
      <c r="AE113" s="220">
        <f t="shared" si="156"/>
        <v>0</v>
      </c>
      <c r="AF113" s="220">
        <f t="shared" si="156"/>
        <v>0</v>
      </c>
      <c r="AG113" s="220">
        <f t="shared" si="156"/>
        <v>0</v>
      </c>
      <c r="AH113" s="220">
        <f t="shared" si="156"/>
        <v>0</v>
      </c>
      <c r="AI113" s="220">
        <f t="shared" si="156"/>
        <v>0.23213585891574134</v>
      </c>
      <c r="AJ113" s="220">
        <f t="shared" si="156"/>
        <v>0</v>
      </c>
      <c r="AK113" s="220">
        <f t="shared" si="156"/>
        <v>0</v>
      </c>
      <c r="AL113" s="220">
        <f t="shared" si="156"/>
        <v>0</v>
      </c>
      <c r="AM113" s="204">
        <f t="shared" si="156"/>
        <v>1</v>
      </c>
      <c r="AO113" s="58" t="s">
        <v>486</v>
      </c>
    </row>
    <row r="114">
      <c r="B114" s="202">
        <v>2025</v>
      </c>
      <c r="C114" s="202" t="s">
        <v>29</v>
      </c>
      <c r="D114" s="224"/>
      <c r="E114" s="209">
        <v>0</v>
      </c>
      <c r="F114" s="209">
        <v>0</v>
      </c>
      <c r="G114" s="209">
        <v>0.60548661005878501</v>
      </c>
      <c r="H114" s="209">
        <v>0.12495101241018899</v>
      </c>
      <c r="I114" s="209">
        <v>0.0374265186152841</v>
      </c>
      <c r="J114" s="209">
        <v>0</v>
      </c>
      <c r="K114" s="209">
        <v>0</v>
      </c>
      <c r="L114" s="209">
        <v>0</v>
      </c>
      <c r="M114" s="209">
        <v>0</v>
      </c>
      <c r="N114" s="209">
        <v>0</v>
      </c>
      <c r="O114" s="209">
        <v>0.23213585891574101</v>
      </c>
      <c r="P114" s="209">
        <v>0</v>
      </c>
      <c r="Q114" s="209">
        <v>0.0012597185009542401</v>
      </c>
      <c r="R114" s="209">
        <v>0</v>
      </c>
      <c r="S114" s="210">
        <f t="shared" si="143"/>
        <v>1.0012597185009533</v>
      </c>
      <c r="U114" s="202">
        <v>2025</v>
      </c>
      <c r="V114" s="202" t="s">
        <v>29</v>
      </c>
      <c r="W114" s="222">
        <v>2025</v>
      </c>
      <c r="X114" s="224"/>
      <c r="Y114" s="220">
        <f t="shared" ref="Y114:AJ115" si="163">+E114</f>
        <v>0</v>
      </c>
      <c r="Z114" s="220">
        <f t="shared" si="163"/>
        <v>0</v>
      </c>
      <c r="AA114" s="220">
        <f t="shared" si="163"/>
        <v>0.60548661005878501</v>
      </c>
      <c r="AB114" s="220">
        <f t="shared" si="163"/>
        <v>0.12495101241018899</v>
      </c>
      <c r="AC114" s="220">
        <f t="shared" si="163"/>
        <v>0.0374265186152841</v>
      </c>
      <c r="AD114" s="220">
        <f t="shared" si="163"/>
        <v>0</v>
      </c>
      <c r="AE114" s="220">
        <f t="shared" si="163"/>
        <v>0</v>
      </c>
      <c r="AF114" s="220">
        <f t="shared" si="163"/>
        <v>0</v>
      </c>
      <c r="AG114" s="220">
        <f t="shared" si="163"/>
        <v>0</v>
      </c>
      <c r="AH114" s="220">
        <f t="shared" si="163"/>
        <v>0</v>
      </c>
      <c r="AI114" s="220">
        <f t="shared" si="163"/>
        <v>0.23213585891574101</v>
      </c>
      <c r="AJ114" s="220">
        <f t="shared" si="163"/>
        <v>0</v>
      </c>
      <c r="AK114" s="220">
        <v>0</v>
      </c>
      <c r="AL114" s="220">
        <f t="shared" ref="AL114:AL115" si="164">+R114</f>
        <v>0</v>
      </c>
      <c r="AM114" s="204">
        <f t="shared" ref="AM114:AM115" si="165">SUM(Y114:AL114)</f>
        <v>0.99999999999999911</v>
      </c>
      <c r="AO114" s="58"/>
    </row>
    <row r="115">
      <c r="B115" s="202">
        <v>2050</v>
      </c>
      <c r="C115" s="202" t="s">
        <v>29</v>
      </c>
      <c r="D115" s="224"/>
      <c r="E115" s="209">
        <v>0</v>
      </c>
      <c r="F115" s="209">
        <v>0</v>
      </c>
      <c r="G115" s="209">
        <v>0.60548661005878501</v>
      </c>
      <c r="H115" s="209">
        <v>0.12495101241018899</v>
      </c>
      <c r="I115" s="209">
        <v>0.0374265186152841</v>
      </c>
      <c r="J115" s="209">
        <v>0</v>
      </c>
      <c r="K115" s="209">
        <v>0</v>
      </c>
      <c r="L115" s="209">
        <v>0</v>
      </c>
      <c r="M115" s="209">
        <v>0</v>
      </c>
      <c r="N115" s="209">
        <v>0</v>
      </c>
      <c r="O115" s="209">
        <v>0.23213585891574101</v>
      </c>
      <c r="P115" s="209">
        <v>0</v>
      </c>
      <c r="Q115" s="209">
        <v>0.0012597185009542401</v>
      </c>
      <c r="R115" s="209">
        <v>0</v>
      </c>
      <c r="S115" s="210">
        <f t="shared" si="143"/>
        <v>1.0012597185009533</v>
      </c>
      <c r="U115" s="202">
        <v>2050</v>
      </c>
      <c r="V115" s="202" t="s">
        <v>29</v>
      </c>
      <c r="W115" s="222">
        <v>2050</v>
      </c>
      <c r="X115" s="224"/>
      <c r="Y115" s="220">
        <f t="shared" si="163"/>
        <v>0</v>
      </c>
      <c r="Z115" s="220">
        <f t="shared" si="163"/>
        <v>0</v>
      </c>
      <c r="AA115" s="220">
        <f t="shared" si="163"/>
        <v>0.60548661005878501</v>
      </c>
      <c r="AB115" s="220">
        <f t="shared" si="163"/>
        <v>0.12495101241018899</v>
      </c>
      <c r="AC115" s="220">
        <f t="shared" si="163"/>
        <v>0.0374265186152841</v>
      </c>
      <c r="AD115" s="220">
        <f t="shared" si="163"/>
        <v>0</v>
      </c>
      <c r="AE115" s="220">
        <f t="shared" si="163"/>
        <v>0</v>
      </c>
      <c r="AF115" s="220">
        <f t="shared" si="163"/>
        <v>0</v>
      </c>
      <c r="AG115" s="220">
        <f t="shared" si="163"/>
        <v>0</v>
      </c>
      <c r="AH115" s="220">
        <f t="shared" si="163"/>
        <v>0</v>
      </c>
      <c r="AI115" s="220">
        <f t="shared" si="163"/>
        <v>0.23213585891574101</v>
      </c>
      <c r="AJ115" s="220">
        <f t="shared" si="163"/>
        <v>0</v>
      </c>
      <c r="AK115" s="220">
        <v>0</v>
      </c>
      <c r="AL115" s="220">
        <f t="shared" si="164"/>
        <v>0</v>
      </c>
      <c r="AM115" s="204">
        <f t="shared" si="165"/>
        <v>0.99999999999999911</v>
      </c>
      <c r="AO115" s="58"/>
    </row>
    <row r="116">
      <c r="B116" s="213"/>
      <c r="C116" s="213"/>
      <c r="D116" s="214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6"/>
      <c r="U116" s="213"/>
      <c r="V116" s="213"/>
      <c r="W116" s="213"/>
      <c r="X116" s="214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7"/>
      <c r="AJ116" s="217"/>
      <c r="AK116" s="217"/>
      <c r="AL116" s="217"/>
      <c r="AM116" s="218"/>
      <c r="AO116" s="58"/>
    </row>
    <row r="117">
      <c r="B117" s="202"/>
      <c r="C117" s="202" t="s">
        <v>472</v>
      </c>
      <c r="D117" s="202"/>
      <c r="E117" s="221"/>
      <c r="F117" s="221"/>
      <c r="G117" s="221"/>
      <c r="H117" s="221"/>
      <c r="I117" s="221"/>
      <c r="J117" s="221"/>
      <c r="K117" s="221"/>
      <c r="L117" s="221"/>
      <c r="M117" s="221"/>
      <c r="N117" s="221"/>
      <c r="O117" s="221"/>
      <c r="P117" s="221"/>
      <c r="Q117" s="221"/>
      <c r="R117" s="221"/>
      <c r="S117" s="210"/>
      <c r="U117" s="202"/>
      <c r="V117" s="202" t="s">
        <v>472</v>
      </c>
      <c r="W117" s="202"/>
      <c r="X117" s="202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4"/>
      <c r="AO117" s="58"/>
    </row>
    <row r="118">
      <c r="B118" s="207">
        <v>2019</v>
      </c>
      <c r="C118" s="207" t="s">
        <v>473</v>
      </c>
      <c r="D118" s="208" t="s">
        <v>482</v>
      </c>
      <c r="E118" s="209">
        <v>0.0041525141440921804</v>
      </c>
      <c r="F118" s="209"/>
      <c r="G118" s="209">
        <v>0.0172156315557155</v>
      </c>
      <c r="H118" s="209">
        <v>0.33021138516666398</v>
      </c>
      <c r="I118" s="209">
        <v>0.25503357701632801</v>
      </c>
      <c r="J118" s="209">
        <v>0</v>
      </c>
      <c r="K118" s="209">
        <v>0</v>
      </c>
      <c r="L118" s="209">
        <v>0</v>
      </c>
      <c r="M118" s="209">
        <v>0</v>
      </c>
      <c r="N118" s="209">
        <v>0</v>
      </c>
      <c r="O118" s="209">
        <v>0.27929983154586702</v>
      </c>
      <c r="P118" s="209">
        <v>0</v>
      </c>
      <c r="Q118" s="209">
        <v>0.114087060571334</v>
      </c>
      <c r="R118" s="209">
        <v>0</v>
      </c>
      <c r="S118" s="210">
        <f t="shared" si="143"/>
        <v>1.0000000000000007</v>
      </c>
      <c r="U118" s="207">
        <v>2019</v>
      </c>
      <c r="V118" s="207" t="s">
        <v>473</v>
      </c>
      <c r="W118" s="207">
        <v>2019</v>
      </c>
      <c r="X118" s="208" t="s">
        <v>482</v>
      </c>
      <c r="Y118" s="211">
        <f t="shared" ref="Y118:AM122" si="166">INDEX(X$11:X$35,MATCH($V118,$V$11:$V$35,0))/INDEX($AL$11:$AL$35,MATCH($V118,$V$11:$V$35,0))</f>
        <v>0.0041525141440921813</v>
      </c>
      <c r="Z118" s="211">
        <f t="shared" si="166"/>
        <v>0</v>
      </c>
      <c r="AA118" s="211">
        <f t="shared" si="166"/>
        <v>0.017215631555715503</v>
      </c>
      <c r="AB118" s="211">
        <f t="shared" si="166"/>
        <v>0.33021138516666365</v>
      </c>
      <c r="AC118" s="211">
        <f t="shared" si="166"/>
        <v>0.25503357701632812</v>
      </c>
      <c r="AD118" s="211">
        <f t="shared" si="166"/>
        <v>0</v>
      </c>
      <c r="AE118" s="211">
        <f t="shared" si="166"/>
        <v>0</v>
      </c>
      <c r="AF118" s="211">
        <f t="shared" si="166"/>
        <v>0</v>
      </c>
      <c r="AG118" s="211">
        <f t="shared" si="166"/>
        <v>0</v>
      </c>
      <c r="AH118" s="211">
        <f t="shared" si="166"/>
        <v>0</v>
      </c>
      <c r="AI118" s="211">
        <f t="shared" si="166"/>
        <v>0.27929983154586679</v>
      </c>
      <c r="AJ118" s="211">
        <f t="shared" si="166"/>
        <v>0</v>
      </c>
      <c r="AK118" s="211">
        <f t="shared" si="166"/>
        <v>0.11408706057133369</v>
      </c>
      <c r="AL118" s="211">
        <f t="shared" si="166"/>
        <v>0</v>
      </c>
      <c r="AM118" s="204">
        <f t="shared" si="166"/>
        <v>1</v>
      </c>
      <c r="AO118" s="58" t="s">
        <v>494</v>
      </c>
    </row>
    <row r="119">
      <c r="B119" s="207">
        <v>2025</v>
      </c>
      <c r="C119" s="207" t="s">
        <v>473</v>
      </c>
      <c r="D119" s="208" t="s">
        <v>482</v>
      </c>
      <c r="E119" s="209">
        <v>0.00054480176252742795</v>
      </c>
      <c r="F119" s="209">
        <v>0</v>
      </c>
      <c r="G119" s="209">
        <v>0.0172156315557155</v>
      </c>
      <c r="H119" s="209">
        <v>0.30607318583021498</v>
      </c>
      <c r="I119" s="209">
        <v>0.27917177635277701</v>
      </c>
      <c r="J119" s="209">
        <v>0</v>
      </c>
      <c r="K119" s="209">
        <v>0</v>
      </c>
      <c r="L119" s="209">
        <v>0</v>
      </c>
      <c r="M119" s="209">
        <v>0</v>
      </c>
      <c r="N119" s="209">
        <v>0</v>
      </c>
      <c r="O119" s="209">
        <v>0.27929983154586702</v>
      </c>
      <c r="P119" s="209">
        <v>0</v>
      </c>
      <c r="Q119" s="209">
        <v>0.114087060571334</v>
      </c>
      <c r="R119" s="209">
        <v>0</v>
      </c>
      <c r="S119" s="210">
        <f t="shared" si="143"/>
        <v>0.9963922876184359</v>
      </c>
      <c r="U119" s="207">
        <v>2025</v>
      </c>
      <c r="V119" s="207" t="s">
        <v>473</v>
      </c>
      <c r="W119" s="207">
        <v>2025</v>
      </c>
      <c r="X119" s="208" t="s">
        <v>482</v>
      </c>
      <c r="Y119" s="211">
        <v>0</v>
      </c>
      <c r="Z119" s="211">
        <f t="shared" ref="Z119:Z120" si="167">+F119</f>
        <v>0</v>
      </c>
      <c r="AA119" s="211">
        <v>0.01</v>
      </c>
      <c r="AB119" s="211">
        <v>0.29999999999999999</v>
      </c>
      <c r="AC119" s="211">
        <v>0.27200000000000002</v>
      </c>
      <c r="AD119" s="211">
        <v>0.025000000000000001</v>
      </c>
      <c r="AE119" s="211">
        <f t="shared" ref="AE119:AL120" si="168">+K119</f>
        <v>0</v>
      </c>
      <c r="AF119" s="211">
        <f t="shared" si="168"/>
        <v>0</v>
      </c>
      <c r="AG119" s="211">
        <f t="shared" si="168"/>
        <v>0</v>
      </c>
      <c r="AH119" s="211">
        <f t="shared" si="168"/>
        <v>0</v>
      </c>
      <c r="AI119" s="211">
        <f t="shared" si="168"/>
        <v>0.27929983154586702</v>
      </c>
      <c r="AJ119" s="211">
        <f t="shared" si="168"/>
        <v>0</v>
      </c>
      <c r="AK119" s="211">
        <f t="shared" si="168"/>
        <v>0.114087060571334</v>
      </c>
      <c r="AL119" s="211">
        <f t="shared" si="168"/>
        <v>0</v>
      </c>
      <c r="AM119" s="204">
        <f t="shared" ref="AM119:AM120" si="169">SUM(Y119:AL119)</f>
        <v>1.0003868921172012</v>
      </c>
      <c r="AO119" s="58" t="s">
        <v>490</v>
      </c>
    </row>
    <row r="120">
      <c r="B120" s="207">
        <v>2050</v>
      </c>
      <c r="C120" s="207" t="s">
        <v>473</v>
      </c>
      <c r="D120" s="208" t="s">
        <v>482</v>
      </c>
      <c r="E120" s="209">
        <v>0.00054480176252742795</v>
      </c>
      <c r="F120" s="209">
        <v>0</v>
      </c>
      <c r="G120" s="209">
        <v>0</v>
      </c>
      <c r="H120" s="209">
        <v>0.24689652976749499</v>
      </c>
      <c r="I120" s="209">
        <v>0.20917177635277701</v>
      </c>
      <c r="J120" s="209">
        <v>0</v>
      </c>
      <c r="K120" s="209">
        <v>0</v>
      </c>
      <c r="L120" s="209">
        <v>0</v>
      </c>
      <c r="M120" s="209">
        <v>0</v>
      </c>
      <c r="N120" s="209">
        <v>0</v>
      </c>
      <c r="O120" s="209">
        <v>0.37929983154586699</v>
      </c>
      <c r="P120" s="209">
        <v>0</v>
      </c>
      <c r="Q120" s="209">
        <v>0.16408706057133399</v>
      </c>
      <c r="R120" s="209">
        <v>0</v>
      </c>
      <c r="S120" s="210">
        <f t="shared" si="143"/>
        <v>1.0000000000000004</v>
      </c>
      <c r="U120" s="207">
        <v>2050</v>
      </c>
      <c r="V120" s="207" t="s">
        <v>473</v>
      </c>
      <c r="W120" s="207">
        <v>2050</v>
      </c>
      <c r="X120" s="208" t="s">
        <v>482</v>
      </c>
      <c r="Y120" s="211">
        <v>0</v>
      </c>
      <c r="Z120" s="211">
        <f t="shared" si="167"/>
        <v>0</v>
      </c>
      <c r="AA120" s="211">
        <f>+G120</f>
        <v>0</v>
      </c>
      <c r="AB120" s="211">
        <f>25%</f>
        <v>0.25</v>
      </c>
      <c r="AC120" s="211">
        <v>0.28999999999999998</v>
      </c>
      <c r="AD120" s="211">
        <v>0.040000000000000001</v>
      </c>
      <c r="AE120" s="211">
        <f t="shared" si="168"/>
        <v>0</v>
      </c>
      <c r="AF120" s="211">
        <f>+L120</f>
        <v>0</v>
      </c>
      <c r="AG120" s="211">
        <f>+M120</f>
        <v>0</v>
      </c>
      <c r="AH120" s="211">
        <f>+N120</f>
        <v>0</v>
      </c>
      <c r="AI120" s="211">
        <f>1-SUM(Y120:AH120,AJ120:AL120)</f>
        <v>0.28999999999999992</v>
      </c>
      <c r="AJ120" s="211">
        <f>+P120</f>
        <v>0</v>
      </c>
      <c r="AK120" s="211">
        <f>13%</f>
        <v>0.13</v>
      </c>
      <c r="AL120" s="211">
        <f>+R120</f>
        <v>0</v>
      </c>
      <c r="AM120" s="204">
        <f t="shared" si="169"/>
        <v>1</v>
      </c>
      <c r="AO120" s="58"/>
    </row>
    <row r="121">
      <c r="B121" s="213"/>
      <c r="C121" s="213"/>
      <c r="D121" s="214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6"/>
      <c r="U121" s="213"/>
      <c r="V121" s="213"/>
      <c r="W121" s="213"/>
      <c r="X121" s="214"/>
      <c r="Y121" s="217"/>
      <c r="Z121" s="217"/>
      <c r="AA121" s="217"/>
      <c r="AB121" s="217"/>
      <c r="AC121" s="217"/>
      <c r="AD121" s="217"/>
      <c r="AE121" s="217"/>
      <c r="AF121" s="217"/>
      <c r="AG121" s="217"/>
      <c r="AH121" s="217"/>
      <c r="AI121" s="217"/>
      <c r="AJ121" s="217"/>
      <c r="AK121" s="217"/>
      <c r="AL121" s="217"/>
      <c r="AM121" s="218"/>
      <c r="AO121" s="58"/>
    </row>
    <row r="122">
      <c r="B122" s="207">
        <v>2019</v>
      </c>
      <c r="C122" s="207" t="s">
        <v>474</v>
      </c>
      <c r="D122" s="208" t="s">
        <v>482</v>
      </c>
      <c r="E122" s="209">
        <v>0</v>
      </c>
      <c r="F122" s="209"/>
      <c r="G122" s="209">
        <v>0.142647488673455</v>
      </c>
      <c r="H122" s="209">
        <v>0.33119285981065599</v>
      </c>
      <c r="I122" s="209">
        <v>0.023343238986050899</v>
      </c>
      <c r="J122" s="209">
        <v>0</v>
      </c>
      <c r="K122" s="209">
        <v>0</v>
      </c>
      <c r="L122" s="209">
        <v>0</v>
      </c>
      <c r="M122" s="209">
        <v>0</v>
      </c>
      <c r="N122" s="209">
        <v>0</v>
      </c>
      <c r="O122" s="209">
        <v>0.47960206881992801</v>
      </c>
      <c r="P122" s="209">
        <v>0</v>
      </c>
      <c r="Q122" s="209">
        <v>0.0232143437099105</v>
      </c>
      <c r="R122" s="209">
        <v>0</v>
      </c>
      <c r="S122" s="210">
        <f t="shared" si="143"/>
        <v>1.0000000000000004</v>
      </c>
      <c r="U122" s="207">
        <v>2019</v>
      </c>
      <c r="V122" s="207" t="s">
        <v>474</v>
      </c>
      <c r="W122" s="207">
        <v>2019</v>
      </c>
      <c r="X122" s="208" t="s">
        <v>482</v>
      </c>
      <c r="Y122" s="220">
        <f t="shared" si="166"/>
        <v>0</v>
      </c>
      <c r="Z122" s="220">
        <f t="shared" si="166"/>
        <v>0</v>
      </c>
      <c r="AA122" s="220">
        <f t="shared" si="166"/>
        <v>0.14264748867345448</v>
      </c>
      <c r="AB122" s="220">
        <f t="shared" si="166"/>
        <v>0.33119285981065583</v>
      </c>
      <c r="AC122" s="220">
        <f t="shared" si="166"/>
        <v>0.023343238986050893</v>
      </c>
      <c r="AD122" s="220">
        <f t="shared" si="166"/>
        <v>0</v>
      </c>
      <c r="AE122" s="220">
        <f t="shared" si="166"/>
        <v>0</v>
      </c>
      <c r="AF122" s="220">
        <f t="shared" si="166"/>
        <v>0</v>
      </c>
      <c r="AG122" s="220">
        <f t="shared" si="166"/>
        <v>0</v>
      </c>
      <c r="AH122" s="220">
        <f t="shared" si="166"/>
        <v>0</v>
      </c>
      <c r="AI122" s="220">
        <f t="shared" si="166"/>
        <v>0.47960206881992823</v>
      </c>
      <c r="AJ122" s="220">
        <f t="shared" si="166"/>
        <v>0</v>
      </c>
      <c r="AK122" s="220">
        <f t="shared" si="166"/>
        <v>0.023214343709910525</v>
      </c>
      <c r="AL122" s="220">
        <f t="shared" si="166"/>
        <v>0</v>
      </c>
      <c r="AM122" s="204">
        <f t="shared" si="166"/>
        <v>1</v>
      </c>
      <c r="AO122" s="58" t="s">
        <v>486</v>
      </c>
    </row>
    <row r="123">
      <c r="B123" s="207">
        <v>2025</v>
      </c>
      <c r="C123" s="207" t="s">
        <v>474</v>
      </c>
      <c r="D123" s="208" t="s">
        <v>482</v>
      </c>
      <c r="E123" s="209">
        <v>0</v>
      </c>
      <c r="F123" s="209">
        <v>0</v>
      </c>
      <c r="G123" s="209">
        <v>0.142357192645614</v>
      </c>
      <c r="H123" s="209">
        <v>0.31047389168022199</v>
      </c>
      <c r="I123" s="209">
        <v>0.044062207116484703</v>
      </c>
      <c r="J123" s="209">
        <v>0</v>
      </c>
      <c r="K123" s="209">
        <v>0</v>
      </c>
      <c r="L123" s="209">
        <v>0</v>
      </c>
      <c r="M123" s="209">
        <v>0</v>
      </c>
      <c r="N123" s="209">
        <v>0</v>
      </c>
      <c r="O123" s="209">
        <v>0.47960206881992801</v>
      </c>
      <c r="P123" s="209">
        <v>0</v>
      </c>
      <c r="Q123" s="209">
        <v>0.023504639737751201</v>
      </c>
      <c r="R123" s="209">
        <v>0</v>
      </c>
      <c r="S123" s="210">
        <f t="shared" si="143"/>
        <v>0.99999999999999978</v>
      </c>
      <c r="U123" s="207">
        <v>2025</v>
      </c>
      <c r="V123" s="207" t="s">
        <v>474</v>
      </c>
      <c r="W123" s="207">
        <v>2025</v>
      </c>
      <c r="X123" s="208" t="s">
        <v>482</v>
      </c>
      <c r="Y123" s="220">
        <f t="shared" ref="Y123:AL124" si="170">+E123</f>
        <v>0</v>
      </c>
      <c r="Z123" s="220">
        <f t="shared" si="170"/>
        <v>0</v>
      </c>
      <c r="AA123" s="220">
        <f t="shared" si="170"/>
        <v>0.142357192645614</v>
      </c>
      <c r="AB123" s="220">
        <f t="shared" si="170"/>
        <v>0.31047389168022199</v>
      </c>
      <c r="AC123" s="220">
        <f t="shared" si="170"/>
        <v>0.044062207116484703</v>
      </c>
      <c r="AD123" s="220">
        <f t="shared" si="170"/>
        <v>0</v>
      </c>
      <c r="AE123" s="220">
        <f t="shared" si="170"/>
        <v>0</v>
      </c>
      <c r="AF123" s="220">
        <f t="shared" si="170"/>
        <v>0</v>
      </c>
      <c r="AG123" s="220">
        <f t="shared" si="170"/>
        <v>0</v>
      </c>
      <c r="AH123" s="220">
        <f t="shared" si="170"/>
        <v>0</v>
      </c>
      <c r="AI123" s="220">
        <f t="shared" si="170"/>
        <v>0.47960206881992801</v>
      </c>
      <c r="AJ123" s="220">
        <f t="shared" si="170"/>
        <v>0</v>
      </c>
      <c r="AK123" s="220">
        <f t="shared" si="170"/>
        <v>0.023504639737751201</v>
      </c>
      <c r="AL123" s="220">
        <f t="shared" si="170"/>
        <v>0</v>
      </c>
      <c r="AM123" s="204">
        <f t="shared" ref="AM123:AM124" si="171">SUM(Y123:AL123)</f>
        <v>0.99999999999999978</v>
      </c>
      <c r="AO123" s="58"/>
    </row>
    <row r="124">
      <c r="B124" s="207">
        <v>2050</v>
      </c>
      <c r="C124" s="207" t="s">
        <v>474</v>
      </c>
      <c r="D124" s="208" t="s">
        <v>482</v>
      </c>
      <c r="E124" s="209">
        <v>0</v>
      </c>
      <c r="F124" s="209">
        <v>0</v>
      </c>
      <c r="G124" s="209">
        <v>0.040000000000000001</v>
      </c>
      <c r="H124" s="209">
        <v>0.31047389168022199</v>
      </c>
      <c r="I124" s="209">
        <v>0.059999999999999998</v>
      </c>
      <c r="J124" s="209">
        <v>0</v>
      </c>
      <c r="K124" s="209">
        <v>0</v>
      </c>
      <c r="L124" s="209">
        <v>0</v>
      </c>
      <c r="M124" s="209">
        <v>0</v>
      </c>
      <c r="N124" s="209">
        <v>0</v>
      </c>
      <c r="O124" s="209">
        <v>0.56999999999999995</v>
      </c>
      <c r="P124" s="209">
        <v>0</v>
      </c>
      <c r="Q124" s="209">
        <v>0.023504639737751201</v>
      </c>
      <c r="R124" s="209">
        <v>0</v>
      </c>
      <c r="S124" s="210">
        <f t="shared" si="143"/>
        <v>1.0039785314179732</v>
      </c>
      <c r="U124" s="207">
        <v>2050</v>
      </c>
      <c r="V124" s="207" t="s">
        <v>474</v>
      </c>
      <c r="W124" s="207">
        <v>2050</v>
      </c>
      <c r="X124" s="208" t="s">
        <v>482</v>
      </c>
      <c r="Y124" s="220">
        <f t="shared" si="170"/>
        <v>0</v>
      </c>
      <c r="Z124" s="220">
        <f>+F124</f>
        <v>0</v>
      </c>
      <c r="AA124" s="220">
        <v>0.035999999999999997</v>
      </c>
      <c r="AB124" s="220">
        <f t="shared" ref="AB124:AL124" si="172">+H124</f>
        <v>0.31047389168022199</v>
      </c>
      <c r="AC124" s="220">
        <f t="shared" si="172"/>
        <v>0.059999999999999998</v>
      </c>
      <c r="AD124" s="220">
        <f t="shared" si="172"/>
        <v>0</v>
      </c>
      <c r="AE124" s="220">
        <f t="shared" si="172"/>
        <v>0</v>
      </c>
      <c r="AF124" s="220">
        <f t="shared" si="172"/>
        <v>0</v>
      </c>
      <c r="AG124" s="220">
        <f t="shared" si="172"/>
        <v>0</v>
      </c>
      <c r="AH124" s="220">
        <f t="shared" si="172"/>
        <v>0</v>
      </c>
      <c r="AI124" s="220">
        <f t="shared" si="172"/>
        <v>0.56999999999999995</v>
      </c>
      <c r="AJ124" s="220">
        <f t="shared" si="172"/>
        <v>0</v>
      </c>
      <c r="AK124" s="220">
        <f t="shared" si="172"/>
        <v>0.023504639737751201</v>
      </c>
      <c r="AL124" s="220">
        <f t="shared" si="172"/>
        <v>0</v>
      </c>
      <c r="AM124" s="204">
        <f t="shared" si="171"/>
        <v>0.9999785314179731</v>
      </c>
      <c r="AO124" s="58"/>
    </row>
    <row r="125">
      <c r="AO125" s="58"/>
    </row>
    <row r="126" s="1" customFormat="1"/>
  </sheetData>
  <mergeCells count="57">
    <mergeCell ref="V87:X87"/>
    <mergeCell ref="V100:X100"/>
    <mergeCell ref="C39:AM39"/>
    <mergeCell ref="C44:D44"/>
    <mergeCell ref="V44:X44"/>
    <mergeCell ref="V45:X45"/>
    <mergeCell ref="V74:X74"/>
    <mergeCell ref="C32:D32"/>
    <mergeCell ref="V32:W32"/>
    <mergeCell ref="AP32:AQ32"/>
    <mergeCell ref="C35:D35"/>
    <mergeCell ref="V35:W35"/>
    <mergeCell ref="AP35:AQ35"/>
    <mergeCell ref="C30:D30"/>
    <mergeCell ref="V30:W30"/>
    <mergeCell ref="AP30:AQ30"/>
    <mergeCell ref="C31:D31"/>
    <mergeCell ref="V31:W31"/>
    <mergeCell ref="AP31:AQ31"/>
    <mergeCell ref="C23:D23"/>
    <mergeCell ref="V23:W23"/>
    <mergeCell ref="AP23:AQ23"/>
    <mergeCell ref="C27:D27"/>
    <mergeCell ref="V27:W27"/>
    <mergeCell ref="AP27:AQ27"/>
    <mergeCell ref="C11:D11"/>
    <mergeCell ref="V11:W11"/>
    <mergeCell ref="AP11:AQ11"/>
    <mergeCell ref="C19:D19"/>
    <mergeCell ref="V19:W19"/>
    <mergeCell ref="AP19:AQ19"/>
    <mergeCell ref="AH9:AH10"/>
    <mergeCell ref="AJ9:AJ10"/>
    <mergeCell ref="AL9:AL10"/>
    <mergeCell ref="AR9:AS9"/>
    <mergeCell ref="AT9:AU9"/>
    <mergeCell ref="Z9:Z10"/>
    <mergeCell ref="AA9:AA10"/>
    <mergeCell ref="AB9:AE9"/>
    <mergeCell ref="AF9:AF10"/>
    <mergeCell ref="AG9:AG10"/>
    <mergeCell ref="C2:AM2"/>
    <mergeCell ref="C8:R8"/>
    <mergeCell ref="V8:AL8"/>
    <mergeCell ref="C9:D10"/>
    <mergeCell ref="E9:E10"/>
    <mergeCell ref="F9:F10"/>
    <mergeCell ref="G9:G10"/>
    <mergeCell ref="H9:H10"/>
    <mergeCell ref="I9:L9"/>
    <mergeCell ref="M9:M10"/>
    <mergeCell ref="N9:N10"/>
    <mergeCell ref="O9:O10"/>
    <mergeCell ref="P9:P10"/>
    <mergeCell ref="R9:R10"/>
    <mergeCell ref="V9:W10"/>
    <mergeCell ref="X9:X10"/>
  </mergeCells>
  <hyperlinks>
    <hyperlink r:id="rId1" ref="AM13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2F5597"/>
    <outlinePr applyStyles="0" summaryBelow="1" summaryRight="1" showOutlineSymbols="1"/>
    <pageSetUpPr autoPageBreaks="1" fitToPage="0"/>
  </sheetPr>
  <sheetViews>
    <sheetView topLeftCell="A4" zoomScale="53" workbookViewId="0">
      <selection activeCell="R95" activeCellId="0" sqref="R95"/>
    </sheetView>
  </sheetViews>
  <sheetFormatPr baseColWidth="10" defaultColWidth="8.88671875" defaultRowHeight="14.4"/>
  <cols>
    <col customWidth="1" min="1" max="1" width="8.6640625"/>
    <col customWidth="1" min="2" max="2" style="1" width="10.44140625"/>
    <col customWidth="1" min="3" max="3" style="1" width="40.21875"/>
    <col customWidth="1" min="4" max="18" style="1" width="10.44140625"/>
    <col customWidth="1" min="19" max="19" style="1" width="45.44140625"/>
    <col customWidth="1" min="20" max="21" style="1" width="10.44140625"/>
    <col customWidth="1" min="22" max="22" style="1" width="23"/>
    <col customWidth="1" min="23" max="23" style="1" width="53.21875"/>
    <col customWidth="1" min="24" max="41" style="1" width="10.44140625"/>
    <col customWidth="1" min="42" max="42" style="1" width="31.21875"/>
    <col customWidth="1" min="43" max="43" style="1" width="37.5546875"/>
    <col customWidth="1" min="44" max="44" style="1" width="6.5546875"/>
    <col customWidth="1" min="45" max="1025" style="1" width="10.44140625"/>
  </cols>
  <sheetData>
    <row r="2">
      <c r="C2" s="225" t="s">
        <v>495</v>
      </c>
      <c r="D2" s="225"/>
      <c r="E2" s="225"/>
      <c r="F2" s="225"/>
      <c r="G2" s="225"/>
      <c r="H2" s="225"/>
      <c r="I2" s="225"/>
      <c r="J2" s="225"/>
    </row>
    <row r="3">
      <c r="V3" s="175"/>
    </row>
    <row r="4">
      <c r="C4" s="176" t="s">
        <v>420</v>
      </c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</row>
    <row r="6">
      <c r="C6" s="177" t="s">
        <v>421</v>
      </c>
      <c r="V6" s="177" t="s">
        <v>422</v>
      </c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</row>
    <row r="10">
      <c r="C10" s="178">
        <v>2019</v>
      </c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W10" s="179">
        <v>2019</v>
      </c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</row>
    <row r="11" ht="30" customHeight="1">
      <c r="C11" s="180" t="s">
        <v>423</v>
      </c>
      <c r="D11" s="180"/>
      <c r="E11" s="181" t="s">
        <v>424</v>
      </c>
      <c r="F11" s="181" t="s">
        <v>425</v>
      </c>
      <c r="G11" s="181" t="s">
        <v>426</v>
      </c>
      <c r="H11" s="181" t="s">
        <v>427</v>
      </c>
      <c r="I11" s="181" t="s">
        <v>428</v>
      </c>
      <c r="J11" s="181"/>
      <c r="K11" s="181"/>
      <c r="L11" s="181"/>
      <c r="M11" s="181" t="s">
        <v>429</v>
      </c>
      <c r="N11" s="181" t="s">
        <v>430</v>
      </c>
      <c r="O11" s="181" t="s">
        <v>431</v>
      </c>
      <c r="P11" s="181" t="s">
        <v>432</v>
      </c>
      <c r="Q11" s="182" t="s">
        <v>433</v>
      </c>
      <c r="R11" s="181" t="s">
        <v>49</v>
      </c>
      <c r="W11" s="180" t="s">
        <v>423</v>
      </c>
      <c r="X11" s="180"/>
      <c r="Y11" s="181" t="s">
        <v>424</v>
      </c>
      <c r="Z11" s="181"/>
      <c r="AA11" s="181" t="s">
        <v>426</v>
      </c>
      <c r="AB11" s="181" t="s">
        <v>427</v>
      </c>
      <c r="AC11" s="181" t="s">
        <v>428</v>
      </c>
      <c r="AD11" s="181"/>
      <c r="AE11" s="181"/>
      <c r="AF11" s="181"/>
      <c r="AG11" s="181" t="s">
        <v>429</v>
      </c>
      <c r="AH11" s="181" t="s">
        <v>430</v>
      </c>
      <c r="AI11" s="181" t="s">
        <v>431</v>
      </c>
      <c r="AJ11" s="183"/>
      <c r="AK11" s="181" t="s">
        <v>432</v>
      </c>
      <c r="AL11" s="182" t="s">
        <v>433</v>
      </c>
      <c r="AM11" s="181" t="s">
        <v>49</v>
      </c>
      <c r="AS11" s="170" t="s">
        <v>434</v>
      </c>
      <c r="AT11" s="170"/>
      <c r="AU11" s="170" t="s">
        <v>435</v>
      </c>
      <c r="AV11" s="170"/>
    </row>
    <row r="12" ht="43.200000000000003">
      <c r="C12" s="180"/>
      <c r="D12" s="180"/>
      <c r="E12" s="181"/>
      <c r="F12" s="181"/>
      <c r="G12" s="181"/>
      <c r="H12" s="181"/>
      <c r="I12" s="182" t="s">
        <v>436</v>
      </c>
      <c r="J12" s="182" t="s">
        <v>437</v>
      </c>
      <c r="K12" s="182" t="s">
        <v>438</v>
      </c>
      <c r="L12" s="182" t="s">
        <v>439</v>
      </c>
      <c r="M12" s="181"/>
      <c r="N12" s="181"/>
      <c r="O12" s="181"/>
      <c r="P12" s="181"/>
      <c r="Q12" s="182" t="s">
        <v>433</v>
      </c>
      <c r="R12" s="181"/>
      <c r="W12" s="180"/>
      <c r="X12" s="180"/>
      <c r="Y12" s="181"/>
      <c r="Z12" s="181" t="s">
        <v>440</v>
      </c>
      <c r="AA12" s="181"/>
      <c r="AB12" s="181"/>
      <c r="AC12" s="182" t="s">
        <v>436</v>
      </c>
      <c r="AD12" s="182" t="s">
        <v>437</v>
      </c>
      <c r="AE12" s="182" t="s">
        <v>438</v>
      </c>
      <c r="AF12" s="182" t="s">
        <v>439</v>
      </c>
      <c r="AG12" s="181"/>
      <c r="AH12" s="181"/>
      <c r="AI12" s="181"/>
      <c r="AJ12" s="184" t="s">
        <v>441</v>
      </c>
      <c r="AK12" s="181"/>
      <c r="AL12" s="182" t="s">
        <v>433</v>
      </c>
      <c r="AM12" s="181"/>
      <c r="AP12" s="156"/>
      <c r="AS12" s="1" t="s">
        <v>442</v>
      </c>
      <c r="AT12" s="1" t="s">
        <v>443</v>
      </c>
      <c r="AU12" s="1" t="s">
        <v>442</v>
      </c>
      <c r="AV12" s="1" t="s">
        <v>443</v>
      </c>
    </row>
    <row r="13">
      <c r="C13" s="185" t="s">
        <v>22</v>
      </c>
      <c r="D13" s="185"/>
      <c r="E13" s="186">
        <v>24190.062730000001</v>
      </c>
      <c r="F13" s="186"/>
      <c r="G13" s="186">
        <v>1324.6569999999999</v>
      </c>
      <c r="H13" s="186">
        <v>17579.52421</v>
      </c>
      <c r="I13" s="186">
        <v>6.9779999999999998</v>
      </c>
      <c r="J13" s="186">
        <v>0</v>
      </c>
      <c r="K13" s="186">
        <v>0</v>
      </c>
      <c r="L13" s="186">
        <v>0</v>
      </c>
      <c r="M13" s="186"/>
      <c r="N13" s="186">
        <v>0</v>
      </c>
      <c r="O13" s="186">
        <v>20853.753000000001</v>
      </c>
      <c r="P13" s="186">
        <v>117.46299999999999</v>
      </c>
      <c r="Q13" s="186">
        <v>0</v>
      </c>
      <c r="R13" s="186">
        <v>64072.437940000003</v>
      </c>
      <c r="V13" s="187"/>
      <c r="W13" s="185" t="s">
        <v>22</v>
      </c>
      <c r="X13" s="185"/>
      <c r="Y13" s="186">
        <v>19671.074860000001</v>
      </c>
      <c r="Z13" s="186">
        <v>27950.379000000001</v>
      </c>
      <c r="AA13" s="186">
        <v>1324.6569999999999</v>
      </c>
      <c r="AB13" s="186">
        <v>9299.348</v>
      </c>
      <c r="AC13" s="186">
        <v>6.9779999999999998</v>
      </c>
      <c r="AD13" s="186">
        <v>0</v>
      </c>
      <c r="AE13" s="186">
        <v>0</v>
      </c>
      <c r="AF13" s="186">
        <v>0</v>
      </c>
      <c r="AG13" s="186"/>
      <c r="AH13" s="186">
        <v>0</v>
      </c>
      <c r="AI13" s="186">
        <v>20853.753000000001</v>
      </c>
      <c r="AJ13" s="186">
        <v>0</v>
      </c>
      <c r="AK13" s="186">
        <v>117.46299999999999</v>
      </c>
      <c r="AL13" s="186">
        <v>0</v>
      </c>
      <c r="AM13" s="186">
        <v>79223.652860000002</v>
      </c>
      <c r="AN13" s="156" t="s">
        <v>444</v>
      </c>
      <c r="AP13" s="156" t="s">
        <v>445</v>
      </c>
      <c r="AQ13" s="185" t="s">
        <v>22</v>
      </c>
      <c r="AR13" s="185"/>
    </row>
    <row r="14">
      <c r="C14" s="188" t="s">
        <v>446</v>
      </c>
      <c r="D14" s="188" t="s">
        <v>442</v>
      </c>
      <c r="E14" s="189">
        <v>29391.005140000001</v>
      </c>
      <c r="F14" s="189"/>
      <c r="G14" s="189">
        <v>221.4588</v>
      </c>
      <c r="H14" s="189">
        <v>14402.57315</v>
      </c>
      <c r="I14" s="189">
        <v>-50.812139999999999</v>
      </c>
      <c r="J14" s="189">
        <v>0</v>
      </c>
      <c r="K14" s="189">
        <v>0</v>
      </c>
      <c r="L14" s="189">
        <v>0</v>
      </c>
      <c r="M14" s="189"/>
      <c r="N14" s="189">
        <v>0</v>
      </c>
      <c r="O14" s="189">
        <v>11347.083500000001</v>
      </c>
      <c r="P14" s="189">
        <v>117.46299999999999</v>
      </c>
      <c r="Q14" s="189">
        <v>0</v>
      </c>
      <c r="R14" s="186">
        <v>55428.77145</v>
      </c>
      <c r="V14" s="187"/>
      <c r="W14" s="188" t="s">
        <v>446</v>
      </c>
      <c r="X14" s="188" t="s">
        <v>442</v>
      </c>
      <c r="Y14" s="190">
        <v>18488.833859999999</v>
      </c>
      <c r="Z14" s="190">
        <v>27318.869999999999</v>
      </c>
      <c r="AA14" s="190">
        <v>0</v>
      </c>
      <c r="AB14" s="190">
        <v>0</v>
      </c>
      <c r="AC14" s="190">
        <v>0</v>
      </c>
      <c r="AD14" s="190">
        <v>0</v>
      </c>
      <c r="AE14" s="190">
        <v>0</v>
      </c>
      <c r="AF14" s="190">
        <v>0</v>
      </c>
      <c r="AG14" s="190"/>
      <c r="AH14" s="190">
        <v>0</v>
      </c>
      <c r="AI14" s="190">
        <v>0</v>
      </c>
      <c r="AJ14" s="190">
        <v>0</v>
      </c>
      <c r="AK14" s="190">
        <v>0</v>
      </c>
      <c r="AL14" s="190">
        <v>0</v>
      </c>
      <c r="AM14" s="190">
        <v>45807.703860000001</v>
      </c>
      <c r="AN14" s="1" t="s">
        <v>447</v>
      </c>
      <c r="AP14" s="1" t="s">
        <v>448</v>
      </c>
      <c r="AQ14" s="188" t="s">
        <v>446</v>
      </c>
      <c r="AR14" s="188" t="s">
        <v>442</v>
      </c>
      <c r="AS14" s="1">
        <v>157.59999999999999</v>
      </c>
      <c r="AT14" s="191">
        <f>AS14/AM14</f>
        <v>0.0034404693254581303</v>
      </c>
      <c r="AU14" s="134">
        <v>2093.6669999999999</v>
      </c>
      <c r="AV14" s="191">
        <f>AU14/AM14</f>
        <v>0.045705565299644334</v>
      </c>
    </row>
    <row r="15">
      <c r="C15" s="188" t="s">
        <v>449</v>
      </c>
      <c r="D15" s="188" t="s">
        <v>442</v>
      </c>
      <c r="E15" s="189">
        <v>68.343100000000007</v>
      </c>
      <c r="F15" s="189"/>
      <c r="G15" s="189">
        <v>39.053199999999997</v>
      </c>
      <c r="H15" s="189">
        <v>372.95805999999999</v>
      </c>
      <c r="I15" s="189">
        <v>56.627139999999997</v>
      </c>
      <c r="J15" s="189">
        <v>0</v>
      </c>
      <c r="K15" s="189">
        <v>0</v>
      </c>
      <c r="L15" s="189">
        <v>0</v>
      </c>
      <c r="M15" s="189"/>
      <c r="N15" s="189">
        <v>0</v>
      </c>
      <c r="O15" s="189">
        <v>1415.6785</v>
      </c>
      <c r="P15" s="189">
        <v>0</v>
      </c>
      <c r="Q15" s="189">
        <v>0</v>
      </c>
      <c r="R15" s="186">
        <v>1952.6600000000001</v>
      </c>
      <c r="V15" s="187"/>
      <c r="W15" s="188" t="s">
        <v>449</v>
      </c>
      <c r="X15" s="188" t="s">
        <v>442</v>
      </c>
      <c r="Y15" s="192">
        <v>68.343100000000007</v>
      </c>
      <c r="Z15" s="190">
        <v>0</v>
      </c>
      <c r="AA15" s="192">
        <v>39.053199999999997</v>
      </c>
      <c r="AB15" s="192">
        <v>429.58519999999999</v>
      </c>
      <c r="AC15" s="190">
        <v>0</v>
      </c>
      <c r="AD15" s="190">
        <v>0</v>
      </c>
      <c r="AE15" s="190">
        <v>0</v>
      </c>
      <c r="AF15" s="190">
        <v>0</v>
      </c>
      <c r="AG15" s="190"/>
      <c r="AH15" s="190">
        <v>0</v>
      </c>
      <c r="AI15" s="192">
        <v>1415.6785</v>
      </c>
      <c r="AJ15" s="190">
        <v>0</v>
      </c>
      <c r="AK15" s="190">
        <v>0</v>
      </c>
      <c r="AL15" s="190">
        <v>0</v>
      </c>
      <c r="AM15" s="192">
        <v>1952.6600000000001</v>
      </c>
      <c r="AN15" s="193" t="s">
        <v>450</v>
      </c>
      <c r="AP15" s="193"/>
      <c r="AQ15" s="188" t="s">
        <v>449</v>
      </c>
      <c r="AR15" s="188" t="s">
        <v>442</v>
      </c>
      <c r="AT15" s="191"/>
      <c r="AV15" s="191"/>
    </row>
    <row r="16">
      <c r="C16" s="188" t="s">
        <v>451</v>
      </c>
      <c r="D16" s="188" t="s">
        <v>442</v>
      </c>
      <c r="E16" s="189">
        <v>0</v>
      </c>
      <c r="F16" s="189"/>
      <c r="G16" s="189">
        <v>0</v>
      </c>
      <c r="H16" s="189">
        <v>0</v>
      </c>
      <c r="I16" s="189">
        <v>0</v>
      </c>
      <c r="J16" s="189">
        <v>0</v>
      </c>
      <c r="K16" s="189">
        <v>0</v>
      </c>
      <c r="L16" s="189">
        <v>0</v>
      </c>
      <c r="M16" s="189"/>
      <c r="N16" s="189">
        <v>0</v>
      </c>
      <c r="O16" s="189">
        <v>0</v>
      </c>
      <c r="P16" s="189">
        <v>0</v>
      </c>
      <c r="Q16" s="189">
        <v>0</v>
      </c>
      <c r="R16" s="186">
        <v>0</v>
      </c>
      <c r="V16" s="187"/>
      <c r="W16" s="188" t="s">
        <v>451</v>
      </c>
      <c r="X16" s="188" t="s">
        <v>442</v>
      </c>
      <c r="Y16" s="190">
        <v>0</v>
      </c>
      <c r="Z16" s="190">
        <v>0</v>
      </c>
      <c r="AA16" s="190">
        <v>0</v>
      </c>
      <c r="AB16" s="190">
        <v>0</v>
      </c>
      <c r="AC16" s="190">
        <v>0</v>
      </c>
      <c r="AD16" s="190">
        <v>0</v>
      </c>
      <c r="AE16" s="190">
        <v>0</v>
      </c>
      <c r="AF16" s="190">
        <v>0</v>
      </c>
      <c r="AG16" s="190"/>
      <c r="AH16" s="190">
        <v>0</v>
      </c>
      <c r="AI16" s="190">
        <v>0</v>
      </c>
      <c r="AJ16" s="190">
        <v>0</v>
      </c>
      <c r="AK16" s="190">
        <v>0</v>
      </c>
      <c r="AL16" s="190">
        <v>0</v>
      </c>
      <c r="AM16" s="190">
        <v>0</v>
      </c>
      <c r="AQ16" s="188" t="s">
        <v>451</v>
      </c>
      <c r="AR16" s="188" t="s">
        <v>442</v>
      </c>
      <c r="AT16" s="191"/>
      <c r="AV16" s="191"/>
    </row>
    <row r="17">
      <c r="C17" s="188"/>
      <c r="D17" s="188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6"/>
      <c r="V17" s="187"/>
      <c r="W17" s="194" t="s">
        <v>452</v>
      </c>
      <c r="X17" s="188" t="s">
        <v>442</v>
      </c>
      <c r="Y17" s="192">
        <v>1087.6789000000001</v>
      </c>
      <c r="Z17" s="190">
        <v>631.50900000000001</v>
      </c>
      <c r="AA17" s="192">
        <v>221.4588</v>
      </c>
      <c r="AB17" s="192">
        <v>6065.7698</v>
      </c>
      <c r="AC17" s="189">
        <v>5.8150000000000004</v>
      </c>
      <c r="AD17" s="190">
        <v>0</v>
      </c>
      <c r="AE17" s="190"/>
      <c r="AF17" s="190"/>
      <c r="AG17" s="190"/>
      <c r="AH17" s="190"/>
      <c r="AI17" s="192">
        <v>11347.083500000001</v>
      </c>
      <c r="AJ17" s="190">
        <v>0</v>
      </c>
      <c r="AK17" s="190">
        <v>117.46299999999999</v>
      </c>
      <c r="AL17" s="190">
        <v>0</v>
      </c>
      <c r="AM17" s="192">
        <v>19476.777999999998</v>
      </c>
      <c r="AN17" s="1" t="s">
        <v>453</v>
      </c>
      <c r="AO17" s="191"/>
      <c r="AP17" s="1" t="s">
        <v>448</v>
      </c>
      <c r="AQ17" s="194" t="s">
        <v>452</v>
      </c>
      <c r="AR17" s="188" t="s">
        <v>442</v>
      </c>
      <c r="AT17" s="191"/>
      <c r="AV17" s="191"/>
    </row>
    <row r="18">
      <c r="C18" s="188" t="s">
        <v>454</v>
      </c>
      <c r="D18" s="188" t="s">
        <v>442</v>
      </c>
      <c r="E18" s="189">
        <v>25.056000000000001</v>
      </c>
      <c r="F18" s="189"/>
      <c r="G18" s="189">
        <v>175.392</v>
      </c>
      <c r="H18" s="189">
        <v>1566</v>
      </c>
      <c r="I18" s="189">
        <v>0</v>
      </c>
      <c r="J18" s="189">
        <v>0</v>
      </c>
      <c r="K18" s="189">
        <v>0</v>
      </c>
      <c r="L18" s="189">
        <v>0</v>
      </c>
      <c r="M18" s="189"/>
      <c r="N18" s="189">
        <v>0</v>
      </c>
      <c r="O18" s="189">
        <v>4447.4399999999996</v>
      </c>
      <c r="P18" s="189">
        <v>50.112000000000002</v>
      </c>
      <c r="Q18" s="189">
        <v>0</v>
      </c>
      <c r="R18" s="186">
        <v>6264</v>
      </c>
      <c r="V18" s="187"/>
      <c r="W18" s="188" t="s">
        <v>454</v>
      </c>
      <c r="X18" s="188" t="s">
        <v>442</v>
      </c>
      <c r="Y18" s="190">
        <v>25.056000000000001</v>
      </c>
      <c r="Z18" s="190">
        <v>0</v>
      </c>
      <c r="AA18" s="192">
        <v>175.392</v>
      </c>
      <c r="AB18" s="190">
        <v>1566</v>
      </c>
      <c r="AC18" s="190">
        <v>0</v>
      </c>
      <c r="AD18" s="190">
        <v>0</v>
      </c>
      <c r="AE18" s="190">
        <v>0</v>
      </c>
      <c r="AF18" s="190">
        <v>0</v>
      </c>
      <c r="AG18" s="190"/>
      <c r="AH18" s="190">
        <v>0</v>
      </c>
      <c r="AI18" s="190">
        <v>4447.4399999999996</v>
      </c>
      <c r="AJ18" s="190">
        <v>0</v>
      </c>
      <c r="AK18" s="190">
        <v>0</v>
      </c>
      <c r="AL18" s="190">
        <v>0</v>
      </c>
      <c r="AM18" s="192">
        <v>6264</v>
      </c>
      <c r="AN18" s="1" t="s">
        <v>455</v>
      </c>
      <c r="AQ18" s="188" t="s">
        <v>454</v>
      </c>
      <c r="AR18" s="188" t="s">
        <v>442</v>
      </c>
      <c r="AT18" s="191"/>
      <c r="AU18" s="134">
        <v>55.878</v>
      </c>
      <c r="AV18" s="191">
        <f>AU18/AM18</f>
        <v>0.0089204980842911875</v>
      </c>
    </row>
    <row r="19">
      <c r="C19" s="188" t="s">
        <v>456</v>
      </c>
      <c r="D19" s="188" t="s">
        <v>442</v>
      </c>
      <c r="E19" s="189">
        <v>0</v>
      </c>
      <c r="F19" s="189"/>
      <c r="G19" s="189">
        <v>0</v>
      </c>
      <c r="H19" s="195">
        <f>R19*0.9</f>
        <v>400.94999999999999</v>
      </c>
      <c r="I19" s="189">
        <v>0</v>
      </c>
      <c r="J19" s="189">
        <v>0</v>
      </c>
      <c r="K19" s="189">
        <v>0</v>
      </c>
      <c r="L19" s="189">
        <v>0</v>
      </c>
      <c r="M19" s="189"/>
      <c r="N19" s="189">
        <v>0</v>
      </c>
      <c r="O19" s="195">
        <f>445.5*0.1</f>
        <v>44.550000000000004</v>
      </c>
      <c r="P19" s="189">
        <v>0</v>
      </c>
      <c r="Q19" s="189">
        <v>0</v>
      </c>
      <c r="R19" s="186">
        <v>445.5</v>
      </c>
      <c r="V19" s="187"/>
      <c r="W19" s="188" t="s">
        <v>456</v>
      </c>
      <c r="X19" s="188" t="s">
        <v>442</v>
      </c>
      <c r="Y19" s="190">
        <v>0</v>
      </c>
      <c r="Z19" s="190">
        <v>0</v>
      </c>
      <c r="AA19" s="192">
        <v>32.923333333333296</v>
      </c>
      <c r="AB19" s="192">
        <v>855.74222222222204</v>
      </c>
      <c r="AC19" s="190">
        <v>0</v>
      </c>
      <c r="AD19" s="190">
        <v>0</v>
      </c>
      <c r="AE19" s="190">
        <v>0</v>
      </c>
      <c r="AF19" s="190">
        <v>0</v>
      </c>
      <c r="AG19" s="190"/>
      <c r="AH19" s="190">
        <v>0</v>
      </c>
      <c r="AI19" s="192">
        <v>448.63</v>
      </c>
      <c r="AJ19" s="190">
        <v>0</v>
      </c>
      <c r="AK19" s="190">
        <v>0</v>
      </c>
      <c r="AL19" s="190">
        <v>0</v>
      </c>
      <c r="AM19" s="192">
        <v>1337.29555555556</v>
      </c>
      <c r="AN19" s="193" t="s">
        <v>457</v>
      </c>
      <c r="AQ19" s="188" t="s">
        <v>456</v>
      </c>
      <c r="AR19" s="188" t="s">
        <v>442</v>
      </c>
      <c r="AT19" s="191"/>
      <c r="AV19" s="191"/>
    </row>
    <row r="20">
      <c r="C20" s="188" t="s">
        <v>458</v>
      </c>
      <c r="D20" s="188" t="s">
        <v>442</v>
      </c>
      <c r="E20" s="189">
        <v>1.163</v>
      </c>
      <c r="F20" s="189"/>
      <c r="G20" s="189">
        <v>888.75300000000004</v>
      </c>
      <c r="H20" s="189">
        <v>1237.9929999999999</v>
      </c>
      <c r="I20" s="189">
        <v>1.163</v>
      </c>
      <c r="J20" s="189">
        <v>0</v>
      </c>
      <c r="K20" s="189">
        <v>0</v>
      </c>
      <c r="L20" s="189">
        <v>0</v>
      </c>
      <c r="M20" s="189"/>
      <c r="N20" s="189">
        <v>0</v>
      </c>
      <c r="O20" s="189">
        <v>3198.0509999999999</v>
      </c>
      <c r="P20" s="189">
        <v>-50.112000000000002</v>
      </c>
      <c r="Q20" s="189">
        <v>0</v>
      </c>
      <c r="R20" s="186">
        <v>5277.0110000000004</v>
      </c>
      <c r="V20" s="187"/>
      <c r="W20" s="188" t="s">
        <v>458</v>
      </c>
      <c r="X20" s="188" t="s">
        <v>442</v>
      </c>
      <c r="Y20" s="190">
        <v>1.163</v>
      </c>
      <c r="Z20" s="190">
        <v>0</v>
      </c>
      <c r="AA20" s="192">
        <v>855.82966666666698</v>
      </c>
      <c r="AB20" s="192">
        <v>382.25077777777801</v>
      </c>
      <c r="AC20" s="190">
        <v>1.163</v>
      </c>
      <c r="AD20" s="190">
        <v>0</v>
      </c>
      <c r="AE20" s="190">
        <v>0</v>
      </c>
      <c r="AF20" s="190">
        <v>0</v>
      </c>
      <c r="AG20" s="190"/>
      <c r="AH20" s="190">
        <v>0</v>
      </c>
      <c r="AI20" s="192">
        <v>3194.9209999999998</v>
      </c>
      <c r="AJ20" s="190">
        <v>0</v>
      </c>
      <c r="AK20" s="190">
        <v>0</v>
      </c>
      <c r="AL20" s="190">
        <v>0</v>
      </c>
      <c r="AM20" s="192">
        <v>4385.2154444444404</v>
      </c>
      <c r="AN20" s="1" t="s">
        <v>453</v>
      </c>
      <c r="AO20" s="191"/>
      <c r="AQ20" s="188" t="s">
        <v>458</v>
      </c>
      <c r="AR20" s="188" t="s">
        <v>442</v>
      </c>
      <c r="AS20" s="1">
        <v>86.5</v>
      </c>
      <c r="AT20" s="191">
        <f>AS20/AM20</f>
        <v>0.019725370645035347</v>
      </c>
      <c r="AU20" s="134">
        <v>82.619</v>
      </c>
      <c r="AV20" s="191">
        <f>AU20/AM20</f>
        <v>0.018840351414129194</v>
      </c>
    </row>
    <row r="21">
      <c r="C21" s="185" t="s">
        <v>23</v>
      </c>
      <c r="D21" s="185"/>
      <c r="E21" s="186">
        <v>3728.8687500000001</v>
      </c>
      <c r="F21" s="186"/>
      <c r="G21" s="186">
        <v>4401.59447</v>
      </c>
      <c r="H21" s="186">
        <v>35658.52203</v>
      </c>
      <c r="I21" s="186">
        <v>1080.47352000001</v>
      </c>
      <c r="J21" s="186">
        <v>0</v>
      </c>
      <c r="K21" s="186">
        <v>0</v>
      </c>
      <c r="L21" s="186">
        <v>0</v>
      </c>
      <c r="M21" s="186"/>
      <c r="N21" s="186">
        <v>0</v>
      </c>
      <c r="O21" s="186">
        <v>19634.219570000001</v>
      </c>
      <c r="P21" s="186">
        <v>11362.64956</v>
      </c>
      <c r="Q21" s="186">
        <v>0</v>
      </c>
      <c r="R21" s="186">
        <v>75866.327900000004</v>
      </c>
      <c r="V21" s="187"/>
      <c r="W21" s="185" t="s">
        <v>23</v>
      </c>
      <c r="X21" s="185"/>
      <c r="Y21" s="186">
        <v>3659.9609999999998</v>
      </c>
      <c r="Z21" s="186">
        <v>68.907749999999993</v>
      </c>
      <c r="AA21" s="186">
        <v>4401.59447</v>
      </c>
      <c r="AB21" s="186">
        <v>35658.52203</v>
      </c>
      <c r="AC21" s="186">
        <v>1080.47352000001</v>
      </c>
      <c r="AD21" s="186">
        <v>0</v>
      </c>
      <c r="AE21" s="186">
        <v>0</v>
      </c>
      <c r="AF21" s="186">
        <v>0</v>
      </c>
      <c r="AG21" s="186"/>
      <c r="AH21" s="186">
        <v>0</v>
      </c>
      <c r="AI21" s="186">
        <v>19634.219570000001</v>
      </c>
      <c r="AJ21" s="186">
        <v>0</v>
      </c>
      <c r="AK21" s="186">
        <v>11362.64956</v>
      </c>
      <c r="AL21" s="186">
        <v>0</v>
      </c>
      <c r="AM21" s="186">
        <v>75866.327900000004</v>
      </c>
      <c r="AN21" s="1" t="s">
        <v>459</v>
      </c>
      <c r="AQ21" s="185" t="s">
        <v>23</v>
      </c>
      <c r="AR21" s="185"/>
      <c r="AT21" s="191"/>
      <c r="AV21" s="191"/>
    </row>
    <row r="22">
      <c r="C22" s="188" t="s">
        <v>460</v>
      </c>
      <c r="D22" s="188" t="s">
        <v>442</v>
      </c>
      <c r="E22" s="189">
        <v>0</v>
      </c>
      <c r="F22" s="189"/>
      <c r="G22" s="189">
        <v>26.879492334423301</v>
      </c>
      <c r="H22" s="189">
        <v>4999.5855742027297</v>
      </c>
      <c r="I22" s="189">
        <v>26.879492334423301</v>
      </c>
      <c r="J22" s="189">
        <v>0</v>
      </c>
      <c r="K22" s="189">
        <v>0</v>
      </c>
      <c r="L22" s="189">
        <v>0</v>
      </c>
      <c r="M22" s="189"/>
      <c r="N22" s="189">
        <v>0</v>
      </c>
      <c r="O22" s="189">
        <v>322.55390801307902</v>
      </c>
      <c r="P22" s="189">
        <v>0</v>
      </c>
      <c r="Q22" s="189">
        <v>0</v>
      </c>
      <c r="R22" s="186">
        <v>5375.8984668846497</v>
      </c>
      <c r="V22" s="187"/>
      <c r="W22" s="188" t="s">
        <v>460</v>
      </c>
      <c r="X22" s="188" t="s">
        <v>442</v>
      </c>
      <c r="Y22" s="189">
        <v>0</v>
      </c>
      <c r="Z22" s="189">
        <v>0</v>
      </c>
      <c r="AA22" s="189">
        <v>26.879492334423301</v>
      </c>
      <c r="AB22" s="189">
        <v>4999.5855742027297</v>
      </c>
      <c r="AC22" s="189">
        <v>26.879492334423301</v>
      </c>
      <c r="AD22" s="189">
        <v>0</v>
      </c>
      <c r="AE22" s="189">
        <v>0</v>
      </c>
      <c r="AF22" s="189">
        <v>0</v>
      </c>
      <c r="AG22" s="189"/>
      <c r="AH22" s="189">
        <v>0</v>
      </c>
      <c r="AI22" s="189">
        <v>322.55390801307902</v>
      </c>
      <c r="AJ22" s="189">
        <v>0</v>
      </c>
      <c r="AK22" s="189">
        <v>0</v>
      </c>
      <c r="AL22" s="189">
        <v>0</v>
      </c>
      <c r="AM22" s="189">
        <v>5375.8984668846497</v>
      </c>
      <c r="AN22" s="1" t="s">
        <v>455</v>
      </c>
      <c r="AQ22" s="188" t="s">
        <v>460</v>
      </c>
      <c r="AR22" s="188" t="s">
        <v>442</v>
      </c>
      <c r="AT22" s="191"/>
      <c r="AV22" s="191"/>
    </row>
    <row r="23">
      <c r="C23" s="188" t="s">
        <v>461</v>
      </c>
      <c r="D23" s="188" t="s">
        <v>442</v>
      </c>
      <c r="E23" s="189">
        <v>0</v>
      </c>
      <c r="F23" s="189"/>
      <c r="G23" s="189">
        <v>1703.6673708114899</v>
      </c>
      <c r="H23" s="189">
        <v>12328.079291392</v>
      </c>
      <c r="I23" s="189">
        <v>757.42589761749502</v>
      </c>
      <c r="J23" s="189">
        <v>0</v>
      </c>
      <c r="K23" s="189">
        <v>0</v>
      </c>
      <c r="L23" s="189">
        <v>0</v>
      </c>
      <c r="M23" s="189"/>
      <c r="N23" s="189">
        <v>0</v>
      </c>
      <c r="O23" s="189">
        <v>5680.6942321312099</v>
      </c>
      <c r="P23" s="189">
        <v>4436.3516860453301</v>
      </c>
      <c r="Q23" s="189">
        <v>0</v>
      </c>
      <c r="R23" s="186">
        <v>24906.2184779975</v>
      </c>
      <c r="V23" s="187"/>
      <c r="W23" s="188" t="s">
        <v>461</v>
      </c>
      <c r="X23" s="188" t="s">
        <v>442</v>
      </c>
      <c r="Y23" s="190">
        <v>0</v>
      </c>
      <c r="Z23" s="190">
        <v>0</v>
      </c>
      <c r="AA23" s="190">
        <v>1618.41363305613</v>
      </c>
      <c r="AB23" s="190">
        <v>29131.4453950104</v>
      </c>
      <c r="AC23" s="190">
        <v>588.63274428274406</v>
      </c>
      <c r="AD23" s="190">
        <v>0</v>
      </c>
      <c r="AE23" s="190">
        <v>0</v>
      </c>
      <c r="AF23" s="190">
        <v>0</v>
      </c>
      <c r="AG23" s="190"/>
      <c r="AH23" s="190">
        <v>0</v>
      </c>
      <c r="AI23" s="190">
        <v>7108.8951993951996</v>
      </c>
      <c r="AJ23" s="190">
        <v>0</v>
      </c>
      <c r="AK23" s="190">
        <v>5861.8958703458702</v>
      </c>
      <c r="AL23" s="190">
        <v>0</v>
      </c>
      <c r="AM23" s="190">
        <v>44309.282842090397</v>
      </c>
      <c r="AN23" s="1" t="s">
        <v>462</v>
      </c>
      <c r="AO23" s="191"/>
      <c r="AP23" s="1" t="s">
        <v>496</v>
      </c>
      <c r="AQ23" s="188" t="s">
        <v>461</v>
      </c>
      <c r="AR23" s="188" t="s">
        <v>442</v>
      </c>
      <c r="AS23" s="1">
        <v>292.60000000000002</v>
      </c>
      <c r="AT23" s="191">
        <f t="shared" ref="AT23:AT36" si="173">AS23/AM23</f>
        <v>0.0066035823924925413</v>
      </c>
      <c r="AU23" s="134">
        <v>287.28899999999999</v>
      </c>
      <c r="AV23" s="191">
        <f t="shared" ref="AV23:AV36" si="174">AU23/AM23</f>
        <v>0.0064837203757921718</v>
      </c>
    </row>
    <row r="24">
      <c r="C24" s="188" t="s">
        <v>463</v>
      </c>
      <c r="D24" s="188" t="s">
        <v>442</v>
      </c>
      <c r="E24" s="189">
        <v>3728.8687500000001</v>
      </c>
      <c r="F24" s="189"/>
      <c r="G24" s="189">
        <v>2671.0476068540902</v>
      </c>
      <c r="H24" s="189">
        <v>18330.857164405301</v>
      </c>
      <c r="I24" s="189">
        <v>296.16813004808802</v>
      </c>
      <c r="J24" s="189">
        <v>0</v>
      </c>
      <c r="K24" s="189">
        <v>0</v>
      </c>
      <c r="L24" s="189">
        <v>0</v>
      </c>
      <c r="M24" s="189"/>
      <c r="N24" s="189">
        <v>0</v>
      </c>
      <c r="O24" s="189">
        <v>13630.971429855699</v>
      </c>
      <c r="P24" s="189">
        <v>6926.2978739546697</v>
      </c>
      <c r="Q24" s="189">
        <v>0</v>
      </c>
      <c r="R24" s="186">
        <v>45584.210955117902</v>
      </c>
      <c r="V24" s="187"/>
      <c r="W24" s="188" t="s">
        <v>463</v>
      </c>
      <c r="X24" s="188" t="s">
        <v>442</v>
      </c>
      <c r="Y24" s="189">
        <v>3659.9609999999998</v>
      </c>
      <c r="Z24" s="189">
        <v>68.907749999999993</v>
      </c>
      <c r="AA24" s="189">
        <v>2756.3013446094401</v>
      </c>
      <c r="AB24" s="189">
        <v>1527.4910607868801</v>
      </c>
      <c r="AC24" s="189">
        <v>464.96128338283802</v>
      </c>
      <c r="AD24" s="189">
        <v>0</v>
      </c>
      <c r="AE24" s="189">
        <v>0</v>
      </c>
      <c r="AF24" s="189">
        <v>0</v>
      </c>
      <c r="AG24" s="189"/>
      <c r="AH24" s="189">
        <v>0</v>
      </c>
      <c r="AI24" s="189">
        <v>12202.770462591699</v>
      </c>
      <c r="AJ24" s="189">
        <v>0</v>
      </c>
      <c r="AK24" s="189">
        <v>5500.7536896541296</v>
      </c>
      <c r="AL24" s="189">
        <v>0</v>
      </c>
      <c r="AM24" s="189">
        <v>26181.146591025001</v>
      </c>
      <c r="AN24" s="1" t="s">
        <v>453</v>
      </c>
      <c r="AO24" s="196"/>
      <c r="AQ24" s="188" t="s">
        <v>463</v>
      </c>
      <c r="AR24" s="188" t="s">
        <v>442</v>
      </c>
      <c r="AS24" s="1">
        <v>932.60000000000002</v>
      </c>
      <c r="AT24" s="191">
        <f t="shared" si="173"/>
        <v>0.035621052605835792</v>
      </c>
      <c r="AU24" s="134">
        <v>1014.828</v>
      </c>
      <c r="AV24" s="191">
        <f t="shared" si="174"/>
        <v>0.038761785946681455</v>
      </c>
    </row>
    <row r="25">
      <c r="C25" s="185" t="s">
        <v>464</v>
      </c>
      <c r="D25" s="185"/>
      <c r="E25" s="186">
        <v>2938.9009999999998</v>
      </c>
      <c r="F25" s="186"/>
      <c r="G25" s="186">
        <v>6832.625</v>
      </c>
      <c r="H25" s="186">
        <v>19326.734</v>
      </c>
      <c r="I25" s="186">
        <v>5982.4719999999998</v>
      </c>
      <c r="J25" s="186">
        <v>0</v>
      </c>
      <c r="K25" s="186">
        <v>0</v>
      </c>
      <c r="L25" s="186">
        <v>0</v>
      </c>
      <c r="M25" s="186"/>
      <c r="N25" s="186">
        <v>0</v>
      </c>
      <c r="O25" s="186">
        <v>8314.2870000000003</v>
      </c>
      <c r="P25" s="186">
        <v>0</v>
      </c>
      <c r="Q25" s="186">
        <v>0</v>
      </c>
      <c r="R25" s="186">
        <v>43395.019</v>
      </c>
      <c r="V25" s="187"/>
      <c r="W25" s="185" t="s">
        <v>464</v>
      </c>
      <c r="X25" s="185"/>
      <c r="Y25" s="186">
        <v>2556.2739999999999</v>
      </c>
      <c r="Z25" s="186">
        <v>382.62700000000001</v>
      </c>
      <c r="AA25" s="186">
        <v>6832.625</v>
      </c>
      <c r="AB25" s="186">
        <v>19326.734</v>
      </c>
      <c r="AC25" s="186">
        <v>2679.0324533571202</v>
      </c>
      <c r="AD25" s="186">
        <v>3417.3512551478002</v>
      </c>
      <c r="AE25" s="186">
        <v>0</v>
      </c>
      <c r="AF25" s="186">
        <v>0</v>
      </c>
      <c r="AG25" s="186"/>
      <c r="AH25" s="186">
        <v>0</v>
      </c>
      <c r="AI25" s="186">
        <v>8314.2870000000003</v>
      </c>
      <c r="AJ25" s="186">
        <v>0</v>
      </c>
      <c r="AK25" s="186">
        <v>0</v>
      </c>
      <c r="AL25" s="186">
        <v>0</v>
      </c>
      <c r="AM25" s="186">
        <f>SUM(AM26:AM28)</f>
        <v>43508.930708504937</v>
      </c>
      <c r="AN25" s="1" t="s">
        <v>459</v>
      </c>
      <c r="AQ25" s="185" t="s">
        <v>464</v>
      </c>
      <c r="AR25" s="185"/>
      <c r="AT25" s="191"/>
      <c r="AV25" s="191"/>
    </row>
    <row r="26">
      <c r="C26" s="188" t="s">
        <v>465</v>
      </c>
      <c r="D26" s="188" t="s">
        <v>442</v>
      </c>
      <c r="E26" s="189">
        <v>1876.1928459635001</v>
      </c>
      <c r="F26" s="189"/>
      <c r="G26" s="189">
        <v>5159.5303263996202</v>
      </c>
      <c r="H26" s="189">
        <v>268.02754942335702</v>
      </c>
      <c r="I26" s="189">
        <v>5695.5854252463396</v>
      </c>
      <c r="J26" s="189">
        <v>0</v>
      </c>
      <c r="K26" s="189">
        <v>0</v>
      </c>
      <c r="L26" s="189">
        <v>0</v>
      </c>
      <c r="M26" s="189"/>
      <c r="N26" s="189">
        <v>0</v>
      </c>
      <c r="O26" s="189">
        <v>402.04132413503601</v>
      </c>
      <c r="P26" s="189">
        <v>0</v>
      </c>
      <c r="Q26" s="189">
        <v>0</v>
      </c>
      <c r="R26" s="186">
        <v>13401.3774711679</v>
      </c>
      <c r="V26" s="187"/>
      <c r="W26" s="188" t="s">
        <v>465</v>
      </c>
      <c r="X26" s="188" t="s">
        <v>442</v>
      </c>
      <c r="Y26" s="189">
        <v>1876.1928459635001</v>
      </c>
      <c r="Z26" s="189">
        <v>0</v>
      </c>
      <c r="AA26" s="189">
        <v>5159.5303263996202</v>
      </c>
      <c r="AB26" s="189">
        <v>268.02754942335702</v>
      </c>
      <c r="AC26" s="189">
        <v>2278.2341700985298</v>
      </c>
      <c r="AD26" s="189">
        <v>3417.3512551478002</v>
      </c>
      <c r="AE26" s="189">
        <v>0</v>
      </c>
      <c r="AF26" s="189">
        <v>0</v>
      </c>
      <c r="AG26" s="189"/>
      <c r="AH26" s="189">
        <v>0</v>
      </c>
      <c r="AI26" s="189">
        <v>1871.7831758505499</v>
      </c>
      <c r="AJ26" s="189">
        <v>0</v>
      </c>
      <c r="AK26" s="189">
        <v>0</v>
      </c>
      <c r="AL26" s="189">
        <v>0</v>
      </c>
      <c r="AM26" s="189">
        <f t="shared" ref="AM26:AM28" si="175">SUM(Y26:AL26)</f>
        <v>14871.119322883358</v>
      </c>
      <c r="AN26" s="1" t="s">
        <v>459</v>
      </c>
      <c r="AQ26" s="188" t="s">
        <v>465</v>
      </c>
      <c r="AR26" s="188" t="s">
        <v>442</v>
      </c>
      <c r="AT26" s="191"/>
      <c r="AU26" s="134">
        <v>995.96699999999998</v>
      </c>
      <c r="AV26" s="191">
        <f t="shared" si="174"/>
        <v>0.066973237076204978</v>
      </c>
    </row>
    <row r="27">
      <c r="C27" s="188" t="s">
        <v>466</v>
      </c>
      <c r="D27" s="188" t="s">
        <v>442</v>
      </c>
      <c r="E27" s="189">
        <v>0</v>
      </c>
      <c r="F27" s="189"/>
      <c r="G27" s="189">
        <v>1376.6639035451999</v>
      </c>
      <c r="H27" s="189">
        <v>10248.4979486143</v>
      </c>
      <c r="I27" s="189">
        <v>0</v>
      </c>
      <c r="J27" s="189">
        <v>0</v>
      </c>
      <c r="K27" s="189">
        <v>0</v>
      </c>
      <c r="L27" s="189">
        <v>0</v>
      </c>
      <c r="M27" s="189"/>
      <c r="N27" s="189">
        <v>0</v>
      </c>
      <c r="O27" s="189">
        <v>3671.1037427872002</v>
      </c>
      <c r="P27" s="189">
        <v>0</v>
      </c>
      <c r="Q27" s="189">
        <v>0</v>
      </c>
      <c r="R27" s="186">
        <v>15296.265594946701</v>
      </c>
      <c r="V27" s="187"/>
      <c r="W27" s="188" t="s">
        <v>466</v>
      </c>
      <c r="X27" s="188" t="s">
        <v>442</v>
      </c>
      <c r="Y27" s="189">
        <v>0</v>
      </c>
      <c r="Z27" s="189">
        <v>0</v>
      </c>
      <c r="AA27" s="189">
        <v>1376.6639035451999</v>
      </c>
      <c r="AB27" s="189">
        <v>10248.4979486143</v>
      </c>
      <c r="AC27" s="189">
        <v>0</v>
      </c>
      <c r="AD27" s="189">
        <v>0</v>
      </c>
      <c r="AE27" s="189">
        <v>0</v>
      </c>
      <c r="AF27" s="189">
        <v>0</v>
      </c>
      <c r="AG27" s="189"/>
      <c r="AH27" s="189">
        <v>0</v>
      </c>
      <c r="AI27" s="189">
        <v>3671.1037427872002</v>
      </c>
      <c r="AJ27" s="189">
        <v>0</v>
      </c>
      <c r="AK27" s="189">
        <v>0</v>
      </c>
      <c r="AL27" s="189">
        <v>0</v>
      </c>
      <c r="AM27" s="189">
        <f t="shared" si="175"/>
        <v>15296.265594946701</v>
      </c>
      <c r="AN27" s="1" t="s">
        <v>462</v>
      </c>
      <c r="AO27" s="191"/>
      <c r="AQ27" s="188" t="s">
        <v>466</v>
      </c>
      <c r="AR27" s="188" t="s">
        <v>442</v>
      </c>
      <c r="AS27" s="1">
        <v>65</v>
      </c>
      <c r="AT27" s="191">
        <f t="shared" si="173"/>
        <v>0.0042494032021432411</v>
      </c>
      <c r="AU27" s="134">
        <v>222.06700000000001</v>
      </c>
      <c r="AV27" s="191">
        <f t="shared" si="174"/>
        <v>0.014517726475236048</v>
      </c>
    </row>
    <row r="28">
      <c r="C28" s="188" t="s">
        <v>467</v>
      </c>
      <c r="D28" s="188" t="s">
        <v>442</v>
      </c>
      <c r="E28" s="189">
        <v>1062.7081540365</v>
      </c>
      <c r="F28" s="189"/>
      <c r="G28" s="189">
        <v>296.43077005517603</v>
      </c>
      <c r="H28" s="189">
        <v>8810.2085019623592</v>
      </c>
      <c r="I28" s="189">
        <v>286.88657475366301</v>
      </c>
      <c r="J28" s="189">
        <v>0</v>
      </c>
      <c r="K28" s="189">
        <v>0</v>
      </c>
      <c r="L28" s="189">
        <v>0</v>
      </c>
      <c r="M28" s="189"/>
      <c r="N28" s="189">
        <v>0</v>
      </c>
      <c r="O28" s="189">
        <v>4241.1419330777599</v>
      </c>
      <c r="P28" s="189">
        <v>0</v>
      </c>
      <c r="Q28" s="189">
        <v>0</v>
      </c>
      <c r="R28" s="186">
        <v>14697.3759338855</v>
      </c>
      <c r="V28" s="187"/>
      <c r="W28" s="188" t="s">
        <v>467</v>
      </c>
      <c r="X28" s="188" t="s">
        <v>442</v>
      </c>
      <c r="Y28" s="189">
        <v>680.08115403650095</v>
      </c>
      <c r="Z28" s="189">
        <v>382.62700000000001</v>
      </c>
      <c r="AA28" s="189">
        <v>296.43077005517603</v>
      </c>
      <c r="AB28" s="189">
        <v>8810.2085019623592</v>
      </c>
      <c r="AC28" s="189">
        <v>400.79828325859</v>
      </c>
      <c r="AD28" s="189">
        <v>0</v>
      </c>
      <c r="AE28" s="189">
        <v>0</v>
      </c>
      <c r="AF28" s="189">
        <v>0</v>
      </c>
      <c r="AG28" s="189"/>
      <c r="AH28" s="189">
        <v>0</v>
      </c>
      <c r="AI28" s="189">
        <v>2771.4000813622501</v>
      </c>
      <c r="AJ28" s="189">
        <v>0</v>
      </c>
      <c r="AK28" s="189">
        <v>0</v>
      </c>
      <c r="AL28" s="189">
        <v>0</v>
      </c>
      <c r="AM28" s="189">
        <f t="shared" si="175"/>
        <v>13341.545790674874</v>
      </c>
      <c r="AN28" s="1" t="s">
        <v>453</v>
      </c>
      <c r="AO28" s="196"/>
      <c r="AQ28" s="188" t="s">
        <v>467</v>
      </c>
      <c r="AR28" s="188" t="s">
        <v>442</v>
      </c>
      <c r="AS28" s="1">
        <v>132</v>
      </c>
      <c r="AT28" s="191">
        <f t="shared" si="173"/>
        <v>0.0098939060039251164</v>
      </c>
      <c r="AU28" s="134">
        <v>-64.718999999999994</v>
      </c>
      <c r="AV28" s="191">
        <f t="shared" si="174"/>
        <v>-0.0048509371414244664</v>
      </c>
    </row>
    <row r="29">
      <c r="C29" s="185" t="s">
        <v>468</v>
      </c>
      <c r="D29" s="185"/>
      <c r="E29" s="186">
        <v>2301.5770000000002</v>
      </c>
      <c r="F29" s="186"/>
      <c r="G29" s="186">
        <v>2944.7159999999999</v>
      </c>
      <c r="H29" s="186">
        <v>26382.654999999999</v>
      </c>
      <c r="I29" s="186">
        <v>2189.9290000000001</v>
      </c>
      <c r="J29" s="186">
        <v>0</v>
      </c>
      <c r="K29" s="186">
        <v>0</v>
      </c>
      <c r="L29" s="186">
        <v>0</v>
      </c>
      <c r="M29" s="186"/>
      <c r="N29" s="186">
        <v>0</v>
      </c>
      <c r="O29" s="186">
        <v>23015.77</v>
      </c>
      <c r="P29" s="186">
        <v>0</v>
      </c>
      <c r="Q29" s="186">
        <v>0</v>
      </c>
      <c r="R29" s="186">
        <v>56834.646999999997</v>
      </c>
      <c r="V29" s="187"/>
      <c r="W29" s="185" t="s">
        <v>468</v>
      </c>
      <c r="X29" s="185"/>
      <c r="Y29" s="186">
        <v>2130.616</v>
      </c>
      <c r="Z29" s="186">
        <v>170.96100000000001</v>
      </c>
      <c r="AA29" s="186">
        <v>2944.7159999999999</v>
      </c>
      <c r="AB29" s="186">
        <v>26382.654999999999</v>
      </c>
      <c r="AC29" s="186">
        <v>2189.9290000000001</v>
      </c>
      <c r="AD29" s="186">
        <v>0</v>
      </c>
      <c r="AE29" s="186">
        <v>0</v>
      </c>
      <c r="AF29" s="186">
        <v>0</v>
      </c>
      <c r="AG29" s="186"/>
      <c r="AH29" s="186">
        <v>0</v>
      </c>
      <c r="AI29" s="186">
        <v>23015.77</v>
      </c>
      <c r="AJ29" s="186">
        <v>0</v>
      </c>
      <c r="AK29" s="186">
        <v>2752.0909999999999</v>
      </c>
      <c r="AL29" s="186">
        <v>0</v>
      </c>
      <c r="AM29" s="186">
        <v>59586.737999999998</v>
      </c>
      <c r="AN29" s="1" t="s">
        <v>459</v>
      </c>
      <c r="AQ29" s="185" t="s">
        <v>468</v>
      </c>
      <c r="AR29" s="185"/>
      <c r="AT29" s="191"/>
      <c r="AV29" s="191"/>
    </row>
    <row r="30">
      <c r="C30" s="188" t="s">
        <v>469</v>
      </c>
      <c r="D30" s="188" t="s">
        <v>442</v>
      </c>
      <c r="E30" s="189">
        <v>1906.6484837999999</v>
      </c>
      <c r="F30" s="189"/>
      <c r="G30" s="189">
        <v>922.57184700000005</v>
      </c>
      <c r="H30" s="189">
        <v>6868.0348610000001</v>
      </c>
      <c r="I30" s="189">
        <v>41.003193199999998</v>
      </c>
      <c r="J30" s="189">
        <v>0</v>
      </c>
      <c r="K30" s="189">
        <v>0</v>
      </c>
      <c r="L30" s="189">
        <v>0</v>
      </c>
      <c r="M30" s="189"/>
      <c r="N30" s="189">
        <v>0</v>
      </c>
      <c r="O30" s="189">
        <v>512.53991499999995</v>
      </c>
      <c r="P30" s="189">
        <v>0</v>
      </c>
      <c r="Q30" s="189">
        <v>0</v>
      </c>
      <c r="R30" s="186">
        <v>10250.7983</v>
      </c>
      <c r="V30" s="187"/>
      <c r="W30" s="188" t="s">
        <v>469</v>
      </c>
      <c r="X30" s="188" t="s">
        <v>442</v>
      </c>
      <c r="Y30" s="189">
        <v>1906.6484837999999</v>
      </c>
      <c r="Z30" s="189">
        <v>0</v>
      </c>
      <c r="AA30" s="189">
        <v>922.57184700000005</v>
      </c>
      <c r="AB30" s="189">
        <v>6868.0348610000001</v>
      </c>
      <c r="AC30" s="189">
        <v>41.003193199999998</v>
      </c>
      <c r="AD30" s="189">
        <v>0</v>
      </c>
      <c r="AE30" s="189">
        <v>0</v>
      </c>
      <c r="AF30" s="189">
        <v>0</v>
      </c>
      <c r="AG30" s="189"/>
      <c r="AH30" s="189">
        <v>0</v>
      </c>
      <c r="AI30" s="189">
        <v>512.53991499999995</v>
      </c>
      <c r="AJ30" s="189">
        <v>0</v>
      </c>
      <c r="AK30" s="189">
        <v>0</v>
      </c>
      <c r="AL30" s="189">
        <v>0</v>
      </c>
      <c r="AM30" s="189">
        <v>10250.7983</v>
      </c>
      <c r="AN30" s="1" t="s">
        <v>462</v>
      </c>
      <c r="AO30" s="191"/>
      <c r="AQ30" s="188" t="s">
        <v>469</v>
      </c>
      <c r="AR30" s="188" t="s">
        <v>442</v>
      </c>
      <c r="AS30" s="1">
        <v>267.80000000000001</v>
      </c>
      <c r="AT30" s="191">
        <f t="shared" si="173"/>
        <v>0.026124794592826982</v>
      </c>
      <c r="AU30" s="134">
        <v>356.88200000000001</v>
      </c>
      <c r="AV30" s="191">
        <f t="shared" si="174"/>
        <v>0.034815044599989839</v>
      </c>
    </row>
    <row r="31">
      <c r="C31" s="188" t="s">
        <v>470</v>
      </c>
      <c r="D31" s="188" t="s">
        <v>442</v>
      </c>
      <c r="E31" s="189">
        <v>394.92851619999999</v>
      </c>
      <c r="F31" s="189"/>
      <c r="G31" s="189">
        <v>2022.144153</v>
      </c>
      <c r="H31" s="189">
        <v>19514.620138999999</v>
      </c>
      <c r="I31" s="189">
        <v>2148.9258067999999</v>
      </c>
      <c r="J31" s="189">
        <v>0</v>
      </c>
      <c r="K31" s="189">
        <v>0</v>
      </c>
      <c r="L31" s="189">
        <v>0</v>
      </c>
      <c r="M31" s="189"/>
      <c r="N31" s="189">
        <v>0</v>
      </c>
      <c r="O31" s="189">
        <v>22503.230084999999</v>
      </c>
      <c r="P31" s="189">
        <v>0</v>
      </c>
      <c r="Q31" s="189">
        <v>0</v>
      </c>
      <c r="R31" s="186">
        <v>46583.848700000002</v>
      </c>
      <c r="V31" s="187"/>
      <c r="W31" s="188" t="s">
        <v>470</v>
      </c>
      <c r="X31" s="188" t="s">
        <v>442</v>
      </c>
      <c r="Y31" s="189">
        <v>223.96751620000001</v>
      </c>
      <c r="Z31" s="189">
        <v>170.96100000000001</v>
      </c>
      <c r="AA31" s="189">
        <v>2022.144153</v>
      </c>
      <c r="AB31" s="189">
        <v>19514.620138999999</v>
      </c>
      <c r="AC31" s="189">
        <v>2148.9258067999999</v>
      </c>
      <c r="AD31" s="189">
        <v>0</v>
      </c>
      <c r="AE31" s="189">
        <v>0</v>
      </c>
      <c r="AF31" s="189">
        <v>0</v>
      </c>
      <c r="AG31" s="189"/>
      <c r="AH31" s="189">
        <v>0</v>
      </c>
      <c r="AI31" s="189">
        <v>22503.230084999999</v>
      </c>
      <c r="AJ31" s="189">
        <v>0</v>
      </c>
      <c r="AK31" s="189">
        <v>2752.0909999999999</v>
      </c>
      <c r="AL31" s="189">
        <v>0</v>
      </c>
      <c r="AM31" s="189">
        <v>49335.939700000003</v>
      </c>
      <c r="AN31" s="1" t="s">
        <v>453</v>
      </c>
      <c r="AO31" s="191"/>
      <c r="AQ31" s="188" t="s">
        <v>470</v>
      </c>
      <c r="AR31" s="188" t="s">
        <v>442</v>
      </c>
      <c r="AS31" s="1">
        <v>49.100000000000001</v>
      </c>
      <c r="AT31" s="191">
        <f t="shared" si="173"/>
        <v>0.00099521769117129019</v>
      </c>
      <c r="AU31" s="134">
        <v>393.11799999999999</v>
      </c>
      <c r="AV31" s="191">
        <f t="shared" si="174"/>
        <v>0.0079681871347836112</v>
      </c>
    </row>
    <row r="32">
      <c r="C32" s="185" t="s">
        <v>471</v>
      </c>
      <c r="D32" s="185"/>
      <c r="E32" s="186">
        <v>319.82499999999999</v>
      </c>
      <c r="F32" s="186"/>
      <c r="G32" s="186">
        <v>1482.825</v>
      </c>
      <c r="H32" s="186">
        <v>11980.063</v>
      </c>
      <c r="I32" s="186">
        <v>111.648</v>
      </c>
      <c r="J32" s="186">
        <v>0</v>
      </c>
      <c r="K32" s="186">
        <v>0</v>
      </c>
      <c r="L32" s="186">
        <v>0</v>
      </c>
      <c r="M32" s="186"/>
      <c r="N32" s="186">
        <v>0</v>
      </c>
      <c r="O32" s="186">
        <v>18782.450000000001</v>
      </c>
      <c r="P32" s="186">
        <v>36.052999999999997</v>
      </c>
      <c r="Q32" s="186">
        <v>0</v>
      </c>
      <c r="R32" s="186">
        <v>32712.864000000001</v>
      </c>
      <c r="V32" s="187"/>
      <c r="W32" s="185" t="s">
        <v>471</v>
      </c>
      <c r="X32" s="185"/>
      <c r="Y32" s="186">
        <v>15.119</v>
      </c>
      <c r="Z32" s="186">
        <v>304.70600000000002</v>
      </c>
      <c r="AA32" s="186">
        <v>1482.825</v>
      </c>
      <c r="AB32" s="186">
        <v>11980.063</v>
      </c>
      <c r="AC32" s="186">
        <v>111.648</v>
      </c>
      <c r="AD32" s="186">
        <v>0</v>
      </c>
      <c r="AE32" s="186">
        <v>0</v>
      </c>
      <c r="AF32" s="186">
        <v>0</v>
      </c>
      <c r="AG32" s="186"/>
      <c r="AH32" s="186">
        <v>0</v>
      </c>
      <c r="AI32" s="186">
        <v>18782.450000000001</v>
      </c>
      <c r="AJ32" s="186">
        <v>0</v>
      </c>
      <c r="AK32" s="186">
        <v>36.052999999999997</v>
      </c>
      <c r="AL32" s="186">
        <v>0</v>
      </c>
      <c r="AM32" s="186">
        <v>32712.864000000001</v>
      </c>
      <c r="AN32" s="1" t="s">
        <v>459</v>
      </c>
      <c r="AO32" s="191"/>
      <c r="AQ32" s="185" t="s">
        <v>471</v>
      </c>
      <c r="AR32" s="185"/>
      <c r="AS32" s="1">
        <v>22.699999999999999</v>
      </c>
      <c r="AT32" s="191">
        <f t="shared" si="173"/>
        <v>0.0006939166194681089</v>
      </c>
      <c r="AU32" s="134">
        <v>110.557</v>
      </c>
      <c r="AV32" s="191">
        <f t="shared" si="174"/>
        <v>0.0033796184889222781</v>
      </c>
    </row>
    <row r="33">
      <c r="C33" s="185" t="s">
        <v>29</v>
      </c>
      <c r="D33" s="185"/>
      <c r="E33" s="186">
        <v>0</v>
      </c>
      <c r="F33" s="186"/>
      <c r="G33" s="186">
        <v>10781.01</v>
      </c>
      <c r="H33" s="186">
        <v>2224.819</v>
      </c>
      <c r="I33" s="186">
        <v>666.399</v>
      </c>
      <c r="J33" s="186">
        <v>0</v>
      </c>
      <c r="K33" s="186">
        <v>0</v>
      </c>
      <c r="L33" s="186">
        <v>0</v>
      </c>
      <c r="M33" s="186"/>
      <c r="N33" s="186">
        <v>0</v>
      </c>
      <c r="O33" s="186">
        <v>4133.3019999999997</v>
      </c>
      <c r="P33" s="186">
        <v>0</v>
      </c>
      <c r="Q33" s="186">
        <v>0</v>
      </c>
      <c r="R33" s="186">
        <v>17805.529999999999</v>
      </c>
      <c r="V33" s="187"/>
      <c r="W33" s="185" t="s">
        <v>29</v>
      </c>
      <c r="X33" s="185"/>
      <c r="Y33" s="186">
        <v>0</v>
      </c>
      <c r="Z33" s="186">
        <v>0</v>
      </c>
      <c r="AA33" s="186">
        <v>10781.01</v>
      </c>
      <c r="AB33" s="186">
        <v>2224.819</v>
      </c>
      <c r="AC33" s="186">
        <v>666.399</v>
      </c>
      <c r="AD33" s="186">
        <v>0</v>
      </c>
      <c r="AE33" s="186">
        <v>0</v>
      </c>
      <c r="AF33" s="186">
        <v>0</v>
      </c>
      <c r="AG33" s="186"/>
      <c r="AH33" s="186">
        <v>0</v>
      </c>
      <c r="AI33" s="186">
        <v>4133.3019999999997</v>
      </c>
      <c r="AJ33" s="186">
        <v>0</v>
      </c>
      <c r="AK33" s="186">
        <v>0</v>
      </c>
      <c r="AL33" s="186">
        <v>0</v>
      </c>
      <c r="AM33" s="186">
        <v>17805.529999999999</v>
      </c>
      <c r="AN33" s="1" t="s">
        <v>459</v>
      </c>
      <c r="AQ33" s="185" t="s">
        <v>29</v>
      </c>
      <c r="AR33" s="185"/>
      <c r="AT33" s="191"/>
      <c r="AV33" s="191"/>
    </row>
    <row r="34">
      <c r="C34" s="185" t="s">
        <v>472</v>
      </c>
      <c r="D34" s="185"/>
      <c r="E34" s="186">
        <v>111.648</v>
      </c>
      <c r="F34" s="186"/>
      <c r="G34" s="186">
        <v>3732.067</v>
      </c>
      <c r="H34" s="186">
        <v>16468.614979999998</v>
      </c>
      <c r="I34" s="186">
        <v>7392.0280000000002</v>
      </c>
      <c r="J34" s="186">
        <v>0</v>
      </c>
      <c r="K34" s="186">
        <v>0</v>
      </c>
      <c r="L34" s="186">
        <v>0</v>
      </c>
      <c r="M34" s="186"/>
      <c r="N34" s="186">
        <v>0</v>
      </c>
      <c r="O34" s="186">
        <v>18501.004000000001</v>
      </c>
      <c r="P34" s="186">
        <v>532.02598</v>
      </c>
      <c r="Q34" s="186">
        <v>0</v>
      </c>
      <c r="R34" s="186">
        <v>46737.38796</v>
      </c>
      <c r="V34" s="187"/>
      <c r="W34" s="185" t="s">
        <v>472</v>
      </c>
      <c r="X34" s="185"/>
      <c r="Y34" s="186">
        <v>111.648</v>
      </c>
      <c r="Z34" s="186">
        <v>0</v>
      </c>
      <c r="AA34" s="186">
        <v>3732.067</v>
      </c>
      <c r="AB34" s="186">
        <v>16468.614979999998</v>
      </c>
      <c r="AC34" s="186">
        <v>7392.0280000000002</v>
      </c>
      <c r="AD34" s="186">
        <v>0</v>
      </c>
      <c r="AE34" s="186">
        <v>0</v>
      </c>
      <c r="AF34" s="186">
        <v>0</v>
      </c>
      <c r="AG34" s="186"/>
      <c r="AH34" s="186">
        <v>0</v>
      </c>
      <c r="AI34" s="186">
        <v>18501.004000000001</v>
      </c>
      <c r="AJ34" s="186">
        <v>0</v>
      </c>
      <c r="AK34" s="186">
        <v>3599.4669800000001</v>
      </c>
      <c r="AL34" s="186">
        <v>0</v>
      </c>
      <c r="AM34" s="186">
        <v>49804.828959999999</v>
      </c>
      <c r="AN34" s="1" t="s">
        <v>459</v>
      </c>
      <c r="AQ34" s="185" t="s">
        <v>472</v>
      </c>
      <c r="AR34" s="185"/>
      <c r="AT34" s="191"/>
      <c r="AV34" s="191"/>
    </row>
    <row r="35">
      <c r="C35" s="188" t="s">
        <v>473</v>
      </c>
      <c r="D35" s="188" t="s">
        <v>442</v>
      </c>
      <c r="E35" s="189">
        <v>111.648</v>
      </c>
      <c r="F35" s="189"/>
      <c r="G35" s="189">
        <v>462.87400000000002</v>
      </c>
      <c r="H35" s="189">
        <v>8878.3420000000006</v>
      </c>
      <c r="I35" s="189">
        <v>6857.0479999999998</v>
      </c>
      <c r="J35" s="189">
        <v>0</v>
      </c>
      <c r="K35" s="189">
        <v>0</v>
      </c>
      <c r="L35" s="189">
        <v>0</v>
      </c>
      <c r="M35" s="189"/>
      <c r="N35" s="189">
        <v>0</v>
      </c>
      <c r="O35" s="189">
        <v>7509.491</v>
      </c>
      <c r="P35" s="189">
        <v>0</v>
      </c>
      <c r="Q35" s="189">
        <v>0</v>
      </c>
      <c r="R35" s="186">
        <v>23819.402999999998</v>
      </c>
      <c r="V35" s="187"/>
      <c r="W35" s="188" t="s">
        <v>473</v>
      </c>
      <c r="X35" s="188" t="s">
        <v>442</v>
      </c>
      <c r="Y35" s="189">
        <v>111.648</v>
      </c>
      <c r="Z35" s="189">
        <v>0</v>
      </c>
      <c r="AA35" s="189">
        <v>462.87400000000002</v>
      </c>
      <c r="AB35" s="189">
        <v>8878.3420000000006</v>
      </c>
      <c r="AC35" s="189">
        <v>6857.0479999999998</v>
      </c>
      <c r="AD35" s="189">
        <v>0</v>
      </c>
      <c r="AE35" s="189">
        <v>0</v>
      </c>
      <c r="AF35" s="189">
        <v>0</v>
      </c>
      <c r="AG35" s="189"/>
      <c r="AH35" s="189">
        <v>0</v>
      </c>
      <c r="AI35" s="189">
        <v>7509.491</v>
      </c>
      <c r="AJ35" s="189">
        <v>0</v>
      </c>
      <c r="AK35" s="189">
        <v>3067.4409999999998</v>
      </c>
      <c r="AL35" s="189">
        <v>0</v>
      </c>
      <c r="AM35" s="189">
        <v>26886.844000000001</v>
      </c>
      <c r="AN35" s="1" t="s">
        <v>459</v>
      </c>
      <c r="AO35" s="191"/>
      <c r="AQ35" s="188" t="s">
        <v>473</v>
      </c>
      <c r="AR35" s="188" t="s">
        <v>442</v>
      </c>
      <c r="AS35" s="1">
        <v>108.59999999999999</v>
      </c>
      <c r="AT35" s="191">
        <f t="shared" si="173"/>
        <v>0.0040391501509065173</v>
      </c>
      <c r="AU35" s="134">
        <v>2412.0079999999998</v>
      </c>
      <c r="AV35" s="191">
        <f t="shared" si="174"/>
        <v>0.089709599237456042</v>
      </c>
    </row>
    <row r="36">
      <c r="C36" s="188" t="s">
        <v>474</v>
      </c>
      <c r="D36" s="188" t="s">
        <v>442</v>
      </c>
      <c r="E36" s="189">
        <v>0</v>
      </c>
      <c r="F36" s="189"/>
      <c r="G36" s="189">
        <v>3269.1930000000002</v>
      </c>
      <c r="H36" s="189">
        <v>7590.2729799999997</v>
      </c>
      <c r="I36" s="189">
        <v>534.98000000000002</v>
      </c>
      <c r="J36" s="189">
        <v>0</v>
      </c>
      <c r="K36" s="189">
        <v>0</v>
      </c>
      <c r="L36" s="189">
        <v>0</v>
      </c>
      <c r="M36" s="189"/>
      <c r="N36" s="189">
        <v>0</v>
      </c>
      <c r="O36" s="189">
        <v>10991.513000000001</v>
      </c>
      <c r="P36" s="189">
        <v>532.02598</v>
      </c>
      <c r="Q36" s="189">
        <v>0</v>
      </c>
      <c r="R36" s="186">
        <v>22917.984960000002</v>
      </c>
      <c r="V36" s="187"/>
      <c r="W36" s="188" t="s">
        <v>474</v>
      </c>
      <c r="X36" s="188" t="s">
        <v>442</v>
      </c>
      <c r="Y36" s="189">
        <v>0</v>
      </c>
      <c r="Z36" s="189">
        <v>0</v>
      </c>
      <c r="AA36" s="189">
        <v>3269.1930000000002</v>
      </c>
      <c r="AB36" s="189">
        <v>7590.2729799999997</v>
      </c>
      <c r="AC36" s="189">
        <v>534.98000000000002</v>
      </c>
      <c r="AD36" s="189">
        <v>0</v>
      </c>
      <c r="AE36" s="189">
        <v>0</v>
      </c>
      <c r="AF36" s="189">
        <v>0</v>
      </c>
      <c r="AG36" s="189"/>
      <c r="AH36" s="189">
        <v>0</v>
      </c>
      <c r="AI36" s="189">
        <v>10991.513000000001</v>
      </c>
      <c r="AJ36" s="189">
        <v>0</v>
      </c>
      <c r="AK36" s="189">
        <v>532.02598</v>
      </c>
      <c r="AL36" s="189">
        <v>0</v>
      </c>
      <c r="AM36" s="189">
        <v>22917.984960000002</v>
      </c>
      <c r="AN36" s="1" t="s">
        <v>453</v>
      </c>
      <c r="AQ36" s="188" t="s">
        <v>474</v>
      </c>
      <c r="AR36" s="188" t="s">
        <v>442</v>
      </c>
      <c r="AS36" s="1">
        <v>22.5</v>
      </c>
      <c r="AT36" s="191">
        <f t="shared" si="173"/>
        <v>0.00098176170545841916</v>
      </c>
      <c r="AU36" s="134">
        <v>143.74000000000001</v>
      </c>
      <c r="AV36" s="191">
        <f t="shared" si="174"/>
        <v>0.006271930113004141</v>
      </c>
    </row>
    <row r="37">
      <c r="C37" s="185" t="s">
        <v>475</v>
      </c>
      <c r="D37" s="185"/>
      <c r="E37" s="186">
        <v>33590.88248</v>
      </c>
      <c r="F37" s="186"/>
      <c r="G37" s="186">
        <v>31499.494470000001</v>
      </c>
      <c r="H37" s="186">
        <v>129620.93222</v>
      </c>
      <c r="I37" s="186">
        <v>17429.927520000001</v>
      </c>
      <c r="J37" s="186">
        <v>0</v>
      </c>
      <c r="K37" s="186">
        <v>0</v>
      </c>
      <c r="L37" s="186">
        <v>0</v>
      </c>
      <c r="M37" s="186"/>
      <c r="N37" s="186">
        <v>0</v>
      </c>
      <c r="O37" s="186">
        <v>113234.78556999999</v>
      </c>
      <c r="P37" s="186">
        <v>12048.19154</v>
      </c>
      <c r="Q37" s="186">
        <v>0</v>
      </c>
      <c r="R37" s="186">
        <v>337424.21380000003</v>
      </c>
      <c r="V37" s="187"/>
      <c r="W37" s="185" t="s">
        <v>476</v>
      </c>
      <c r="X37" s="185"/>
      <c r="Y37" s="186">
        <v>9655.8590000000004</v>
      </c>
      <c r="Z37" s="186">
        <v>1558.71075</v>
      </c>
      <c r="AA37" s="186">
        <v>31499.494470000001</v>
      </c>
      <c r="AB37" s="186">
        <v>121340.75601</v>
      </c>
      <c r="AC37" s="186">
        <v>14126.4879733571</v>
      </c>
      <c r="AD37" s="186">
        <v>3417.3512551478002</v>
      </c>
      <c r="AE37" s="186">
        <v>0</v>
      </c>
      <c r="AF37" s="186">
        <v>0</v>
      </c>
      <c r="AG37" s="186"/>
      <c r="AH37" s="186">
        <v>0</v>
      </c>
      <c r="AI37" s="186">
        <v>113234.78556999999</v>
      </c>
      <c r="AJ37" s="186">
        <v>0</v>
      </c>
      <c r="AK37" s="186">
        <v>17867.723539999999</v>
      </c>
      <c r="AL37" s="186">
        <v>0</v>
      </c>
      <c r="AM37" s="186">
        <v>312587.25686000002</v>
      </c>
      <c r="AQ37" s="185" t="s">
        <v>476</v>
      </c>
      <c r="AR37" s="185"/>
      <c r="AT37" s="191"/>
    </row>
    <row r="38">
      <c r="E38" s="175" t="s">
        <v>477</v>
      </c>
      <c r="P38" s="1" t="s">
        <v>497</v>
      </c>
      <c r="Y38" s="187">
        <f t="shared" ref="Y38:AM38" si="176">SUM(Y15:Y20,Y22:Y24,Y26:Y28,Y30:Y31,Y32:Y33,Y35:Y36)</f>
        <v>9655.8590000000022</v>
      </c>
      <c r="Z38" s="187">
        <f t="shared" si="176"/>
        <v>1558.7107500000002</v>
      </c>
      <c r="AA38" s="187">
        <f t="shared" si="176"/>
        <v>31499.494469999987</v>
      </c>
      <c r="AB38" s="187">
        <f t="shared" si="176"/>
        <v>121340.75601000001</v>
      </c>
      <c r="AC38" s="187">
        <f t="shared" si="176"/>
        <v>14126.487973357125</v>
      </c>
      <c r="AD38" s="187">
        <f t="shared" si="176"/>
        <v>3417.3512551478002</v>
      </c>
      <c r="AE38" s="187">
        <f t="shared" si="176"/>
        <v>0</v>
      </c>
      <c r="AF38" s="187">
        <f t="shared" si="176"/>
        <v>0</v>
      </c>
      <c r="AG38" s="187">
        <f t="shared" si="176"/>
        <v>0</v>
      </c>
      <c r="AH38" s="187">
        <f t="shared" si="176"/>
        <v>0</v>
      </c>
      <c r="AI38" s="187">
        <f t="shared" si="176"/>
        <v>113234.78556999998</v>
      </c>
      <c r="AJ38" s="187">
        <f t="shared" si="176"/>
        <v>0</v>
      </c>
      <c r="AK38" s="187">
        <f t="shared" si="176"/>
        <v>17867.723539999999</v>
      </c>
      <c r="AL38" s="187">
        <f t="shared" si="176"/>
        <v>0</v>
      </c>
      <c r="AM38" s="187">
        <f t="shared" si="176"/>
        <v>312701.16856850497</v>
      </c>
    </row>
    <row r="42">
      <c r="C42" s="176" t="s">
        <v>3</v>
      </c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</row>
    <row r="44">
      <c r="C44" s="177" t="s">
        <v>421</v>
      </c>
      <c r="V44" s="177" t="s">
        <v>422</v>
      </c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</row>
    <row r="46">
      <c r="C46" s="226" t="s">
        <v>498</v>
      </c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7"/>
    </row>
    <row r="47" ht="14.550000000000001" customHeight="1">
      <c r="C47" s="228" t="s">
        <v>479</v>
      </c>
      <c r="D47" s="228"/>
      <c r="E47" s="199" t="s">
        <v>424</v>
      </c>
      <c r="F47" s="199" t="s">
        <v>425</v>
      </c>
      <c r="G47" s="199" t="s">
        <v>426</v>
      </c>
      <c r="H47" s="199" t="s">
        <v>427</v>
      </c>
      <c r="I47" s="199" t="s">
        <v>499</v>
      </c>
      <c r="J47" s="199" t="s">
        <v>500</v>
      </c>
      <c r="K47" s="199" t="s">
        <v>428</v>
      </c>
      <c r="L47" s="199"/>
      <c r="M47" s="199"/>
      <c r="N47" s="199"/>
      <c r="O47" s="199"/>
      <c r="P47" s="199"/>
      <c r="Q47" s="199" t="s">
        <v>431</v>
      </c>
      <c r="R47" s="199" t="s">
        <v>432</v>
      </c>
      <c r="S47" s="199" t="s">
        <v>433</v>
      </c>
      <c r="T47" s="199" t="s">
        <v>49</v>
      </c>
      <c r="U47" s="229"/>
      <c r="W47" s="179">
        <v>2025</v>
      </c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</row>
    <row r="48" ht="70.5" customHeight="1">
      <c r="C48" s="205" t="s">
        <v>22</v>
      </c>
      <c r="D48" s="205"/>
      <c r="E48" s="199"/>
      <c r="F48" s="199"/>
      <c r="G48" s="199"/>
      <c r="H48" s="199"/>
      <c r="I48" s="199"/>
      <c r="J48" s="199"/>
      <c r="K48" s="199" t="s">
        <v>436</v>
      </c>
      <c r="L48" s="199" t="s">
        <v>437</v>
      </c>
      <c r="M48" s="199" t="s">
        <v>438</v>
      </c>
      <c r="N48" s="199" t="s">
        <v>439</v>
      </c>
      <c r="O48" s="199" t="s">
        <v>429</v>
      </c>
      <c r="P48" s="199" t="s">
        <v>430</v>
      </c>
      <c r="Q48" s="199"/>
      <c r="R48" s="199"/>
      <c r="S48" s="199" t="s">
        <v>433</v>
      </c>
      <c r="T48" s="199"/>
      <c r="U48" s="229"/>
      <c r="W48" s="180" t="s">
        <v>501</v>
      </c>
      <c r="X48" s="180"/>
      <c r="Y48" s="181" t="s">
        <v>424</v>
      </c>
      <c r="Z48" s="181"/>
      <c r="AA48" s="181" t="s">
        <v>426</v>
      </c>
      <c r="AB48" s="181" t="s">
        <v>427</v>
      </c>
      <c r="AC48" s="181" t="s">
        <v>428</v>
      </c>
      <c r="AD48" s="181"/>
      <c r="AE48" s="181"/>
      <c r="AF48" s="181"/>
      <c r="AG48" s="181" t="s">
        <v>429</v>
      </c>
      <c r="AH48" s="181" t="s">
        <v>430</v>
      </c>
      <c r="AI48" s="181" t="s">
        <v>431</v>
      </c>
      <c r="AJ48" s="183"/>
      <c r="AK48" s="181" t="s">
        <v>432</v>
      </c>
      <c r="AL48" s="182" t="s">
        <v>433</v>
      </c>
      <c r="AM48" s="181" t="s">
        <v>49</v>
      </c>
    </row>
    <row r="49" ht="43.200000000000003">
      <c r="C49" s="207" t="s">
        <v>446</v>
      </c>
      <c r="D49" s="208" t="s">
        <v>482</v>
      </c>
      <c r="E49" s="230">
        <f>37.543184302947%+10.5%</f>
        <v>0.48043184302946995</v>
      </c>
      <c r="F49" s="230">
        <v>0</v>
      </c>
      <c r="G49" s="230">
        <v>0.0044107272440989404</v>
      </c>
      <c r="H49" s="230">
        <v>0.28564589346437302</v>
      </c>
      <c r="I49" s="230">
        <v>0</v>
      </c>
      <c r="J49" s="230">
        <v>0</v>
      </c>
      <c r="K49" s="230">
        <v>0</v>
      </c>
      <c r="L49" s="230">
        <v>0</v>
      </c>
      <c r="M49" s="230">
        <v>0</v>
      </c>
      <c r="N49" s="230">
        <v>0</v>
      </c>
      <c r="O49" s="230">
        <v>0</v>
      </c>
      <c r="P49" s="230">
        <v>0</v>
      </c>
      <c r="Q49" s="230">
        <v>0.226845961035822</v>
      </c>
      <c r="R49" s="230">
        <v>0.0026956628466980599</v>
      </c>
      <c r="S49" s="230">
        <v>0</v>
      </c>
      <c r="T49" s="231">
        <f t="shared" ref="T49:T60" si="177">SUM(E49:S49)</f>
        <v>1.000030087620462</v>
      </c>
      <c r="U49" s="232"/>
      <c r="W49" s="180"/>
      <c r="X49" s="180"/>
      <c r="Y49" s="181"/>
      <c r="Z49" s="181" t="s">
        <v>440</v>
      </c>
      <c r="AA49" s="181"/>
      <c r="AB49" s="181"/>
      <c r="AC49" s="182" t="s">
        <v>436</v>
      </c>
      <c r="AD49" s="182" t="s">
        <v>437</v>
      </c>
      <c r="AE49" s="182" t="s">
        <v>438</v>
      </c>
      <c r="AF49" s="182" t="s">
        <v>439</v>
      </c>
      <c r="AG49" s="181"/>
      <c r="AH49" s="181"/>
      <c r="AI49" s="181"/>
      <c r="AJ49" s="184" t="s">
        <v>441</v>
      </c>
      <c r="AK49" s="181"/>
      <c r="AL49" s="182" t="s">
        <v>433</v>
      </c>
      <c r="AM49" s="181"/>
    </row>
    <row r="50">
      <c r="C50" s="207" t="s">
        <v>449</v>
      </c>
      <c r="D50" s="208" t="s">
        <v>482</v>
      </c>
      <c r="E50" s="233">
        <v>0.035000000000000003</v>
      </c>
      <c r="F50" s="230"/>
      <c r="G50" s="233">
        <v>0.02</v>
      </c>
      <c r="H50" s="233">
        <v>0.191</v>
      </c>
      <c r="I50" s="230"/>
      <c r="J50" s="230"/>
      <c r="K50" s="233">
        <v>0.029000000000000001</v>
      </c>
      <c r="L50" s="233">
        <v>0</v>
      </c>
      <c r="M50" s="233">
        <v>0</v>
      </c>
      <c r="N50" s="233">
        <v>0</v>
      </c>
      <c r="O50" s="233">
        <v>0</v>
      </c>
      <c r="P50" s="233">
        <v>0</v>
      </c>
      <c r="Q50" s="233">
        <v>0.72499999999999998</v>
      </c>
      <c r="R50" s="233">
        <v>0</v>
      </c>
      <c r="S50" s="233">
        <v>0</v>
      </c>
      <c r="T50" s="231">
        <f t="shared" si="177"/>
        <v>1</v>
      </c>
      <c r="U50" s="232"/>
      <c r="W50" s="185" t="s">
        <v>22</v>
      </c>
      <c r="X50" s="185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</row>
    <row r="51">
      <c r="C51" s="207" t="s">
        <v>451</v>
      </c>
      <c r="D51" s="208" t="s">
        <v>482</v>
      </c>
      <c r="E51" s="230">
        <v>0</v>
      </c>
      <c r="F51" s="230">
        <v>0</v>
      </c>
      <c r="G51" s="230">
        <v>0</v>
      </c>
      <c r="H51" s="230">
        <v>0.15207756232687</v>
      </c>
      <c r="I51" s="230">
        <v>0</v>
      </c>
      <c r="J51" s="230">
        <v>0</v>
      </c>
      <c r="K51" s="230">
        <v>0</v>
      </c>
      <c r="L51" s="230">
        <v>0</v>
      </c>
      <c r="M51" s="230">
        <v>0</v>
      </c>
      <c r="N51" s="230">
        <v>0</v>
      </c>
      <c r="O51" s="230">
        <v>0</v>
      </c>
      <c r="P51" s="230">
        <v>0</v>
      </c>
      <c r="Q51" s="230">
        <v>0.13767313019390601</v>
      </c>
      <c r="R51" s="230">
        <v>0</v>
      </c>
      <c r="S51" s="230">
        <v>0.71024930747922399</v>
      </c>
      <c r="T51" s="231">
        <f t="shared" si="177"/>
        <v>1</v>
      </c>
      <c r="U51" s="232"/>
      <c r="W51" s="188" t="s">
        <v>446</v>
      </c>
      <c r="X51" s="188" t="s">
        <v>482</v>
      </c>
      <c r="Y51" s="233">
        <f>'Mix éner %'!Y47</f>
        <v>0.40361843755597487</v>
      </c>
      <c r="Z51" s="233">
        <f>'Mix éner %'!Z47</f>
        <v>0.59638156244402507</v>
      </c>
      <c r="AA51" s="233">
        <f>'Mix éner %'!AA47</f>
        <v>0.0044107272440989404</v>
      </c>
      <c r="AB51" s="233">
        <f>'Mix éner %'!AB47</f>
        <v>0</v>
      </c>
      <c r="AC51" s="233">
        <f>'Mix éner %'!AC47</f>
        <v>0</v>
      </c>
      <c r="AD51" s="233">
        <f>'Mix éner %'!AD47</f>
        <v>0</v>
      </c>
      <c r="AE51" s="233">
        <f>'Mix éner %'!AE47</f>
        <v>0</v>
      </c>
      <c r="AF51" s="233">
        <f>'Mix éner %'!AF47</f>
        <v>0</v>
      </c>
      <c r="AG51" s="233">
        <f>'Mix éner %'!AG47</f>
        <v>0</v>
      </c>
      <c r="AH51" s="233">
        <f>'Mix éner %'!AH47</f>
        <v>0</v>
      </c>
      <c r="AI51" s="233">
        <f>'Mix éner %'!AI47</f>
        <v>0</v>
      </c>
      <c r="AJ51" s="233">
        <f>'Mix éner %'!AJ47</f>
        <v>0</v>
      </c>
      <c r="AK51" s="233">
        <f>'Mix éner %'!AK47</f>
        <v>0.0026956628466980599</v>
      </c>
      <c r="AL51" s="233">
        <f>'Mix éner %'!AL47</f>
        <v>0</v>
      </c>
      <c r="AM51" s="233">
        <f>'Mix éner %'!AM47</f>
        <v>1</v>
      </c>
    </row>
    <row r="52">
      <c r="C52" s="207" t="s">
        <v>454</v>
      </c>
      <c r="D52" s="208" t="s">
        <v>482</v>
      </c>
      <c r="E52" s="235">
        <v>0.0040000000000000001</v>
      </c>
      <c r="F52" s="231">
        <v>0</v>
      </c>
      <c r="G52" s="235">
        <v>0.028000000000000001</v>
      </c>
      <c r="H52" s="235">
        <v>0.25</v>
      </c>
      <c r="I52" s="230">
        <v>0</v>
      </c>
      <c r="J52" s="230">
        <v>0</v>
      </c>
      <c r="K52" s="230">
        <v>0</v>
      </c>
      <c r="L52" s="230">
        <v>0</v>
      </c>
      <c r="M52" s="230">
        <v>0</v>
      </c>
      <c r="N52" s="230">
        <v>0</v>
      </c>
      <c r="O52" s="230">
        <v>0</v>
      </c>
      <c r="P52" s="230">
        <v>0</v>
      </c>
      <c r="Q52" s="235">
        <v>0.70999999999999996</v>
      </c>
      <c r="R52" s="235">
        <v>0.0080000000000000002</v>
      </c>
      <c r="S52" s="231">
        <v>0</v>
      </c>
      <c r="T52" s="231">
        <f t="shared" si="177"/>
        <v>1</v>
      </c>
      <c r="U52" s="232"/>
      <c r="W52" s="188" t="s">
        <v>449</v>
      </c>
      <c r="X52" s="188" t="s">
        <v>482</v>
      </c>
      <c r="Y52" s="233">
        <f>'Mix éner %'!Y51</f>
        <v>0.035000000000000003</v>
      </c>
      <c r="Z52" s="233">
        <f>'Mix éner %'!Z51</f>
        <v>0</v>
      </c>
      <c r="AA52" s="233">
        <f>'Mix éner %'!AA51</f>
        <v>0.02</v>
      </c>
      <c r="AB52" s="233">
        <f>'Mix éner %'!AB51</f>
        <v>0.21999999999999997</v>
      </c>
      <c r="AC52" s="233">
        <f>'Mix éner %'!AC51</f>
        <v>0</v>
      </c>
      <c r="AD52" s="233">
        <f>'Mix éner %'!AD51</f>
        <v>0</v>
      </c>
      <c r="AE52" s="233">
        <f>'Mix éner %'!AE51</f>
        <v>0</v>
      </c>
      <c r="AF52" s="233">
        <f>'Mix éner %'!AF51</f>
        <v>0</v>
      </c>
      <c r="AG52" s="233">
        <f>'Mix éner %'!AG51</f>
        <v>0</v>
      </c>
      <c r="AH52" s="233">
        <f>'Mix éner %'!AH51</f>
        <v>0</v>
      </c>
      <c r="AI52" s="233">
        <f>'Mix éner %'!AI51</f>
        <v>0.72499999999999998</v>
      </c>
      <c r="AJ52" s="233">
        <f>'Mix éner %'!AJ51</f>
        <v>0</v>
      </c>
      <c r="AK52" s="233">
        <f>'Mix éner %'!AK51</f>
        <v>0</v>
      </c>
      <c r="AL52" s="233">
        <f>'Mix éner %'!AL51</f>
        <v>0</v>
      </c>
      <c r="AM52" s="233">
        <f>'Mix éner %'!AM51</f>
        <v>1</v>
      </c>
    </row>
    <row r="53">
      <c r="C53" s="207" t="s">
        <v>456</v>
      </c>
      <c r="D53" s="208" t="s">
        <v>482</v>
      </c>
      <c r="E53" s="231">
        <v>0</v>
      </c>
      <c r="F53" s="231">
        <v>0</v>
      </c>
      <c r="G53" s="231">
        <v>0</v>
      </c>
      <c r="H53" s="231">
        <v>0.90000000000000002</v>
      </c>
      <c r="I53" s="230">
        <v>0</v>
      </c>
      <c r="J53" s="230">
        <v>0</v>
      </c>
      <c r="K53" s="230">
        <v>0</v>
      </c>
      <c r="L53" s="230">
        <v>0</v>
      </c>
      <c r="M53" s="230">
        <v>0</v>
      </c>
      <c r="N53" s="230">
        <v>0</v>
      </c>
      <c r="O53" s="230">
        <v>0</v>
      </c>
      <c r="P53" s="230">
        <v>0</v>
      </c>
      <c r="Q53" s="231">
        <v>0.10000000000000001</v>
      </c>
      <c r="R53" s="231">
        <v>0</v>
      </c>
      <c r="S53" s="231">
        <v>0</v>
      </c>
      <c r="T53" s="231">
        <f t="shared" si="177"/>
        <v>1</v>
      </c>
      <c r="U53" s="232"/>
      <c r="W53" s="188" t="s">
        <v>451</v>
      </c>
      <c r="X53" s="188" t="s">
        <v>482</v>
      </c>
      <c r="Y53" s="233">
        <f>'Mix éner %'!Y55</f>
        <v>0</v>
      </c>
      <c r="Z53" s="233">
        <f>'Mix éner %'!Z55</f>
        <v>0</v>
      </c>
      <c r="AA53" s="233">
        <f>'Mix éner %'!AA55</f>
        <v>0</v>
      </c>
      <c r="AB53" s="233">
        <f>'Mix éner %'!AB55</f>
        <v>0</v>
      </c>
      <c r="AC53" s="233">
        <f>'Mix éner %'!AC55</f>
        <v>0</v>
      </c>
      <c r="AD53" s="233">
        <f>'Mix éner %'!AD55</f>
        <v>0</v>
      </c>
      <c r="AE53" s="233">
        <f>'Mix éner %'!AE55</f>
        <v>0</v>
      </c>
      <c r="AF53" s="233">
        <f>'Mix éner %'!AF55</f>
        <v>0</v>
      </c>
      <c r="AG53" s="233">
        <f>'Mix éner %'!AG55</f>
        <v>0</v>
      </c>
      <c r="AH53" s="233">
        <f>'Mix éner %'!AH55</f>
        <v>0</v>
      </c>
      <c r="AI53" s="233">
        <f>'Mix éner %'!AI55</f>
        <v>0</v>
      </c>
      <c r="AJ53" s="233">
        <f>'Mix éner %'!AJ55</f>
        <v>0</v>
      </c>
      <c r="AK53" s="233">
        <f>'Mix éner %'!AK55</f>
        <v>0</v>
      </c>
      <c r="AL53" s="233">
        <f>'Mix éner %'!AL55</f>
        <v>0</v>
      </c>
      <c r="AM53" s="233">
        <f>'Mix éner %'!AM55</f>
        <v>0</v>
      </c>
    </row>
    <row r="54">
      <c r="C54" s="207" t="s">
        <v>458</v>
      </c>
      <c r="D54" s="208" t="s">
        <v>482</v>
      </c>
      <c r="E54" s="231">
        <v>0.000218316716171187</v>
      </c>
      <c r="F54" s="231">
        <v>0.000218316716171187</v>
      </c>
      <c r="G54" s="231">
        <v>0.152259671871665</v>
      </c>
      <c r="H54" s="231">
        <v>0.15712852885131401</v>
      </c>
      <c r="I54" s="231">
        <v>0.000218316716171187</v>
      </c>
      <c r="J54" s="231">
        <v>0.000218316716171187</v>
      </c>
      <c r="K54" s="231">
        <v>0.000218316716171187</v>
      </c>
      <c r="L54" s="231">
        <v>0.000218316716171187</v>
      </c>
      <c r="M54" s="231">
        <v>0.000218316716171187</v>
      </c>
      <c r="N54" s="231">
        <v>0.000218316716171187</v>
      </c>
      <c r="O54" s="231">
        <v>0.000218316716171187</v>
      </c>
      <c r="P54" s="231">
        <v>0.000218316716171187</v>
      </c>
      <c r="Q54" s="231">
        <v>0.675599380753927</v>
      </c>
      <c r="R54" s="231">
        <v>0.0145757850907516</v>
      </c>
      <c r="S54" s="231">
        <v>0.000218316716171187</v>
      </c>
      <c r="T54" s="231">
        <f t="shared" si="177"/>
        <v>1.0019648504455405</v>
      </c>
      <c r="U54" s="232"/>
      <c r="W54" s="194" t="s">
        <v>452</v>
      </c>
      <c r="X54" s="188" t="s">
        <v>482</v>
      </c>
      <c r="Y54" s="233">
        <f>'Mix éner %'!Y59</f>
        <v>0.055844909255524718</v>
      </c>
      <c r="Z54" s="233">
        <f>'Mix éner %'!Z59</f>
        <v>0.032423689380245542</v>
      </c>
      <c r="AA54" s="233">
        <f>'Mix éner %'!AA59</f>
        <v>0.011370402229773324</v>
      </c>
      <c r="AB54" s="233">
        <f>'Mix éner %'!AB59</f>
        <v>0.31143599829499524</v>
      </c>
      <c r="AC54" s="233">
        <f>'Mix éner %'!AC59</f>
        <v>0.00029856067569286875</v>
      </c>
      <c r="AD54" s="233">
        <f>'Mix éner %'!AD59</f>
        <v>0</v>
      </c>
      <c r="AE54" s="233">
        <f>'Mix éner %'!AE59</f>
        <v>0</v>
      </c>
      <c r="AF54" s="233">
        <f>'Mix éner %'!AF59</f>
        <v>0</v>
      </c>
      <c r="AG54" s="233">
        <f>'Mix éner %'!AG59</f>
        <v>0</v>
      </c>
      <c r="AH54" s="233">
        <f>'Mix éner %'!AH59</f>
        <v>0</v>
      </c>
      <c r="AI54" s="233">
        <f>'Mix éner %'!AI59</f>
        <v>0.58259551451477254</v>
      </c>
      <c r="AJ54" s="233">
        <f>'Mix éner %'!AJ59</f>
        <v>0</v>
      </c>
      <c r="AK54" s="233">
        <f>'Mix éner %'!AK59</f>
        <v>0.0060309256489959485</v>
      </c>
      <c r="AL54" s="233">
        <f>'Mix éner %'!AL59</f>
        <v>0</v>
      </c>
      <c r="AM54" s="233">
        <f>'Mix éner %'!AM59</f>
        <v>1.0000000000000002</v>
      </c>
    </row>
    <row r="55">
      <c r="C55" s="205" t="s">
        <v>23</v>
      </c>
      <c r="D55" s="205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7">
        <f t="shared" si="177"/>
        <v>0</v>
      </c>
      <c r="U55" s="232"/>
      <c r="W55" s="188" t="s">
        <v>454</v>
      </c>
      <c r="X55" s="188" t="s">
        <v>482</v>
      </c>
      <c r="Y55" s="233">
        <f>'Mix éner %'!Y63</f>
        <v>0.0040000000000000001</v>
      </c>
      <c r="Z55" s="233">
        <f>'Mix éner %'!Z63</f>
        <v>0</v>
      </c>
      <c r="AA55" s="233">
        <f>'Mix éner %'!AA63</f>
        <v>0.028000000000000001</v>
      </c>
      <c r="AB55" s="233">
        <f>'Mix éner %'!AB63</f>
        <v>0.25</v>
      </c>
      <c r="AC55" s="233">
        <f>'Mix éner %'!AC63</f>
        <v>0</v>
      </c>
      <c r="AD55" s="233">
        <f>'Mix éner %'!AD63</f>
        <v>0</v>
      </c>
      <c r="AE55" s="233">
        <f>'Mix éner %'!AE63</f>
        <v>0</v>
      </c>
      <c r="AF55" s="233">
        <f>'Mix éner %'!AF63</f>
        <v>0</v>
      </c>
      <c r="AG55" s="233">
        <f>'Mix éner %'!AG63</f>
        <v>0</v>
      </c>
      <c r="AH55" s="233">
        <f>'Mix éner %'!AH63</f>
        <v>0</v>
      </c>
      <c r="AI55" s="233">
        <f>'Mix éner %'!AI63</f>
        <v>0.70999999999999996</v>
      </c>
      <c r="AJ55" s="233">
        <f>'Mix éner %'!AJ63</f>
        <v>0</v>
      </c>
      <c r="AK55" s="233">
        <f>'Mix éner %'!AK63</f>
        <v>0.0080000000000000002</v>
      </c>
      <c r="AL55" s="233">
        <f>'Mix éner %'!AL63</f>
        <v>0</v>
      </c>
      <c r="AM55" s="233">
        <f>'Mix éner %'!AM63</f>
        <v>1</v>
      </c>
    </row>
    <row r="56">
      <c r="C56" s="207" t="s">
        <v>460</v>
      </c>
      <c r="D56" s="208" t="s">
        <v>482</v>
      </c>
      <c r="E56" s="231">
        <v>0</v>
      </c>
      <c r="F56" s="231">
        <v>0</v>
      </c>
      <c r="G56" s="231">
        <v>0.0050000000000000001</v>
      </c>
      <c r="H56" s="231">
        <v>0.93000000000000005</v>
      </c>
      <c r="I56" s="231">
        <v>0</v>
      </c>
      <c r="J56" s="231">
        <v>0</v>
      </c>
      <c r="K56" s="231">
        <v>0.0050000000000000001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0.059999999999999998</v>
      </c>
      <c r="R56" s="231">
        <v>0</v>
      </c>
      <c r="S56" s="231">
        <v>0</v>
      </c>
      <c r="T56" s="231">
        <f t="shared" si="177"/>
        <v>1</v>
      </c>
      <c r="U56" s="232"/>
      <c r="W56" s="188" t="s">
        <v>456</v>
      </c>
      <c r="X56" s="188" t="s">
        <v>482</v>
      </c>
      <c r="Y56" s="233">
        <f>'Mix éner %'!Y67</f>
        <v>0</v>
      </c>
      <c r="Z56" s="233">
        <f>'Mix éner %'!Z67</f>
        <v>0</v>
      </c>
      <c r="AA56" s="233">
        <f>'Mix éner %'!AA67</f>
        <v>0.024619339529365129</v>
      </c>
      <c r="AB56" s="233">
        <f>'Mix éner %'!AB67</f>
        <v>0.63990508206446284</v>
      </c>
      <c r="AC56" s="233">
        <f>'Mix éner %'!AC67</f>
        <v>0</v>
      </c>
      <c r="AD56" s="233">
        <f>'Mix éner %'!AD67</f>
        <v>0</v>
      </c>
      <c r="AE56" s="233">
        <f>'Mix éner %'!AE67</f>
        <v>0</v>
      </c>
      <c r="AF56" s="233">
        <f>'Mix éner %'!AF67</f>
        <v>0</v>
      </c>
      <c r="AG56" s="233">
        <f>'Mix éner %'!AG67</f>
        <v>0</v>
      </c>
      <c r="AH56" s="233">
        <f>'Mix éner %'!AH67</f>
        <v>0</v>
      </c>
      <c r="AI56" s="233">
        <f>'Mix éner %'!AI67</f>
        <v>0.33547557840617204</v>
      </c>
      <c r="AJ56" s="233">
        <f>'Mix éner %'!AJ67</f>
        <v>0</v>
      </c>
      <c r="AK56" s="233">
        <f>'Mix éner %'!AK67</f>
        <v>0</v>
      </c>
      <c r="AL56" s="233">
        <f>'Mix éner %'!AL67</f>
        <v>0</v>
      </c>
      <c r="AM56" s="233">
        <f>'Mix éner %'!AM67</f>
        <v>1</v>
      </c>
    </row>
    <row r="57">
      <c r="C57" s="207" t="s">
        <v>461</v>
      </c>
      <c r="D57" s="208" t="s">
        <v>482</v>
      </c>
      <c r="E57" s="231">
        <v>0</v>
      </c>
      <c r="F57" s="231">
        <v>0</v>
      </c>
      <c r="G57" s="231">
        <v>0.036519027230689297</v>
      </c>
      <c r="H57" s="231">
        <v>0.494979970656034</v>
      </c>
      <c r="I57" s="231">
        <v>0</v>
      </c>
      <c r="J57" s="231">
        <v>0</v>
      </c>
      <c r="K57" s="231">
        <v>0.030411115934223999</v>
      </c>
      <c r="L57" s="231">
        <v>0</v>
      </c>
      <c r="M57" s="231">
        <v>0</v>
      </c>
      <c r="N57" s="231">
        <v>0</v>
      </c>
      <c r="O57" s="231">
        <v>0</v>
      </c>
      <c r="P57" s="231">
        <v>0</v>
      </c>
      <c r="Q57" s="231">
        <v>0.24821952548086201</v>
      </c>
      <c r="R57" s="231">
        <v>0.17812225047188401</v>
      </c>
      <c r="S57" s="231">
        <v>0.0117</v>
      </c>
      <c r="T57" s="231">
        <f t="shared" si="177"/>
        <v>0.99995188977369331</v>
      </c>
      <c r="U57" s="232"/>
      <c r="W57" s="188" t="s">
        <v>458</v>
      </c>
      <c r="X57" s="188" t="s">
        <v>482</v>
      </c>
      <c r="Y57" s="233">
        <f>'Mix éner %'!Y71</f>
        <v>0.000218316716171187</v>
      </c>
      <c r="Z57" s="233">
        <f>'Mix éner %'!Z71</f>
        <v>0</v>
      </c>
      <c r="AA57" s="233">
        <f>'Mix éner %'!AA71</f>
        <v>0.17000000000000001</v>
      </c>
      <c r="AB57" s="233">
        <f>'Mix éner %'!AB71</f>
        <v>0.085000000000000006</v>
      </c>
      <c r="AC57" s="233">
        <f>'Mix éner %'!AC71</f>
        <v>0.000218316716171187</v>
      </c>
      <c r="AD57" s="233">
        <f>'Mix éner %'!AD71</f>
        <v>0.000218316716171187</v>
      </c>
      <c r="AE57" s="233">
        <f>'Mix éner %'!AE71</f>
        <v>0.000218316716171187</v>
      </c>
      <c r="AF57" s="233">
        <f>'Mix éner %'!AF71</f>
        <v>0.000218316716171187</v>
      </c>
      <c r="AG57" s="233">
        <f>'Mix éner %'!AG71</f>
        <v>0.000218316716171187</v>
      </c>
      <c r="AH57" s="233">
        <f>'Mix éner %'!AH71</f>
        <v>0.000218316716171187</v>
      </c>
      <c r="AI57" s="233">
        <f>'Mix éner %'!AI71</f>
        <v>0.72856648446944483</v>
      </c>
      <c r="AJ57" s="233">
        <f>'Mix éner %'!AJ71</f>
        <v>0</v>
      </c>
      <c r="AK57" s="233">
        <f>'Mix éner %'!AK71</f>
        <v>0.0145757850907516</v>
      </c>
      <c r="AL57" s="233">
        <f>'Mix éner %'!AL71</f>
        <v>0.000218316716171187</v>
      </c>
      <c r="AM57" s="233">
        <f>'Mix éner %'!AM71</f>
        <v>0.99988880328956586</v>
      </c>
    </row>
    <row r="58">
      <c r="C58" s="207" t="s">
        <v>463</v>
      </c>
      <c r="D58" s="208" t="s">
        <v>482</v>
      </c>
      <c r="E58" s="231">
        <v>0.062550627514588494</v>
      </c>
      <c r="F58" s="231">
        <v>0</v>
      </c>
      <c r="G58" s="231">
        <v>0.058595894299541498</v>
      </c>
      <c r="H58" s="231">
        <v>0.39124178724877001</v>
      </c>
      <c r="I58" s="231">
        <v>0</v>
      </c>
      <c r="J58" s="231">
        <v>0</v>
      </c>
      <c r="K58" s="231">
        <v>0.017387097713031801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0.30482105840411999</v>
      </c>
      <c r="R58" s="231">
        <v>0.16389187653835899</v>
      </c>
      <c r="S58" s="231">
        <v>0</v>
      </c>
      <c r="T58" s="231">
        <f t="shared" si="177"/>
        <v>0.99848834171841083</v>
      </c>
      <c r="U58" s="232"/>
      <c r="W58" s="185" t="s">
        <v>23</v>
      </c>
      <c r="X58" s="185"/>
      <c r="Y58" s="234"/>
      <c r="Z58" s="234"/>
      <c r="AA58" s="234"/>
      <c r="AB58" s="234"/>
      <c r="AC58" s="234"/>
      <c r="AD58" s="234"/>
      <c r="AE58" s="234"/>
      <c r="AF58" s="234"/>
      <c r="AG58" s="234"/>
      <c r="AH58" s="234"/>
      <c r="AI58" s="234"/>
      <c r="AJ58" s="234"/>
      <c r="AK58" s="234"/>
      <c r="AL58" s="234"/>
      <c r="AM58" s="234"/>
    </row>
    <row r="59">
      <c r="C59" s="205" t="s">
        <v>464</v>
      </c>
      <c r="D59" s="205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7">
        <f t="shared" si="177"/>
        <v>0</v>
      </c>
      <c r="U59" s="232"/>
      <c r="W59" s="188" t="s">
        <v>460</v>
      </c>
      <c r="X59" s="188" t="s">
        <v>482</v>
      </c>
      <c r="Y59" s="233">
        <f>'Mix éner %'!Y76</f>
        <v>0</v>
      </c>
      <c r="Z59" s="233">
        <f>'Mix éner %'!Z76</f>
        <v>0</v>
      </c>
      <c r="AA59" s="233">
        <f>'Mix éner %'!AA76</f>
        <v>0.0050000000000000001</v>
      </c>
      <c r="AB59" s="233">
        <f>'Mix éner %'!AB76</f>
        <v>0.93000000000000005</v>
      </c>
      <c r="AC59" s="233">
        <f>'Mix éner %'!AC76</f>
        <v>0.0050000000000000001</v>
      </c>
      <c r="AD59" s="233">
        <f>'Mix éner %'!AD76</f>
        <v>0</v>
      </c>
      <c r="AE59" s="233">
        <f>'Mix éner %'!AE76</f>
        <v>0</v>
      </c>
      <c r="AF59" s="233">
        <f>'Mix éner %'!AF76</f>
        <v>0</v>
      </c>
      <c r="AG59" s="233">
        <f>'Mix éner %'!AG76</f>
        <v>0</v>
      </c>
      <c r="AH59" s="233">
        <f>'Mix éner %'!AH76</f>
        <v>0</v>
      </c>
      <c r="AI59" s="233">
        <f>'Mix éner %'!AI76</f>
        <v>0.059999999999999998</v>
      </c>
      <c r="AJ59" s="233">
        <f>'Mix éner %'!AJ76</f>
        <v>0</v>
      </c>
      <c r="AK59" s="233">
        <f>'Mix éner %'!AK76</f>
        <v>0</v>
      </c>
      <c r="AL59" s="233">
        <f>'Mix éner %'!AL76</f>
        <v>0</v>
      </c>
      <c r="AM59" s="233">
        <f>'Mix éner %'!AM76</f>
        <v>1</v>
      </c>
    </row>
    <row r="60">
      <c r="C60" s="207" t="s">
        <v>465</v>
      </c>
      <c r="D60" s="208" t="s">
        <v>482</v>
      </c>
      <c r="E60" s="231">
        <v>0.13806751208555099</v>
      </c>
      <c r="F60" s="231">
        <v>0</v>
      </c>
      <c r="G60" s="238">
        <v>0.38500000000000001</v>
      </c>
      <c r="H60" s="231">
        <v>0.02</v>
      </c>
      <c r="I60" s="231">
        <v>0</v>
      </c>
      <c r="J60" s="231">
        <v>0</v>
      </c>
      <c r="K60" s="231">
        <v>0.42693248791444899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0.029999999999999999</v>
      </c>
      <c r="R60" s="231">
        <v>0</v>
      </c>
      <c r="S60" s="231">
        <v>0</v>
      </c>
      <c r="T60" s="231">
        <f t="shared" si="177"/>
        <v>1</v>
      </c>
      <c r="U60" s="232"/>
      <c r="W60" s="188" t="s">
        <v>461</v>
      </c>
      <c r="X60" s="188" t="s">
        <v>482</v>
      </c>
      <c r="Y60" s="233">
        <f>'Mix éner %'!Y80</f>
        <v>0</v>
      </c>
      <c r="Z60" s="233">
        <f>'Mix éner %'!Z80</f>
        <v>0</v>
      </c>
      <c r="AA60" s="233">
        <f>'Mix éner %'!AA80</f>
        <v>0.029999999999999999</v>
      </c>
      <c r="AB60" s="233">
        <f>'Mix éner %'!AB80</f>
        <v>0.64000000000000001</v>
      </c>
      <c r="AC60" s="233">
        <f>'Mix éner %'!AC80</f>
        <v>0.030411115934223999</v>
      </c>
      <c r="AD60" s="233">
        <f>'Mix éner %'!AD80</f>
        <v>0</v>
      </c>
      <c r="AE60" s="233">
        <f>'Mix éner %'!AE80</f>
        <v>0</v>
      </c>
      <c r="AF60" s="233">
        <f>'Mix éner %'!AF80</f>
        <v>0</v>
      </c>
      <c r="AG60" s="233">
        <f>'Mix éner %'!AG80</f>
        <v>0</v>
      </c>
      <c r="AH60" s="233">
        <f>'Mix éner %'!AH80</f>
        <v>0</v>
      </c>
      <c r="AI60" s="233">
        <f>'Mix éner %'!AI80</f>
        <v>0.17000000000000001</v>
      </c>
      <c r="AJ60" s="233">
        <f>'Mix éner %'!AJ80</f>
        <v>0</v>
      </c>
      <c r="AK60" s="233">
        <f>'Mix éner %'!AK80</f>
        <v>0.12</v>
      </c>
      <c r="AL60" s="233">
        <f>'Mix éner %'!AL80</f>
        <v>0.01</v>
      </c>
      <c r="AM60" s="233">
        <f>'Mix éner %'!AM80</f>
        <v>1.0004111159342239</v>
      </c>
    </row>
    <row r="61">
      <c r="C61" s="207" t="s">
        <v>466</v>
      </c>
      <c r="D61" s="208" t="s">
        <v>482</v>
      </c>
      <c r="E61" s="231">
        <v>0</v>
      </c>
      <c r="F61" s="231">
        <v>0</v>
      </c>
      <c r="G61" s="239">
        <v>0.089999999999999997</v>
      </c>
      <c r="H61" s="239">
        <v>0.67000000000000004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9">
        <v>0.23999999999999999</v>
      </c>
      <c r="R61" s="231">
        <v>0</v>
      </c>
      <c r="S61" s="231">
        <v>0</v>
      </c>
      <c r="T61" s="231">
        <f>SUM(AY60:BM60)</f>
        <v>0</v>
      </c>
      <c r="U61" s="232"/>
      <c r="W61" s="188" t="s">
        <v>463</v>
      </c>
      <c r="X61" s="188" t="s">
        <v>482</v>
      </c>
      <c r="Y61" s="233">
        <f>'Mix éner %'!Y84</f>
        <v>0.11</v>
      </c>
      <c r="Z61" s="233">
        <f>'Mix éner %'!Z84</f>
        <v>0</v>
      </c>
      <c r="AA61" s="233">
        <f>'Mix éner %'!AA84</f>
        <v>0.089999999999999997</v>
      </c>
      <c r="AB61" s="233">
        <f>'Mix éner %'!AB84</f>
        <v>0.068343169023411296</v>
      </c>
      <c r="AC61" s="233">
        <f>'Mix éner %'!AC84</f>
        <v>0.017387097713031801</v>
      </c>
      <c r="AD61" s="233">
        <f>'Mix éner %'!AD84</f>
        <v>0</v>
      </c>
      <c r="AE61" s="233">
        <f>'Mix éner %'!AE84</f>
        <v>0</v>
      </c>
      <c r="AF61" s="233">
        <f>'Mix éner %'!AF84</f>
        <v>0</v>
      </c>
      <c r="AG61" s="233">
        <f>'Mix éner %'!AG84</f>
        <v>0</v>
      </c>
      <c r="AH61" s="233">
        <f>'Mix éner %'!AH84</f>
        <v>0</v>
      </c>
      <c r="AI61" s="233">
        <f>'Mix éner %'!AI84</f>
        <v>0.49426973326355683</v>
      </c>
      <c r="AJ61" s="233">
        <f>'Mix éner %'!AJ84</f>
        <v>0</v>
      </c>
      <c r="AK61" s="233">
        <f>'Mix éner %'!AK84</f>
        <v>0.22</v>
      </c>
      <c r="AL61" s="233">
        <f>'Mix éner %'!AL84</f>
        <v>0</v>
      </c>
      <c r="AM61" s="233">
        <f>'Mix éner %'!AM84</f>
        <v>1</v>
      </c>
    </row>
    <row r="62">
      <c r="C62" s="207" t="s">
        <v>467</v>
      </c>
      <c r="D62" s="208" t="s">
        <v>482</v>
      </c>
      <c r="E62" s="231">
        <f>4.58828948153757%+2.6%</f>
        <v>0.071882894815375714</v>
      </c>
      <c r="F62" s="231">
        <v>0</v>
      </c>
      <c r="G62" s="231">
        <v>0.0201689588256188</v>
      </c>
      <c r="H62" s="231">
        <v>0.59670049547708004</v>
      </c>
      <c r="I62" s="231">
        <v>0</v>
      </c>
      <c r="J62" s="231">
        <v>0</v>
      </c>
      <c r="K62" s="231">
        <v>0.022259999079112702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0.28883543240466703</v>
      </c>
      <c r="R62" s="231">
        <v>0</v>
      </c>
      <c r="S62" s="231">
        <v>0</v>
      </c>
      <c r="T62" s="231">
        <f t="shared" ref="T62:T99" si="178">SUM(E62:S62)</f>
        <v>0.99984778060185431</v>
      </c>
      <c r="U62" s="232"/>
      <c r="W62" s="185" t="s">
        <v>464</v>
      </c>
      <c r="X62" s="185"/>
      <c r="Y62" s="234"/>
      <c r="Z62" s="234"/>
      <c r="AA62" s="234"/>
      <c r="AB62" s="234"/>
      <c r="AC62" s="234"/>
      <c r="AD62" s="234"/>
      <c r="AE62" s="234"/>
      <c r="AF62" s="234"/>
      <c r="AG62" s="234"/>
      <c r="AH62" s="234"/>
      <c r="AI62" s="234"/>
      <c r="AJ62" s="234"/>
      <c r="AK62" s="234"/>
      <c r="AL62" s="234"/>
      <c r="AM62" s="234"/>
    </row>
    <row r="63">
      <c r="C63" s="205" t="s">
        <v>468</v>
      </c>
      <c r="D63" s="205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7">
        <f t="shared" si="178"/>
        <v>0</v>
      </c>
      <c r="U63" s="232"/>
      <c r="W63" s="188" t="s">
        <v>465</v>
      </c>
      <c r="X63" s="188" t="s">
        <v>482</v>
      </c>
      <c r="Y63" s="233">
        <f>'Mix éner %'!Y89</f>
        <v>0.089999999999999997</v>
      </c>
      <c r="Z63" s="233">
        <f>'Mix éner %'!Z89</f>
        <v>0</v>
      </c>
      <c r="AA63" s="233">
        <f>'Mix éner %'!AA89</f>
        <v>0.34694969587529612</v>
      </c>
      <c r="AB63" s="233">
        <f>'Mix éner %'!AB89</f>
        <v>0.02</v>
      </c>
      <c r="AC63" s="233">
        <f>'Mix éner %'!AC89</f>
        <v>0.17000000000000001</v>
      </c>
      <c r="AD63" s="233">
        <f>'Mix éner %'!AD89</f>
        <v>0.23999999999999999</v>
      </c>
      <c r="AE63" s="233">
        <f>'Mix éner %'!AE89</f>
        <v>0</v>
      </c>
      <c r="AF63" s="233">
        <f>'Mix éner %'!AF89</f>
        <v>0</v>
      </c>
      <c r="AG63" s="233">
        <f>'Mix éner %'!AG89</f>
        <v>0</v>
      </c>
      <c r="AH63" s="233">
        <f>'Mix éner %'!AH89</f>
        <v>0</v>
      </c>
      <c r="AI63" s="233">
        <f>'Mix éner %'!AI89</f>
        <v>0.13305030412470387</v>
      </c>
      <c r="AJ63" s="233">
        <f>'Mix éner %'!AJ89</f>
        <v>0</v>
      </c>
      <c r="AK63" s="233">
        <f>'Mix éner %'!AK89</f>
        <v>0</v>
      </c>
      <c r="AL63" s="233">
        <f>'Mix éner %'!AL89</f>
        <v>0</v>
      </c>
      <c r="AM63" s="233">
        <f>'Mix éner %'!AM89</f>
        <v>1</v>
      </c>
    </row>
    <row r="64">
      <c r="C64" s="207" t="s">
        <v>469</v>
      </c>
      <c r="D64" s="208" t="s">
        <v>482</v>
      </c>
      <c r="E64" s="231">
        <v>0.15175876436862501</v>
      </c>
      <c r="F64" s="231">
        <v>0</v>
      </c>
      <c r="G64" s="231">
        <v>0.089999999999999997</v>
      </c>
      <c r="H64" s="231">
        <v>0.67000000000000004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0.074778557978260093</v>
      </c>
      <c r="R64" s="231">
        <v>0.0094626776531150699</v>
      </c>
      <c r="S64" s="231">
        <v>0</v>
      </c>
      <c r="T64" s="231">
        <f t="shared" si="178"/>
        <v>0.99600000000000011</v>
      </c>
      <c r="U64" s="232"/>
      <c r="W64" s="188" t="s">
        <v>466</v>
      </c>
      <c r="X64" s="188" t="s">
        <v>482</v>
      </c>
      <c r="Y64" s="233">
        <f>'Mix éner %'!Y93</f>
        <v>0</v>
      </c>
      <c r="Z64" s="233">
        <f>'Mix éner %'!Z93</f>
        <v>0</v>
      </c>
      <c r="AA64" s="233">
        <f>'Mix éner %'!AA93</f>
        <v>0.089999999999999997</v>
      </c>
      <c r="AB64" s="233">
        <f>'Mix éner %'!AB93</f>
        <v>0.67000000000000004</v>
      </c>
      <c r="AC64" s="233">
        <f>'Mix éner %'!AC93</f>
        <v>0</v>
      </c>
      <c r="AD64" s="233">
        <f>'Mix éner %'!AD93</f>
        <v>0</v>
      </c>
      <c r="AE64" s="233">
        <f>'Mix éner %'!AE93</f>
        <v>0</v>
      </c>
      <c r="AF64" s="233">
        <f>'Mix éner %'!AF93</f>
        <v>0</v>
      </c>
      <c r="AG64" s="233">
        <f>'Mix éner %'!AG93</f>
        <v>0</v>
      </c>
      <c r="AH64" s="233">
        <f>'Mix éner %'!AH93</f>
        <v>0</v>
      </c>
      <c r="AI64" s="233">
        <f>'Mix éner %'!AI93</f>
        <v>0.23999999999999999</v>
      </c>
      <c r="AJ64" s="233">
        <f>'Mix éner %'!AJ93</f>
        <v>0</v>
      </c>
      <c r="AK64" s="233">
        <f>'Mix éner %'!AK93</f>
        <v>0</v>
      </c>
      <c r="AL64" s="233">
        <f>'Mix éner %'!AL93</f>
        <v>0</v>
      </c>
      <c r="AM64" s="233">
        <f>'Mix éner %'!AM93</f>
        <v>1</v>
      </c>
    </row>
    <row r="65">
      <c r="C65" s="207" t="s">
        <v>470</v>
      </c>
      <c r="D65" s="208" t="s">
        <v>482</v>
      </c>
      <c r="E65" s="231">
        <v>0</v>
      </c>
      <c r="F65" s="231">
        <v>0</v>
      </c>
      <c r="G65" s="231">
        <v>0.027540056386653699</v>
      </c>
      <c r="H65" s="231">
        <v>0.379441691839836</v>
      </c>
      <c r="I65" s="231">
        <v>0</v>
      </c>
      <c r="J65" s="231">
        <v>0</v>
      </c>
      <c r="K65" s="231">
        <v>0.077366489552603099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0.45636348652369502</v>
      </c>
      <c r="R65" s="231">
        <v>0.055823099680444598</v>
      </c>
      <c r="S65" s="231">
        <v>0</v>
      </c>
      <c r="T65" s="231">
        <f t="shared" si="178"/>
        <v>0.99653482398323245</v>
      </c>
      <c r="U65" s="232"/>
      <c r="W65" s="188" t="s">
        <v>467</v>
      </c>
      <c r="X65" s="188" t="s">
        <v>482</v>
      </c>
      <c r="Y65" s="233">
        <f>'Mix éner %'!Y97</f>
        <v>0.044999999999999998</v>
      </c>
      <c r="Z65" s="233">
        <f>'Mix éner %'!Z97</f>
        <v>0</v>
      </c>
      <c r="AA65" s="233">
        <f>'Mix éner %'!AA97</f>
        <v>0.0201689588256188</v>
      </c>
      <c r="AB65" s="233">
        <f>'Mix éner %'!AB97</f>
        <v>0.64500000000000002</v>
      </c>
      <c r="AC65" s="233">
        <f>'Mix éner %'!AC97</f>
        <v>0.040000000000000001</v>
      </c>
      <c r="AD65" s="233">
        <f>'Mix éner %'!AD97</f>
        <v>0</v>
      </c>
      <c r="AE65" s="233">
        <f>'Mix éner %'!AE97</f>
        <v>0</v>
      </c>
      <c r="AF65" s="233">
        <f>'Mix éner %'!AF97</f>
        <v>0</v>
      </c>
      <c r="AG65" s="233">
        <f>'Mix éner %'!AG97</f>
        <v>0</v>
      </c>
      <c r="AH65" s="233">
        <f>'Mix éner %'!AH97</f>
        <v>0</v>
      </c>
      <c r="AI65" s="233">
        <f>'Mix éner %'!AI97</f>
        <v>0.25</v>
      </c>
      <c r="AJ65" s="233">
        <f>'Mix éner %'!AJ97</f>
        <v>0</v>
      </c>
      <c r="AK65" s="233">
        <f>'Mix éner %'!AK97</f>
        <v>0</v>
      </c>
      <c r="AL65" s="233">
        <f>'Mix éner %'!AL97</f>
        <v>0</v>
      </c>
      <c r="AM65" s="233">
        <f>'Mix éner %'!AM97</f>
        <v>1.0001689588256188</v>
      </c>
    </row>
    <row r="66">
      <c r="C66" s="205" t="s">
        <v>471</v>
      </c>
      <c r="D66" s="205"/>
      <c r="E66" s="231">
        <f>0.931456200227532%+0.03%</f>
        <v>0.0096145620022753189</v>
      </c>
      <c r="F66" s="231">
        <v>0.00026631725060820001</v>
      </c>
      <c r="G66" s="231">
        <v>0.045328498293515401</v>
      </c>
      <c r="H66" s="231">
        <v>0.36181179367236099</v>
      </c>
      <c r="I66" s="231">
        <v>0.00026631725060820001</v>
      </c>
      <c r="J66" s="231">
        <v>0.00026631725060820001</v>
      </c>
      <c r="K66" s="231">
        <v>0.0078198900591522694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0.57419922022113401</v>
      </c>
      <c r="R66" s="231">
        <v>0.0012597185009542401</v>
      </c>
      <c r="S66" s="231">
        <v>0</v>
      </c>
      <c r="T66" s="231">
        <f t="shared" si="178"/>
        <v>1.0008326345012168</v>
      </c>
      <c r="U66" s="232"/>
      <c r="W66" s="185" t="s">
        <v>468</v>
      </c>
      <c r="X66" s="185"/>
      <c r="Y66" s="234"/>
      <c r="Z66" s="234"/>
      <c r="AA66" s="234"/>
      <c r="AB66" s="234"/>
      <c r="AC66" s="234"/>
      <c r="AD66" s="234"/>
      <c r="AE66" s="234"/>
      <c r="AF66" s="234"/>
      <c r="AG66" s="234"/>
      <c r="AH66" s="234"/>
      <c r="AI66" s="234"/>
      <c r="AJ66" s="234"/>
      <c r="AK66" s="234"/>
      <c r="AL66" s="234"/>
      <c r="AM66" s="234"/>
    </row>
    <row r="67">
      <c r="C67" s="240" t="s">
        <v>29</v>
      </c>
      <c r="D67" s="240"/>
      <c r="E67" s="241">
        <v>0</v>
      </c>
      <c r="F67" s="241">
        <v>0</v>
      </c>
      <c r="G67" s="231">
        <v>0.60548661005878501</v>
      </c>
      <c r="H67" s="231">
        <v>0.12495101241018899</v>
      </c>
      <c r="I67" s="231">
        <v>0.00026631725060820001</v>
      </c>
      <c r="J67" s="231">
        <v>0.00026631725060820001</v>
      </c>
      <c r="K67" s="231">
        <v>0.0374265186152841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0.23213585891574101</v>
      </c>
      <c r="R67" s="231">
        <v>0.0012597185009542401</v>
      </c>
      <c r="S67" s="231">
        <v>0</v>
      </c>
      <c r="T67" s="231">
        <f t="shared" si="178"/>
        <v>1.0017923530021697</v>
      </c>
      <c r="U67" s="232"/>
      <c r="W67" s="188" t="s">
        <v>469</v>
      </c>
      <c r="X67" s="188" t="s">
        <v>482</v>
      </c>
      <c r="Y67" s="233">
        <f>'Mix éner %'!Y102</f>
        <v>0.16</v>
      </c>
      <c r="Z67" s="233">
        <f>'Mix éner %'!Z102</f>
        <v>0</v>
      </c>
      <c r="AA67" s="233">
        <f>'Mix éner %'!AA102</f>
        <v>0.085000000000000006</v>
      </c>
      <c r="AB67" s="233">
        <f>'Mix éner %'!AB102</f>
        <v>0.66600000000000004</v>
      </c>
      <c r="AC67" s="233">
        <f>'Mix éner %'!AC102</f>
        <v>0.02</v>
      </c>
      <c r="AD67" s="233">
        <f>'Mix éner %'!AD102</f>
        <v>0</v>
      </c>
      <c r="AE67" s="233">
        <f>'Mix éner %'!AE102</f>
        <v>0</v>
      </c>
      <c r="AF67" s="233">
        <f>'Mix éner %'!AF102</f>
        <v>0</v>
      </c>
      <c r="AG67" s="233">
        <f>'Mix éner %'!AG102</f>
        <v>0</v>
      </c>
      <c r="AH67" s="233">
        <f>'Mix éner %'!AH102</f>
        <v>0</v>
      </c>
      <c r="AI67" s="233">
        <f>'Mix éner %'!AI102</f>
        <v>0.059999999999999998</v>
      </c>
      <c r="AJ67" s="233">
        <f>'Mix éner %'!AJ102</f>
        <v>0</v>
      </c>
      <c r="AK67" s="233">
        <f>'Mix éner %'!AK102</f>
        <v>0.0094626776531150699</v>
      </c>
      <c r="AL67" s="233">
        <f>'Mix éner %'!AL102</f>
        <v>0</v>
      </c>
      <c r="AM67" s="233">
        <f>'Mix éner %'!AM102</f>
        <v>1.0004626776531151</v>
      </c>
    </row>
    <row r="68">
      <c r="C68" s="205" t="s">
        <v>472</v>
      </c>
      <c r="D68" s="205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37">
        <f t="shared" si="178"/>
        <v>0</v>
      </c>
      <c r="U68" s="232"/>
      <c r="W68" s="188" t="s">
        <v>470</v>
      </c>
      <c r="X68" s="188" t="s">
        <v>482</v>
      </c>
      <c r="Y68" s="233">
        <f>'Mix éner %'!Y106</f>
        <v>0</v>
      </c>
      <c r="Z68" s="233">
        <f>'Mix éner %'!Z106</f>
        <v>0</v>
      </c>
      <c r="AA68" s="233">
        <f>'Mix éner %'!AA106</f>
        <v>0.025000000000000001</v>
      </c>
      <c r="AB68" s="233">
        <f>'Mix éner %'!AB106</f>
        <v>0.379441691839836</v>
      </c>
      <c r="AC68" s="233">
        <f>'Mix éner %'!AC106</f>
        <v>0.059999999999999998</v>
      </c>
      <c r="AD68" s="233">
        <f>'Mix éner %'!AD106</f>
        <v>0</v>
      </c>
      <c r="AE68" s="233">
        <f>'Mix éner %'!AE106</f>
        <v>0</v>
      </c>
      <c r="AF68" s="233">
        <f>'Mix éner %'!AF106</f>
        <v>0</v>
      </c>
      <c r="AG68" s="233">
        <f>'Mix éner %'!AG106</f>
        <v>0</v>
      </c>
      <c r="AH68" s="233">
        <f>'Mix éner %'!AH106</f>
        <v>0</v>
      </c>
      <c r="AI68" s="233">
        <f>'Mix éner %'!AI106</f>
        <v>0.47999999999999998</v>
      </c>
      <c r="AJ68" s="233">
        <f>'Mix éner %'!AJ106</f>
        <v>0</v>
      </c>
      <c r="AK68" s="233">
        <f>'Mix éner %'!AK106</f>
        <v>0.055823099680444598</v>
      </c>
      <c r="AL68" s="233">
        <f>'Mix éner %'!AL106</f>
        <v>0</v>
      </c>
      <c r="AM68" s="233">
        <f>'Mix éner %'!AM106</f>
        <v>1.0002647915202805</v>
      </c>
    </row>
    <row r="69">
      <c r="C69" s="207" t="s">
        <v>473</v>
      </c>
      <c r="D69" s="208" t="s">
        <v>482</v>
      </c>
      <c r="E69" s="231">
        <v>0.00054480176252742795</v>
      </c>
      <c r="F69" s="231">
        <v>0</v>
      </c>
      <c r="G69" s="231">
        <v>0.0172156315557155</v>
      </c>
      <c r="H69" s="231">
        <v>0.30607318583021498</v>
      </c>
      <c r="I69" s="231">
        <v>0</v>
      </c>
      <c r="J69" s="231">
        <v>0</v>
      </c>
      <c r="K69" s="231">
        <v>0.27917177635277701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0.27929983154586702</v>
      </c>
      <c r="R69" s="231">
        <v>0.114087060571334</v>
      </c>
      <c r="S69" s="231">
        <v>0</v>
      </c>
      <c r="T69" s="231">
        <f t="shared" si="178"/>
        <v>0.9963922876184359</v>
      </c>
      <c r="U69" s="232"/>
      <c r="W69" s="185" t="s">
        <v>471</v>
      </c>
      <c r="X69" s="185"/>
      <c r="Y69" s="237">
        <f>'Mix éner %'!Y110</f>
        <v>0</v>
      </c>
      <c r="Z69" s="237">
        <f>'Mix éner %'!Z110</f>
        <v>0</v>
      </c>
      <c r="AA69" s="237">
        <f>'Mix éner %'!AA110</f>
        <v>0.045328498293515401</v>
      </c>
      <c r="AB69" s="237">
        <f>'Mix éner %'!AB110</f>
        <v>0.36499999999999999</v>
      </c>
      <c r="AC69" s="237">
        <f>'Mix éner %'!AC110</f>
        <v>0.0080000000000000002</v>
      </c>
      <c r="AD69" s="237">
        <f>'Mix éner %'!AD110</f>
        <v>0</v>
      </c>
      <c r="AE69" s="237">
        <f>'Mix éner %'!AE110</f>
        <v>0</v>
      </c>
      <c r="AF69" s="237">
        <f>'Mix éner %'!AF110</f>
        <v>0</v>
      </c>
      <c r="AG69" s="237">
        <f>'Mix éner %'!AG110</f>
        <v>0</v>
      </c>
      <c r="AH69" s="237">
        <f>'Mix éner %'!AH110</f>
        <v>0</v>
      </c>
      <c r="AI69" s="237">
        <f>'Mix éner %'!AI110</f>
        <v>0.57999999999999996</v>
      </c>
      <c r="AJ69" s="237">
        <f>'Mix éner %'!AJ110</f>
        <v>0</v>
      </c>
      <c r="AK69" s="237">
        <f>'Mix éner %'!AK110</f>
        <v>0.0012597185009542401</v>
      </c>
      <c r="AL69" s="237">
        <f>'Mix éner %'!AL110</f>
        <v>0</v>
      </c>
      <c r="AM69" s="237">
        <f>'Mix éner %'!AM110</f>
        <v>0.99958821679446952</v>
      </c>
    </row>
    <row r="70">
      <c r="C70" s="207" t="s">
        <v>474</v>
      </c>
      <c r="D70" s="208" t="s">
        <v>482</v>
      </c>
      <c r="E70" s="231">
        <v>0</v>
      </c>
      <c r="F70" s="231">
        <v>0</v>
      </c>
      <c r="G70" s="231">
        <v>0.142357192645614</v>
      </c>
      <c r="H70" s="231">
        <v>0.31047389168022199</v>
      </c>
      <c r="I70" s="231">
        <v>0</v>
      </c>
      <c r="J70" s="231">
        <v>0</v>
      </c>
      <c r="K70" s="231">
        <v>0.044062207116484703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0.47960206881992801</v>
      </c>
      <c r="R70" s="231">
        <v>0.023504639737751201</v>
      </c>
      <c r="S70" s="231">
        <v>0</v>
      </c>
      <c r="T70" s="231">
        <f t="shared" si="178"/>
        <v>0.99999999999999978</v>
      </c>
      <c r="U70" s="232"/>
      <c r="W70" s="185" t="s">
        <v>29</v>
      </c>
      <c r="X70" s="185"/>
      <c r="Y70" s="237">
        <f>'Mix éner %'!Y114</f>
        <v>0</v>
      </c>
      <c r="Z70" s="237">
        <f>'Mix éner %'!Z114</f>
        <v>0</v>
      </c>
      <c r="AA70" s="237">
        <f>'Mix éner %'!AA114</f>
        <v>0.60548661005878501</v>
      </c>
      <c r="AB70" s="237">
        <f>'Mix éner %'!AB114</f>
        <v>0.12495101241018899</v>
      </c>
      <c r="AC70" s="237">
        <f>'Mix éner %'!AC114</f>
        <v>0.0374265186152841</v>
      </c>
      <c r="AD70" s="237">
        <f>'Mix éner %'!AD114</f>
        <v>0</v>
      </c>
      <c r="AE70" s="237">
        <f>'Mix éner %'!AE114</f>
        <v>0</v>
      </c>
      <c r="AF70" s="237">
        <f>'Mix éner %'!AF114</f>
        <v>0</v>
      </c>
      <c r="AG70" s="237">
        <f>'Mix éner %'!AG114</f>
        <v>0</v>
      </c>
      <c r="AH70" s="237">
        <f>'Mix éner %'!AH114</f>
        <v>0</v>
      </c>
      <c r="AI70" s="237">
        <f>'Mix éner %'!AI114</f>
        <v>0.23213585891574101</v>
      </c>
      <c r="AJ70" s="237">
        <f>'Mix éner %'!AJ114</f>
        <v>0</v>
      </c>
      <c r="AK70" s="237">
        <f>'Mix éner %'!AK114</f>
        <v>0</v>
      </c>
      <c r="AL70" s="237">
        <f>'Mix éner %'!AL114</f>
        <v>0</v>
      </c>
      <c r="AM70" s="237">
        <f>'Mix éner %'!AM114</f>
        <v>0.99999999999999911</v>
      </c>
    </row>
    <row r="71">
      <c r="W71" s="185" t="s">
        <v>472</v>
      </c>
      <c r="X71" s="185"/>
      <c r="Y71" s="234"/>
      <c r="Z71" s="234"/>
      <c r="AA71" s="234"/>
      <c r="AB71" s="234"/>
      <c r="AC71" s="234"/>
      <c r="AD71" s="234"/>
      <c r="AE71" s="234"/>
      <c r="AF71" s="234"/>
      <c r="AG71" s="234"/>
      <c r="AH71" s="234"/>
      <c r="AI71" s="234"/>
      <c r="AJ71" s="234"/>
      <c r="AK71" s="234"/>
      <c r="AL71" s="234"/>
      <c r="AM71" s="234"/>
    </row>
    <row r="72">
      <c r="W72" s="188" t="s">
        <v>473</v>
      </c>
      <c r="X72" s="188" t="s">
        <v>482</v>
      </c>
      <c r="Y72" s="233">
        <f>'Mix éner %'!Y119</f>
        <v>0</v>
      </c>
      <c r="Z72" s="233">
        <f>'Mix éner %'!Z119</f>
        <v>0</v>
      </c>
      <c r="AA72" s="233">
        <f>'Mix éner %'!AA119</f>
        <v>0.01</v>
      </c>
      <c r="AB72" s="233">
        <f>'Mix éner %'!AB119</f>
        <v>0.29999999999999999</v>
      </c>
      <c r="AC72" s="233">
        <f>'Mix éner %'!AC119</f>
        <v>0.27200000000000002</v>
      </c>
      <c r="AD72" s="233">
        <f>'Mix éner %'!AD119</f>
        <v>0.025000000000000001</v>
      </c>
      <c r="AE72" s="233">
        <f>'Mix éner %'!AE119</f>
        <v>0</v>
      </c>
      <c r="AF72" s="233">
        <f>'Mix éner %'!AF119</f>
        <v>0</v>
      </c>
      <c r="AG72" s="233">
        <f>'Mix éner %'!AG119</f>
        <v>0</v>
      </c>
      <c r="AH72" s="233">
        <f>'Mix éner %'!AH119</f>
        <v>0</v>
      </c>
      <c r="AI72" s="233">
        <f>'Mix éner %'!AI119</f>
        <v>0.27929983154586702</v>
      </c>
      <c r="AJ72" s="233">
        <f>'Mix éner %'!AJ119</f>
        <v>0</v>
      </c>
      <c r="AK72" s="233">
        <f>'Mix éner %'!AK119</f>
        <v>0.114087060571334</v>
      </c>
      <c r="AL72" s="233">
        <f>'Mix éner %'!AL119</f>
        <v>0</v>
      </c>
      <c r="AM72" s="233">
        <f>'Mix éner %'!AM119</f>
        <v>1.0003868921172012</v>
      </c>
    </row>
    <row r="73">
      <c r="W73" s="188" t="s">
        <v>474</v>
      </c>
      <c r="X73" s="188" t="s">
        <v>482</v>
      </c>
      <c r="Y73" s="233">
        <f>'Mix éner %'!Y123</f>
        <v>0</v>
      </c>
      <c r="Z73" s="233">
        <f>'Mix éner %'!Z123</f>
        <v>0</v>
      </c>
      <c r="AA73" s="233">
        <f>'Mix éner %'!AA123</f>
        <v>0.142357192645614</v>
      </c>
      <c r="AB73" s="233">
        <f>'Mix éner %'!AB123</f>
        <v>0.31047389168022199</v>
      </c>
      <c r="AC73" s="233">
        <f>'Mix éner %'!AC123</f>
        <v>0.044062207116484703</v>
      </c>
      <c r="AD73" s="233">
        <f>'Mix éner %'!AD123</f>
        <v>0</v>
      </c>
      <c r="AE73" s="233">
        <f>'Mix éner %'!AE123</f>
        <v>0</v>
      </c>
      <c r="AF73" s="233">
        <f>'Mix éner %'!AF123</f>
        <v>0</v>
      </c>
      <c r="AG73" s="233">
        <f>'Mix éner %'!AG123</f>
        <v>0</v>
      </c>
      <c r="AH73" s="233">
        <f>'Mix éner %'!AH123</f>
        <v>0</v>
      </c>
      <c r="AI73" s="233">
        <f>'Mix éner %'!AI123</f>
        <v>0.47960206881992801</v>
      </c>
      <c r="AJ73" s="233">
        <f>'Mix éner %'!AJ123</f>
        <v>0</v>
      </c>
      <c r="AK73" s="233">
        <f>'Mix éner %'!AK123</f>
        <v>0.023504639737751201</v>
      </c>
      <c r="AL73" s="233">
        <f>'Mix éner %'!AL123</f>
        <v>0</v>
      </c>
      <c r="AM73" s="233">
        <f>'Mix éner %'!AM123</f>
        <v>0.99999999999999978</v>
      </c>
    </row>
    <row r="75"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</row>
    <row r="76">
      <c r="C76" s="226" t="s">
        <v>502</v>
      </c>
      <c r="D76" s="226"/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7"/>
    </row>
    <row r="77" ht="14.550000000000001" customHeight="1">
      <c r="C77" s="228" t="s">
        <v>479</v>
      </c>
      <c r="D77" s="228"/>
      <c r="E77" s="199" t="s">
        <v>424</v>
      </c>
      <c r="F77" s="199" t="s">
        <v>425</v>
      </c>
      <c r="G77" s="199" t="s">
        <v>426</v>
      </c>
      <c r="H77" s="199" t="s">
        <v>427</v>
      </c>
      <c r="I77" s="199" t="s">
        <v>499</v>
      </c>
      <c r="J77" s="199" t="s">
        <v>500</v>
      </c>
      <c r="K77" s="199" t="s">
        <v>428</v>
      </c>
      <c r="L77" s="199"/>
      <c r="M77" s="199"/>
      <c r="N77" s="199"/>
      <c r="O77" s="199"/>
      <c r="P77" s="199"/>
      <c r="Q77" s="199" t="s">
        <v>431</v>
      </c>
      <c r="R77" s="199" t="s">
        <v>432</v>
      </c>
      <c r="S77" s="199" t="s">
        <v>433</v>
      </c>
      <c r="T77" s="199" t="s">
        <v>49</v>
      </c>
      <c r="U77" s="229"/>
      <c r="W77" s="179">
        <v>2050</v>
      </c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</row>
    <row r="78" ht="70.5" customHeight="1">
      <c r="C78" s="205" t="s">
        <v>22</v>
      </c>
      <c r="D78" s="205"/>
      <c r="E78" s="199"/>
      <c r="F78" s="199"/>
      <c r="G78" s="199"/>
      <c r="H78" s="199"/>
      <c r="I78" s="199"/>
      <c r="J78" s="199"/>
      <c r="K78" s="199" t="s">
        <v>436</v>
      </c>
      <c r="L78" s="199" t="s">
        <v>437</v>
      </c>
      <c r="M78" s="199" t="s">
        <v>438</v>
      </c>
      <c r="N78" s="199" t="s">
        <v>439</v>
      </c>
      <c r="O78" s="199" t="s">
        <v>429</v>
      </c>
      <c r="P78" s="199" t="s">
        <v>430</v>
      </c>
      <c r="Q78" s="199"/>
      <c r="R78" s="199"/>
      <c r="S78" s="199" t="s">
        <v>433</v>
      </c>
      <c r="T78" s="199"/>
      <c r="U78" s="229"/>
      <c r="W78" s="180" t="s">
        <v>501</v>
      </c>
      <c r="X78" s="180"/>
      <c r="Y78" s="181" t="s">
        <v>424</v>
      </c>
      <c r="Z78" s="181"/>
      <c r="AA78" s="181" t="s">
        <v>426</v>
      </c>
      <c r="AB78" s="181" t="s">
        <v>427</v>
      </c>
      <c r="AC78" s="181" t="s">
        <v>428</v>
      </c>
      <c r="AD78" s="181"/>
      <c r="AE78" s="181"/>
      <c r="AF78" s="181"/>
      <c r="AG78" s="181" t="s">
        <v>429</v>
      </c>
      <c r="AH78" s="181" t="s">
        <v>430</v>
      </c>
      <c r="AI78" s="181" t="s">
        <v>431</v>
      </c>
      <c r="AJ78" s="183"/>
      <c r="AK78" s="181" t="s">
        <v>432</v>
      </c>
      <c r="AL78" s="182" t="s">
        <v>433</v>
      </c>
      <c r="AM78" s="181" t="s">
        <v>49</v>
      </c>
    </row>
    <row r="79" ht="43.200000000000003">
      <c r="C79" s="207" t="s">
        <v>446</v>
      </c>
      <c r="D79" s="208" t="s">
        <v>482</v>
      </c>
      <c r="E79" s="230">
        <v>0.29818412658464</v>
      </c>
      <c r="F79" s="230">
        <v>0</v>
      </c>
      <c r="G79" s="230">
        <v>0</v>
      </c>
      <c r="H79" s="230">
        <v>0.32000000000000001</v>
      </c>
      <c r="I79" s="230">
        <v>0</v>
      </c>
      <c r="J79" s="230">
        <v>0</v>
      </c>
      <c r="K79" s="230">
        <v>0</v>
      </c>
      <c r="L79" s="230">
        <v>0</v>
      </c>
      <c r="M79" s="230">
        <v>0</v>
      </c>
      <c r="N79" s="230">
        <v>0</v>
      </c>
      <c r="O79" s="230">
        <v>0</v>
      </c>
      <c r="P79" s="230">
        <v>0</v>
      </c>
      <c r="Q79" s="230">
        <v>0.27684596103582199</v>
      </c>
      <c r="R79" s="230">
        <v>0</v>
      </c>
      <c r="S79" s="230">
        <v>0.104969912379538</v>
      </c>
      <c r="T79" s="231">
        <f t="shared" si="178"/>
        <v>1</v>
      </c>
      <c r="U79" s="232"/>
      <c r="W79" s="180"/>
      <c r="X79" s="180"/>
      <c r="Y79" s="181"/>
      <c r="Z79" s="181" t="s">
        <v>440</v>
      </c>
      <c r="AA79" s="181"/>
      <c r="AB79" s="181"/>
      <c r="AC79" s="182" t="s">
        <v>436</v>
      </c>
      <c r="AD79" s="182" t="s">
        <v>437</v>
      </c>
      <c r="AE79" s="182" t="s">
        <v>438</v>
      </c>
      <c r="AF79" s="182" t="s">
        <v>439</v>
      </c>
      <c r="AG79" s="181"/>
      <c r="AH79" s="181"/>
      <c r="AI79" s="181"/>
      <c r="AJ79" s="184" t="s">
        <v>441</v>
      </c>
      <c r="AK79" s="181"/>
      <c r="AL79" s="182" t="s">
        <v>433</v>
      </c>
      <c r="AM79" s="181"/>
    </row>
    <row r="80">
      <c r="C80" s="207" t="s">
        <v>449</v>
      </c>
      <c r="D80" s="208" t="s">
        <v>482</v>
      </c>
      <c r="E80" s="230">
        <v>0.014999999999999999</v>
      </c>
      <c r="F80" s="230">
        <v>0</v>
      </c>
      <c r="G80" s="230">
        <v>0.02</v>
      </c>
      <c r="H80" s="230">
        <v>0.21099999999999999</v>
      </c>
      <c r="I80" s="230">
        <v>0</v>
      </c>
      <c r="J80" s="230">
        <v>0</v>
      </c>
      <c r="K80" s="230">
        <v>0.029000000000000001</v>
      </c>
      <c r="L80" s="230">
        <v>0</v>
      </c>
      <c r="M80" s="230">
        <v>0</v>
      </c>
      <c r="N80" s="230">
        <v>0</v>
      </c>
      <c r="O80" s="230">
        <v>0</v>
      </c>
      <c r="P80" s="230">
        <v>0</v>
      </c>
      <c r="Q80" s="230">
        <v>0.72499999999999998</v>
      </c>
      <c r="R80" s="230">
        <v>0</v>
      </c>
      <c r="S80" s="230">
        <v>0</v>
      </c>
      <c r="T80" s="231">
        <f t="shared" si="178"/>
        <v>1</v>
      </c>
      <c r="U80" s="232"/>
      <c r="W80" s="185" t="s">
        <v>22</v>
      </c>
      <c r="X80" s="185"/>
      <c r="Y80" s="234"/>
      <c r="Z80" s="234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  <c r="AK80" s="234"/>
      <c r="AL80" s="234"/>
      <c r="AM80" s="234"/>
    </row>
    <row r="81">
      <c r="C81" s="207" t="s">
        <v>451</v>
      </c>
      <c r="D81" s="208" t="s">
        <v>482</v>
      </c>
      <c r="E81" s="230">
        <v>0</v>
      </c>
      <c r="F81" s="230">
        <v>0</v>
      </c>
      <c r="G81" s="230">
        <v>0</v>
      </c>
      <c r="H81" s="230">
        <v>0.15207756232687</v>
      </c>
      <c r="I81" s="230">
        <v>0</v>
      </c>
      <c r="J81" s="230">
        <v>0</v>
      </c>
      <c r="K81" s="230">
        <v>0</v>
      </c>
      <c r="L81" s="230">
        <v>0</v>
      </c>
      <c r="M81" s="230">
        <v>0</v>
      </c>
      <c r="N81" s="230">
        <v>0</v>
      </c>
      <c r="O81" s="230">
        <v>0</v>
      </c>
      <c r="P81" s="230">
        <v>0</v>
      </c>
      <c r="Q81" s="230">
        <v>0.13767313019390601</v>
      </c>
      <c r="R81" s="230">
        <v>0</v>
      </c>
      <c r="S81" s="230">
        <v>0.71024930747922399</v>
      </c>
      <c r="T81" s="231">
        <f t="shared" si="178"/>
        <v>1</v>
      </c>
      <c r="U81" s="232"/>
      <c r="W81" s="188" t="s">
        <v>446</v>
      </c>
      <c r="X81" s="188" t="s">
        <v>482</v>
      </c>
      <c r="Y81" s="233">
        <f>'Mix éner %'!Y48</f>
        <v>0.40361843755597487</v>
      </c>
      <c r="Z81" s="233">
        <f>'Mix éner %'!Z48</f>
        <v>0.59638156244402507</v>
      </c>
      <c r="AA81" s="233">
        <f>'Mix éner %'!AA48</f>
        <v>0</v>
      </c>
      <c r="AB81" s="233">
        <f>'Mix éner %'!AB48</f>
        <v>0</v>
      </c>
      <c r="AC81" s="233">
        <f>'Mix éner %'!AC48</f>
        <v>0</v>
      </c>
      <c r="AD81" s="233">
        <f>'Mix éner %'!AD48</f>
        <v>0</v>
      </c>
      <c r="AE81" s="233">
        <f>'Mix éner %'!AE48</f>
        <v>0</v>
      </c>
      <c r="AF81" s="233">
        <f>'Mix éner %'!AF48</f>
        <v>0</v>
      </c>
      <c r="AG81" s="233">
        <f>'Mix éner %'!AG48</f>
        <v>0</v>
      </c>
      <c r="AH81" s="233">
        <f>'Mix éner %'!AH48</f>
        <v>0</v>
      </c>
      <c r="AI81" s="233">
        <f>'Mix éner %'!AI48</f>
        <v>0</v>
      </c>
      <c r="AJ81" s="233">
        <f>'Mix éner %'!AJ48</f>
        <v>0</v>
      </c>
      <c r="AK81" s="233">
        <f>'Mix éner %'!AK48</f>
        <v>0</v>
      </c>
      <c r="AL81" s="233">
        <f>'Mix éner %'!AL48</f>
        <v>0</v>
      </c>
      <c r="AM81" s="233">
        <f>'Mix éner %'!AM48</f>
        <v>1</v>
      </c>
    </row>
    <row r="82">
      <c r="C82" s="207" t="s">
        <v>454</v>
      </c>
      <c r="D82" s="208" t="s">
        <v>482</v>
      </c>
      <c r="E82" s="235">
        <v>0.0040000000000000001</v>
      </c>
      <c r="F82" s="231">
        <v>0</v>
      </c>
      <c r="G82" s="235">
        <v>0.028000000000000001</v>
      </c>
      <c r="H82" s="235">
        <v>0.25</v>
      </c>
      <c r="I82" s="230">
        <v>0</v>
      </c>
      <c r="J82" s="230">
        <v>0</v>
      </c>
      <c r="K82" s="230">
        <v>0</v>
      </c>
      <c r="L82" s="230">
        <v>0</v>
      </c>
      <c r="M82" s="230">
        <v>0</v>
      </c>
      <c r="N82" s="230">
        <v>0</v>
      </c>
      <c r="O82" s="230">
        <v>0</v>
      </c>
      <c r="P82" s="230">
        <v>0</v>
      </c>
      <c r="Q82" s="235">
        <v>0.70999999999999996</v>
      </c>
      <c r="R82" s="235">
        <v>0.0080000000000000002</v>
      </c>
      <c r="S82" s="231">
        <v>0</v>
      </c>
      <c r="T82" s="231">
        <f t="shared" si="178"/>
        <v>1</v>
      </c>
      <c r="U82" s="232"/>
      <c r="W82" s="188" t="s">
        <v>449</v>
      </c>
      <c r="X82" s="188" t="s">
        <v>482</v>
      </c>
      <c r="Y82" s="233">
        <f>'Mix éner %'!Y52</f>
        <v>0</v>
      </c>
      <c r="Z82" s="233">
        <f>'Mix éner %'!Z52</f>
        <v>0</v>
      </c>
      <c r="AA82" s="233">
        <f>'Mix éner %'!AA52</f>
        <v>0.02</v>
      </c>
      <c r="AB82" s="233">
        <f>'Mix éner %'!AB52</f>
        <v>0.22999999999999998</v>
      </c>
      <c r="AC82" s="233">
        <f>'Mix éner %'!AC52</f>
        <v>0.02</v>
      </c>
      <c r="AD82" s="233">
        <f>'Mix éner %'!AD52</f>
        <v>0</v>
      </c>
      <c r="AE82" s="233">
        <f>'Mix éner %'!AE52</f>
        <v>0</v>
      </c>
      <c r="AF82" s="233">
        <f>'Mix éner %'!AF52</f>
        <v>0</v>
      </c>
      <c r="AG82" s="233">
        <f>'Mix éner %'!AG52</f>
        <v>0</v>
      </c>
      <c r="AH82" s="233">
        <f>'Mix éner %'!AH52</f>
        <v>0</v>
      </c>
      <c r="AI82" s="233">
        <f>'Mix éner %'!AI52</f>
        <v>0.72999999999999998</v>
      </c>
      <c r="AJ82" s="233">
        <f>'Mix éner %'!AJ52</f>
        <v>0</v>
      </c>
      <c r="AK82" s="233">
        <f>'Mix éner %'!AK52</f>
        <v>0</v>
      </c>
      <c r="AL82" s="233">
        <f>'Mix éner %'!AL52</f>
        <v>0</v>
      </c>
      <c r="AM82" s="233">
        <f>'Mix éner %'!AM52</f>
        <v>1</v>
      </c>
    </row>
    <row r="83">
      <c r="C83" s="207" t="s">
        <v>456</v>
      </c>
      <c r="D83" s="208" t="s">
        <v>482</v>
      </c>
      <c r="E83" s="231">
        <v>0</v>
      </c>
      <c r="F83" s="231">
        <v>0</v>
      </c>
      <c r="G83" s="231">
        <v>0</v>
      </c>
      <c r="H83" s="231">
        <v>0.80000000000000004</v>
      </c>
      <c r="I83" s="230">
        <v>0</v>
      </c>
      <c r="J83" s="230">
        <v>0</v>
      </c>
      <c r="K83" s="230">
        <v>0</v>
      </c>
      <c r="L83" s="230">
        <v>0</v>
      </c>
      <c r="M83" s="230">
        <v>0</v>
      </c>
      <c r="N83" s="230">
        <v>0</v>
      </c>
      <c r="O83" s="230">
        <v>0</v>
      </c>
      <c r="P83" s="230">
        <v>0</v>
      </c>
      <c r="Q83" s="231">
        <v>0.20000000000000001</v>
      </c>
      <c r="R83" s="231">
        <v>0</v>
      </c>
      <c r="S83" s="231">
        <v>0</v>
      </c>
      <c r="T83" s="231">
        <f t="shared" si="178"/>
        <v>1</v>
      </c>
      <c r="U83" s="232"/>
      <c r="W83" s="188" t="s">
        <v>451</v>
      </c>
      <c r="X83" s="188" t="s">
        <v>482</v>
      </c>
      <c r="Y83" s="233">
        <f>'Mix éner %'!Y56</f>
        <v>0</v>
      </c>
      <c r="Z83" s="233">
        <f>'Mix éner %'!Z56</f>
        <v>0</v>
      </c>
      <c r="AA83" s="233">
        <f>'Mix éner %'!AA56</f>
        <v>0</v>
      </c>
      <c r="AB83" s="233">
        <f>'Mix éner %'!AB56</f>
        <v>0</v>
      </c>
      <c r="AC83" s="233">
        <f>'Mix éner %'!AC56</f>
        <v>0</v>
      </c>
      <c r="AD83" s="233">
        <f>'Mix éner %'!AD56</f>
        <v>0</v>
      </c>
      <c r="AE83" s="233">
        <f>'Mix éner %'!AE56</f>
        <v>0</v>
      </c>
      <c r="AF83" s="233">
        <f>'Mix éner %'!AF56</f>
        <v>0</v>
      </c>
      <c r="AG83" s="233">
        <f>'Mix éner %'!AG56</f>
        <v>0</v>
      </c>
      <c r="AH83" s="233">
        <f>'Mix éner %'!AH56</f>
        <v>0</v>
      </c>
      <c r="AI83" s="233">
        <f>'Mix éner %'!AI56</f>
        <v>0</v>
      </c>
      <c r="AJ83" s="233">
        <f>'Mix éner %'!AJ56</f>
        <v>0</v>
      </c>
      <c r="AK83" s="233">
        <f>'Mix éner %'!AK56</f>
        <v>0</v>
      </c>
      <c r="AL83" s="233">
        <f>'Mix éner %'!AL56</f>
        <v>0</v>
      </c>
      <c r="AM83" s="233">
        <f>'Mix éner %'!AM56</f>
        <v>0</v>
      </c>
    </row>
    <row r="84">
      <c r="C84" s="207" t="s">
        <v>458</v>
      </c>
      <c r="D84" s="208" t="s">
        <v>482</v>
      </c>
      <c r="E84" s="231">
        <v>0.000218316716171187</v>
      </c>
      <c r="F84" s="231">
        <v>0.000218316716171187</v>
      </c>
      <c r="G84" s="231">
        <v>0.152259671871665</v>
      </c>
      <c r="H84" s="231">
        <v>0.15712852885131401</v>
      </c>
      <c r="I84" s="231">
        <v>0.000218316716171187</v>
      </c>
      <c r="J84" s="231">
        <v>0.000218316716171187</v>
      </c>
      <c r="K84" s="231">
        <v>0.000218316716171187</v>
      </c>
      <c r="L84" s="231">
        <v>0.000218316716171187</v>
      </c>
      <c r="M84" s="231">
        <v>0.000218316716171187</v>
      </c>
      <c r="N84" s="231">
        <v>0.000218316716171187</v>
      </c>
      <c r="O84" s="231">
        <v>0.000218316716171187</v>
      </c>
      <c r="P84" s="231">
        <v>0.000218316716171187</v>
      </c>
      <c r="Q84" s="231">
        <v>0.675599380753927</v>
      </c>
      <c r="R84" s="231">
        <v>0.0145757850907516</v>
      </c>
      <c r="S84" s="231">
        <v>0.000218316716171187</v>
      </c>
      <c r="T84" s="231">
        <f t="shared" si="178"/>
        <v>1.0019648504455405</v>
      </c>
      <c r="U84" s="232"/>
      <c r="W84" s="194" t="s">
        <v>452</v>
      </c>
      <c r="X84" s="188" t="s">
        <v>482</v>
      </c>
      <c r="Y84" s="233">
        <f>'Mix éner %'!Y60</f>
        <v>0.055844909255524718</v>
      </c>
      <c r="Z84" s="233">
        <f>'Mix éner %'!Z60</f>
        <v>0.032423689380245542</v>
      </c>
      <c r="AA84" s="233">
        <f>'Mix éner %'!AA60</f>
        <v>0.011370402229773324</v>
      </c>
      <c r="AB84" s="233">
        <f>'Mix éner %'!AB60</f>
        <v>0.31143599829499524</v>
      </c>
      <c r="AC84" s="233">
        <f>'Mix éner %'!AC60</f>
        <v>0.00029856067569286875</v>
      </c>
      <c r="AD84" s="233">
        <f>'Mix éner %'!AD60</f>
        <v>0</v>
      </c>
      <c r="AE84" s="233">
        <f>'Mix éner %'!AE60</f>
        <v>0</v>
      </c>
      <c r="AF84" s="233">
        <f>'Mix éner %'!AF60</f>
        <v>0</v>
      </c>
      <c r="AG84" s="233">
        <f>'Mix éner %'!AG60</f>
        <v>0</v>
      </c>
      <c r="AH84" s="233">
        <f>'Mix éner %'!AH60</f>
        <v>0</v>
      </c>
      <c r="AI84" s="233">
        <f>'Mix éner %'!AI60</f>
        <v>0.58259551451477254</v>
      </c>
      <c r="AJ84" s="233">
        <f>'Mix éner %'!AJ60</f>
        <v>0</v>
      </c>
      <c r="AK84" s="233">
        <f>'Mix éner %'!AK60</f>
        <v>0.0060309256489959485</v>
      </c>
      <c r="AL84" s="233">
        <f>'Mix éner %'!AL60</f>
        <v>0</v>
      </c>
      <c r="AM84" s="233">
        <f>'Mix éner %'!AM60</f>
        <v>1.0000000000000002</v>
      </c>
    </row>
    <row r="85">
      <c r="C85" s="205" t="s">
        <v>23</v>
      </c>
      <c r="D85" s="205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2"/>
      <c r="W85" s="188" t="s">
        <v>454</v>
      </c>
      <c r="X85" s="188" t="s">
        <v>482</v>
      </c>
      <c r="Y85" s="233">
        <f>'Mix éner %'!Y64</f>
        <v>0.0040000000000000001</v>
      </c>
      <c r="Z85" s="233">
        <f>'Mix éner %'!Z64</f>
        <v>0</v>
      </c>
      <c r="AA85" s="233">
        <f>'Mix éner %'!AA64</f>
        <v>0.028000000000000001</v>
      </c>
      <c r="AB85" s="233">
        <f>'Mix éner %'!AB64</f>
        <v>0.25</v>
      </c>
      <c r="AC85" s="233">
        <f>'Mix éner %'!AC64</f>
        <v>0</v>
      </c>
      <c r="AD85" s="233">
        <f>'Mix éner %'!AD64</f>
        <v>0</v>
      </c>
      <c r="AE85" s="233">
        <f>'Mix éner %'!AE64</f>
        <v>0</v>
      </c>
      <c r="AF85" s="233">
        <f>'Mix éner %'!AF64</f>
        <v>0</v>
      </c>
      <c r="AG85" s="233">
        <f>'Mix éner %'!AG64</f>
        <v>0</v>
      </c>
      <c r="AH85" s="233">
        <f>'Mix éner %'!AH64</f>
        <v>0</v>
      </c>
      <c r="AI85" s="233">
        <f>'Mix éner %'!AI64</f>
        <v>0.70999999999999996</v>
      </c>
      <c r="AJ85" s="233">
        <f>'Mix éner %'!AJ64</f>
        <v>0</v>
      </c>
      <c r="AK85" s="233">
        <f>'Mix éner %'!AK64</f>
        <v>0.0080000000000000002</v>
      </c>
      <c r="AL85" s="233">
        <f>'Mix éner %'!AL64</f>
        <v>0</v>
      </c>
      <c r="AM85" s="233">
        <f>'Mix éner %'!AM64</f>
        <v>1</v>
      </c>
    </row>
    <row r="86">
      <c r="C86" s="207" t="s">
        <v>460</v>
      </c>
      <c r="D86" s="208" t="s">
        <v>482</v>
      </c>
      <c r="E86" s="231">
        <v>0</v>
      </c>
      <c r="F86" s="231">
        <v>0</v>
      </c>
      <c r="G86" s="231">
        <v>0.0050000000000000001</v>
      </c>
      <c r="H86" s="231">
        <v>0.23000000000000001</v>
      </c>
      <c r="I86" s="231">
        <v>0</v>
      </c>
      <c r="J86" s="231">
        <v>0</v>
      </c>
      <c r="K86" s="231">
        <v>0.0050000000000000001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0.76000000000000001</v>
      </c>
      <c r="R86" s="231">
        <v>0</v>
      </c>
      <c r="S86" s="231">
        <v>0</v>
      </c>
      <c r="T86" s="231">
        <f t="shared" si="178"/>
        <v>1</v>
      </c>
      <c r="U86" s="232"/>
      <c r="W86" s="188" t="s">
        <v>456</v>
      </c>
      <c r="X86" s="188" t="s">
        <v>482</v>
      </c>
      <c r="Y86" s="233">
        <f>'Mix éner %'!Y68</f>
        <v>0</v>
      </c>
      <c r="Z86" s="233">
        <f>'Mix éner %'!Z68</f>
        <v>0</v>
      </c>
      <c r="AA86" s="233">
        <f>'Mix éner %'!AA68</f>
        <v>0.024619339529365129</v>
      </c>
      <c r="AB86" s="233">
        <f>'Mix éner %'!AB68</f>
        <v>0.63990508206446284</v>
      </c>
      <c r="AC86" s="233">
        <f>'Mix éner %'!AC68</f>
        <v>0</v>
      </c>
      <c r="AD86" s="233">
        <f>'Mix éner %'!AD68</f>
        <v>0</v>
      </c>
      <c r="AE86" s="233">
        <f>'Mix éner %'!AE68</f>
        <v>0</v>
      </c>
      <c r="AF86" s="233">
        <f>'Mix éner %'!AF68</f>
        <v>0</v>
      </c>
      <c r="AG86" s="233">
        <f>'Mix éner %'!AG68</f>
        <v>0</v>
      </c>
      <c r="AH86" s="233">
        <f>'Mix éner %'!AH68</f>
        <v>0</v>
      </c>
      <c r="AI86" s="233">
        <f>'Mix éner %'!AI68</f>
        <v>0.33547557840617204</v>
      </c>
      <c r="AJ86" s="233">
        <f>'Mix éner %'!AJ68</f>
        <v>0</v>
      </c>
      <c r="AK86" s="233">
        <f>'Mix éner %'!AK68</f>
        <v>0</v>
      </c>
      <c r="AL86" s="233">
        <f>'Mix éner %'!AL68</f>
        <v>0</v>
      </c>
      <c r="AM86" s="233">
        <f>'Mix éner %'!AM68</f>
        <v>1</v>
      </c>
    </row>
    <row r="87">
      <c r="C87" s="207" t="s">
        <v>461</v>
      </c>
      <c r="D87" s="208" t="s">
        <v>482</v>
      </c>
      <c r="E87" s="231">
        <v>0</v>
      </c>
      <c r="F87" s="231">
        <v>0</v>
      </c>
      <c r="G87" s="231">
        <v>0.01</v>
      </c>
      <c r="H87" s="231">
        <v>0.52149899788672405</v>
      </c>
      <c r="I87" s="231">
        <v>0</v>
      </c>
      <c r="J87" s="231">
        <v>0</v>
      </c>
      <c r="K87" s="231">
        <v>0.030411115934223999</v>
      </c>
      <c r="L87" s="231">
        <v>0</v>
      </c>
      <c r="M87" s="231">
        <v>0</v>
      </c>
      <c r="N87" s="231">
        <v>0</v>
      </c>
      <c r="O87" s="231">
        <v>0</v>
      </c>
      <c r="P87" s="231">
        <v>0</v>
      </c>
      <c r="Q87" s="231">
        <v>0.298219525480862</v>
      </c>
      <c r="R87" s="231">
        <v>0.128122250471884</v>
      </c>
      <c r="S87" s="231">
        <v>0.011748110226307101</v>
      </c>
      <c r="T87" s="231">
        <f t="shared" si="178"/>
        <v>1.0000000000000011</v>
      </c>
      <c r="U87" s="232"/>
      <c r="W87" s="188" t="s">
        <v>458</v>
      </c>
      <c r="X87" s="188" t="s">
        <v>482</v>
      </c>
      <c r="Y87" s="233">
        <f>'Mix éner %'!Y72</f>
        <v>0.000218316716171187</v>
      </c>
      <c r="Z87" s="233">
        <f>'Mix éner %'!Z72</f>
        <v>0</v>
      </c>
      <c r="AA87" s="233">
        <f>'Mix éner %'!AA72</f>
        <v>0.17000000000000001</v>
      </c>
      <c r="AB87" s="233">
        <f>'Mix éner %'!AB72</f>
        <v>0.085000000000000006</v>
      </c>
      <c r="AC87" s="233">
        <f>'Mix éner %'!AC72</f>
        <v>0.000218316716171187</v>
      </c>
      <c r="AD87" s="233">
        <f>'Mix éner %'!AD72</f>
        <v>0.000218316716171187</v>
      </c>
      <c r="AE87" s="233">
        <f>'Mix éner %'!AE72</f>
        <v>0.000218316716171187</v>
      </c>
      <c r="AF87" s="233">
        <f>'Mix éner %'!AF72</f>
        <v>0.000218316716171187</v>
      </c>
      <c r="AG87" s="233">
        <f>'Mix éner %'!AG72</f>
        <v>0.000218316716171187</v>
      </c>
      <c r="AH87" s="233">
        <f>'Mix éner %'!AH72</f>
        <v>0.000218316716171187</v>
      </c>
      <c r="AI87" s="233">
        <f>'Mix éner %'!AI72</f>
        <v>0.72856648446944483</v>
      </c>
      <c r="AJ87" s="233">
        <f>'Mix éner %'!AJ72</f>
        <v>0</v>
      </c>
      <c r="AK87" s="233">
        <f>'Mix éner %'!AK72</f>
        <v>0.0145757850907516</v>
      </c>
      <c r="AL87" s="233">
        <f>'Mix éner %'!AL72</f>
        <v>0.000218316716171187</v>
      </c>
      <c r="AM87" s="233">
        <f>'Mix éner %'!AM72</f>
        <v>0.99988880328956586</v>
      </c>
    </row>
    <row r="88">
      <c r="C88" s="207" t="s">
        <v>463</v>
      </c>
      <c r="D88" s="208" t="s">
        <v>482</v>
      </c>
      <c r="E88" s="231">
        <v>0</v>
      </c>
      <c r="F88" s="231">
        <v>0</v>
      </c>
      <c r="G88" s="231">
        <v>0.058595894299541498</v>
      </c>
      <c r="H88" s="231">
        <v>0.39124178724877001</v>
      </c>
      <c r="I88" s="231">
        <v>0</v>
      </c>
      <c r="J88" s="231">
        <v>0</v>
      </c>
      <c r="K88" s="231">
        <v>0.017387097713031801</v>
      </c>
      <c r="L88" s="231">
        <v>0</v>
      </c>
      <c r="M88" s="231">
        <v>0</v>
      </c>
      <c r="N88" s="231">
        <v>0</v>
      </c>
      <c r="O88" s="231">
        <v>0</v>
      </c>
      <c r="P88" s="231">
        <v>0</v>
      </c>
      <c r="Q88" s="231">
        <v>0.32482105840412001</v>
      </c>
      <c r="R88" s="231">
        <v>0.20795416233453601</v>
      </c>
      <c r="S88" s="231">
        <v>0</v>
      </c>
      <c r="T88" s="231">
        <f t="shared" si="178"/>
        <v>0.99999999999999933</v>
      </c>
      <c r="U88" s="232"/>
      <c r="W88" s="185" t="s">
        <v>23</v>
      </c>
      <c r="X88" s="185"/>
      <c r="Y88" s="234"/>
      <c r="Z88" s="234"/>
      <c r="AA88" s="234"/>
      <c r="AB88" s="234"/>
      <c r="AC88" s="234"/>
      <c r="AD88" s="234"/>
      <c r="AE88" s="234"/>
      <c r="AF88" s="234"/>
      <c r="AG88" s="234"/>
      <c r="AH88" s="234"/>
      <c r="AI88" s="234"/>
      <c r="AJ88" s="234"/>
      <c r="AK88" s="234"/>
      <c r="AL88" s="234"/>
      <c r="AM88" s="234"/>
    </row>
    <row r="89">
      <c r="C89" s="205" t="s">
        <v>464</v>
      </c>
      <c r="D89" s="205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2"/>
      <c r="W89" s="188" t="s">
        <v>460</v>
      </c>
      <c r="X89" s="188" t="s">
        <v>482</v>
      </c>
      <c r="Y89" s="233">
        <f>'Mix éner %'!Y77</f>
        <v>0</v>
      </c>
      <c r="Z89" s="233">
        <f>'Mix éner %'!Z77</f>
        <v>0</v>
      </c>
      <c r="AA89" s="233">
        <f>'Mix éner %'!AA77</f>
        <v>0.0050000000000000001</v>
      </c>
      <c r="AB89" s="233">
        <f>'Mix éner %'!AB77</f>
        <v>0.93000000000000005</v>
      </c>
      <c r="AC89" s="233">
        <f>'Mix éner %'!AC77</f>
        <v>0.0050000000000000001</v>
      </c>
      <c r="AD89" s="233">
        <f>'Mix éner %'!AD77</f>
        <v>0</v>
      </c>
      <c r="AE89" s="233">
        <f>'Mix éner %'!AE77</f>
        <v>0</v>
      </c>
      <c r="AF89" s="233">
        <f>'Mix éner %'!AF77</f>
        <v>0</v>
      </c>
      <c r="AG89" s="233">
        <f>'Mix éner %'!AG77</f>
        <v>0</v>
      </c>
      <c r="AH89" s="233">
        <f>'Mix éner %'!AH77</f>
        <v>0</v>
      </c>
      <c r="AI89" s="233">
        <f>'Mix éner %'!AI77</f>
        <v>0.059999999999999998</v>
      </c>
      <c r="AJ89" s="233">
        <f>'Mix éner %'!AJ77</f>
        <v>0</v>
      </c>
      <c r="AK89" s="233">
        <f>'Mix éner %'!AK77</f>
        <v>0</v>
      </c>
      <c r="AL89" s="233">
        <f>'Mix éner %'!AL77</f>
        <v>0</v>
      </c>
      <c r="AM89" s="233">
        <f>'Mix éner %'!AM77</f>
        <v>1</v>
      </c>
    </row>
    <row r="90">
      <c r="C90" s="207" t="s">
        <v>465</v>
      </c>
      <c r="D90" s="208" t="s">
        <v>482</v>
      </c>
      <c r="E90" s="231">
        <v>0.088067512085551095</v>
      </c>
      <c r="F90" s="231">
        <v>0</v>
      </c>
      <c r="G90" s="231">
        <v>0.33500000000000002</v>
      </c>
      <c r="H90" s="231">
        <v>0</v>
      </c>
      <c r="I90" s="231">
        <v>0</v>
      </c>
      <c r="J90" s="231">
        <v>0</v>
      </c>
      <c r="K90" s="231">
        <v>0.52693248791444902</v>
      </c>
      <c r="L90" s="231">
        <v>0</v>
      </c>
      <c r="M90" s="231">
        <v>0</v>
      </c>
      <c r="N90" s="231">
        <v>0</v>
      </c>
      <c r="O90" s="231">
        <v>0</v>
      </c>
      <c r="P90" s="231">
        <v>0</v>
      </c>
      <c r="Q90" s="231">
        <v>0.029999999999999999</v>
      </c>
      <c r="R90" s="231">
        <v>0</v>
      </c>
      <c r="S90" s="231">
        <v>0</v>
      </c>
      <c r="T90" s="231">
        <f t="shared" si="178"/>
        <v>0.9800000000000002</v>
      </c>
      <c r="U90" s="232"/>
      <c r="W90" s="188" t="s">
        <v>461</v>
      </c>
      <c r="X90" s="188" t="s">
        <v>482</v>
      </c>
      <c r="Y90" s="233">
        <f>'Mix éner %'!Y81</f>
        <v>0</v>
      </c>
      <c r="Z90" s="233">
        <f>'Mix éner %'!Z81</f>
        <v>0</v>
      </c>
      <c r="AA90" s="233">
        <f>'Mix éner %'!AA81</f>
        <v>0.01</v>
      </c>
      <c r="AB90" s="233">
        <f>'Mix éner %'!AB81</f>
        <v>0.64000000000000001</v>
      </c>
      <c r="AC90" s="233">
        <f>'Mix éner %'!AC81</f>
        <v>0.050000000000000003</v>
      </c>
      <c r="AD90" s="233">
        <f>'Mix éner %'!AD81</f>
        <v>0</v>
      </c>
      <c r="AE90" s="233">
        <f>'Mix éner %'!AE81</f>
        <v>0</v>
      </c>
      <c r="AF90" s="233">
        <f>'Mix éner %'!AF81</f>
        <v>0</v>
      </c>
      <c r="AG90" s="233">
        <f>'Mix éner %'!AG81</f>
        <v>0</v>
      </c>
      <c r="AH90" s="233">
        <f>'Mix éner %'!AH81</f>
        <v>0</v>
      </c>
      <c r="AI90" s="233">
        <f>'Mix éner %'!AI81</f>
        <v>0.19999999999999996</v>
      </c>
      <c r="AJ90" s="233">
        <f>'Mix éner %'!AJ81</f>
        <v>0</v>
      </c>
      <c r="AK90" s="233">
        <f>'Mix éner %'!AK81</f>
        <v>0.089999999999999997</v>
      </c>
      <c r="AL90" s="233">
        <f>'Mix éner %'!AL81</f>
        <v>0.01</v>
      </c>
      <c r="AM90" s="233">
        <f>'Mix éner %'!AM81</f>
        <v>1</v>
      </c>
    </row>
    <row r="91">
      <c r="C91" s="207" t="s">
        <v>466</v>
      </c>
      <c r="D91" s="208" t="s">
        <v>482</v>
      </c>
      <c r="E91" s="231">
        <v>0</v>
      </c>
      <c r="F91" s="231">
        <v>0</v>
      </c>
      <c r="G91" s="239">
        <v>0.02</v>
      </c>
      <c r="H91" s="239">
        <v>0.67000000000000004</v>
      </c>
      <c r="I91" s="231">
        <v>0</v>
      </c>
      <c r="J91" s="231">
        <v>0</v>
      </c>
      <c r="K91" s="231">
        <v>0</v>
      </c>
      <c r="L91" s="231">
        <v>0</v>
      </c>
      <c r="M91" s="231">
        <v>0</v>
      </c>
      <c r="N91" s="231">
        <v>0</v>
      </c>
      <c r="O91" s="231">
        <v>0</v>
      </c>
      <c r="P91" s="231">
        <v>0</v>
      </c>
      <c r="Q91" s="239">
        <v>0.31</v>
      </c>
      <c r="R91" s="231">
        <v>0</v>
      </c>
      <c r="S91" s="231">
        <v>0</v>
      </c>
      <c r="T91" s="231">
        <f t="shared" si="178"/>
        <v>1</v>
      </c>
      <c r="U91" s="232"/>
      <c r="W91" s="188" t="s">
        <v>463</v>
      </c>
      <c r="X91" s="188" t="s">
        <v>482</v>
      </c>
      <c r="Y91" s="233">
        <f>'Mix éner %'!Y85</f>
        <v>0</v>
      </c>
      <c r="Z91" s="233">
        <f>'Mix éner %'!Z85</f>
        <v>0</v>
      </c>
      <c r="AA91" s="233">
        <f>'Mix éner %'!AA85</f>
        <v>0.089999999999999997</v>
      </c>
      <c r="AB91" s="233">
        <f>'Mix éner %'!AB85</f>
        <v>0.068343169023411296</v>
      </c>
      <c r="AC91" s="233">
        <f>'Mix éner %'!AC85</f>
        <v>0.047387097713031803</v>
      </c>
      <c r="AD91" s="233">
        <f>'Mix éner %'!AD85</f>
        <v>0</v>
      </c>
      <c r="AE91" s="233">
        <f>'Mix éner %'!AE85</f>
        <v>0</v>
      </c>
      <c r="AF91" s="233">
        <f>'Mix éner %'!AF85</f>
        <v>0</v>
      </c>
      <c r="AG91" s="233">
        <f>'Mix éner %'!AG85</f>
        <v>0</v>
      </c>
      <c r="AH91" s="233">
        <f>'Mix éner %'!AH85</f>
        <v>0</v>
      </c>
      <c r="AI91" s="233">
        <f>'Mix éner %'!AI85</f>
        <v>0.54416611268569381</v>
      </c>
      <c r="AJ91" s="233">
        <f>'Mix éner %'!AJ85</f>
        <v>0</v>
      </c>
      <c r="AK91" s="233">
        <f>'Mix éner %'!AK85</f>
        <v>0.25010362057786306</v>
      </c>
      <c r="AL91" s="233">
        <f>'Mix éner %'!AL85</f>
        <v>0</v>
      </c>
      <c r="AM91" s="233">
        <f>'Mix éner %'!AM85</f>
        <v>1</v>
      </c>
    </row>
    <row r="92">
      <c r="C92" s="207" t="s">
        <v>467</v>
      </c>
      <c r="D92" s="208" t="s">
        <v>482</v>
      </c>
      <c r="E92" s="231">
        <f>4.58828948153757%+2.6%</f>
        <v>0.071882894815375714</v>
      </c>
      <c r="F92" s="231">
        <v>0</v>
      </c>
      <c r="G92" s="231">
        <v>0.0201689588256188</v>
      </c>
      <c r="H92" s="231">
        <v>0.58907901911512295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0</v>
      </c>
      <c r="O92" s="231">
        <v>0</v>
      </c>
      <c r="P92" s="231">
        <v>0</v>
      </c>
      <c r="Q92" s="231">
        <v>0.318835432404667</v>
      </c>
      <c r="R92" s="231">
        <v>0</v>
      </c>
      <c r="S92" s="231">
        <v>0</v>
      </c>
      <c r="T92" s="231">
        <f t="shared" si="178"/>
        <v>0.99996630516078455</v>
      </c>
      <c r="U92" s="232"/>
      <c r="W92" s="185" t="s">
        <v>464</v>
      </c>
      <c r="X92" s="185"/>
      <c r="Y92" s="234"/>
      <c r="Z92" s="234"/>
      <c r="AA92" s="234"/>
      <c r="AB92" s="234"/>
      <c r="AC92" s="234"/>
      <c r="AD92" s="234"/>
      <c r="AE92" s="234"/>
      <c r="AF92" s="234"/>
      <c r="AG92" s="234"/>
      <c r="AH92" s="234"/>
      <c r="AI92" s="234"/>
      <c r="AJ92" s="234"/>
      <c r="AK92" s="234"/>
      <c r="AL92" s="234"/>
      <c r="AM92" s="234"/>
    </row>
    <row r="93">
      <c r="C93" s="205" t="s">
        <v>468</v>
      </c>
      <c r="D93" s="205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2"/>
      <c r="W93" s="188" t="s">
        <v>465</v>
      </c>
      <c r="X93" s="188" t="s">
        <v>482</v>
      </c>
      <c r="Y93" s="233">
        <f>'Mix éner %'!Y90</f>
        <v>0.088067512085551095</v>
      </c>
      <c r="Z93" s="233">
        <f>'Mix éner %'!Z90</f>
        <v>0</v>
      </c>
      <c r="AA93" s="233">
        <f>'Mix éner %'!AA90</f>
        <v>0.29694969587529613</v>
      </c>
      <c r="AB93" s="233">
        <f>'Mix éner %'!AB90</f>
        <v>0</v>
      </c>
      <c r="AC93" s="233">
        <f>'Mix éner %'!AC90</f>
        <v>0.21000000000000002</v>
      </c>
      <c r="AD93" s="233">
        <f>'Mix éner %'!AD90</f>
        <v>0.27000000000000002</v>
      </c>
      <c r="AE93" s="233">
        <f>'Mix éner %'!AE90</f>
        <v>0</v>
      </c>
      <c r="AF93" s="233">
        <f>'Mix éner %'!AF90</f>
        <v>0</v>
      </c>
      <c r="AG93" s="233">
        <f>'Mix éner %'!AG90</f>
        <v>0</v>
      </c>
      <c r="AH93" s="233">
        <f>'Mix éner %'!AH90</f>
        <v>0</v>
      </c>
      <c r="AI93" s="233">
        <f>'Mix éner %'!AI90</f>
        <v>0.13498279203915275</v>
      </c>
      <c r="AJ93" s="233">
        <f>'Mix éner %'!AJ90</f>
        <v>0</v>
      </c>
      <c r="AK93" s="233">
        <f>'Mix éner %'!AK90</f>
        <v>0</v>
      </c>
      <c r="AL93" s="233">
        <f>'Mix éner %'!AL90</f>
        <v>0</v>
      </c>
      <c r="AM93" s="233">
        <f>'Mix éner %'!AM90</f>
        <v>1</v>
      </c>
    </row>
    <row r="94">
      <c r="C94" s="207" t="s">
        <v>469</v>
      </c>
      <c r="D94" s="208" t="s">
        <v>482</v>
      </c>
      <c r="E94" s="231">
        <v>0</v>
      </c>
      <c r="F94" s="231">
        <v>0</v>
      </c>
      <c r="G94" s="231">
        <v>0.044999999999999998</v>
      </c>
      <c r="H94" s="231">
        <v>0.766758764368625</v>
      </c>
      <c r="I94" s="231">
        <v>0</v>
      </c>
      <c r="J94" s="231">
        <v>0</v>
      </c>
      <c r="K94" s="231">
        <v>0</v>
      </c>
      <c r="L94" s="231">
        <v>0</v>
      </c>
      <c r="M94" s="231">
        <v>0</v>
      </c>
      <c r="N94" s="231">
        <v>0</v>
      </c>
      <c r="O94" s="231">
        <v>0</v>
      </c>
      <c r="P94" s="231">
        <v>0</v>
      </c>
      <c r="Q94" s="231">
        <v>0.17477855797826</v>
      </c>
      <c r="R94" s="231">
        <v>0.0094626776531150699</v>
      </c>
      <c r="S94" s="231">
        <v>0</v>
      </c>
      <c r="T94" s="231">
        <f t="shared" si="178"/>
        <v>0.99600000000000011</v>
      </c>
      <c r="U94" s="232"/>
      <c r="W94" s="188" t="s">
        <v>466</v>
      </c>
      <c r="X94" s="188" t="s">
        <v>482</v>
      </c>
      <c r="Y94" s="233">
        <f>'Mix éner %'!Y94</f>
        <v>0</v>
      </c>
      <c r="Z94" s="233">
        <f>'Mix éner %'!Z94</f>
        <v>0</v>
      </c>
      <c r="AA94" s="233">
        <f>'Mix éner %'!AA94</f>
        <v>0.02</v>
      </c>
      <c r="AB94" s="233">
        <f>'Mix éner %'!AB94</f>
        <v>0.67000000000000004</v>
      </c>
      <c r="AC94" s="233">
        <f>'Mix éner %'!AC94</f>
        <v>0</v>
      </c>
      <c r="AD94" s="233">
        <f>'Mix éner %'!AD94</f>
        <v>0</v>
      </c>
      <c r="AE94" s="233">
        <f>'Mix éner %'!AE94</f>
        <v>0</v>
      </c>
      <c r="AF94" s="233">
        <f>'Mix éner %'!AF94</f>
        <v>0</v>
      </c>
      <c r="AG94" s="233">
        <f>'Mix éner %'!AG94</f>
        <v>0</v>
      </c>
      <c r="AH94" s="233">
        <f>'Mix éner %'!AH94</f>
        <v>0</v>
      </c>
      <c r="AI94" s="233">
        <f>'Mix éner %'!AI94</f>
        <v>0.31</v>
      </c>
      <c r="AJ94" s="233">
        <f>'Mix éner %'!AJ94</f>
        <v>0</v>
      </c>
      <c r="AK94" s="233">
        <f>'Mix éner %'!AK94</f>
        <v>0</v>
      </c>
      <c r="AL94" s="233">
        <f>'Mix éner %'!AL94</f>
        <v>0</v>
      </c>
      <c r="AM94" s="233">
        <f>'Mix éner %'!AM94</f>
        <v>1</v>
      </c>
    </row>
    <row r="95">
      <c r="C95" s="207" t="s">
        <v>470</v>
      </c>
      <c r="D95" s="208" t="s">
        <v>482</v>
      </c>
      <c r="E95" s="231">
        <v>0</v>
      </c>
      <c r="F95" s="231">
        <v>0</v>
      </c>
      <c r="G95" s="231">
        <v>0</v>
      </c>
      <c r="H95" s="231">
        <v>0.38</v>
      </c>
      <c r="I95" s="231">
        <v>0</v>
      </c>
      <c r="J95" s="231">
        <v>0</v>
      </c>
      <c r="K95" s="231">
        <v>0.10000000000000001</v>
      </c>
      <c r="L95" s="231">
        <v>0</v>
      </c>
      <c r="M95" s="231">
        <v>0</v>
      </c>
      <c r="N95" s="231">
        <v>0</v>
      </c>
      <c r="O95" s="231">
        <v>0</v>
      </c>
      <c r="P95" s="231">
        <v>0</v>
      </c>
      <c r="Q95" s="231">
        <v>0.464176900319556</v>
      </c>
      <c r="R95" s="231">
        <v>0.055823099680444598</v>
      </c>
      <c r="S95" s="231">
        <v>0</v>
      </c>
      <c r="T95" s="231">
        <f t="shared" si="178"/>
        <v>1.0000000000000004</v>
      </c>
      <c r="U95" s="232"/>
      <c r="W95" s="188" t="s">
        <v>467</v>
      </c>
      <c r="X95" s="188" t="s">
        <v>482</v>
      </c>
      <c r="Y95" s="233">
        <f>'Mix éner %'!Y98</f>
        <v>0</v>
      </c>
      <c r="Z95" s="233">
        <f>'Mix éner %'!Z98</f>
        <v>0</v>
      </c>
      <c r="AA95" s="233">
        <f>'Mix éner %'!AA98</f>
        <v>0.01</v>
      </c>
      <c r="AB95" s="233">
        <f>'Mix éner %'!AB98</f>
        <v>0.58999999999999997</v>
      </c>
      <c r="AC95" s="233">
        <f>'Mix éner %'!AC98</f>
        <v>0.050000000000000003</v>
      </c>
      <c r="AD95" s="233">
        <f>'Mix éner %'!AD98</f>
        <v>0</v>
      </c>
      <c r="AE95" s="233">
        <f>'Mix éner %'!AE98</f>
        <v>0</v>
      </c>
      <c r="AF95" s="233">
        <f>'Mix éner %'!AF98</f>
        <v>0</v>
      </c>
      <c r="AG95" s="233">
        <f>'Mix éner %'!AG98</f>
        <v>0</v>
      </c>
      <c r="AH95" s="233">
        <f>'Mix éner %'!AH98</f>
        <v>0</v>
      </c>
      <c r="AI95" s="233">
        <f>'Mix éner %'!AI98</f>
        <v>0.34999999999999998</v>
      </c>
      <c r="AJ95" s="233">
        <f>'Mix éner %'!AJ98</f>
        <v>0</v>
      </c>
      <c r="AK95" s="233">
        <f>'Mix éner %'!AK98</f>
        <v>0</v>
      </c>
      <c r="AL95" s="233">
        <f>'Mix éner %'!AL98</f>
        <v>0</v>
      </c>
      <c r="AM95" s="233">
        <f>'Mix éner %'!AM98</f>
        <v>1</v>
      </c>
    </row>
    <row r="96">
      <c r="C96" s="205" t="s">
        <v>471</v>
      </c>
      <c r="D96" s="205"/>
      <c r="E96" s="231">
        <v>0.0093145620022753207</v>
      </c>
      <c r="F96" s="231">
        <v>0</v>
      </c>
      <c r="G96" s="231">
        <v>0.013414705603275699</v>
      </c>
      <c r="H96" s="231">
        <v>0.32181179367236101</v>
      </c>
      <c r="I96" s="231">
        <v>0</v>
      </c>
      <c r="J96" s="231">
        <v>0</v>
      </c>
      <c r="K96" s="243">
        <v>0.029999999999999999</v>
      </c>
      <c r="L96" s="231">
        <v>0</v>
      </c>
      <c r="M96" s="231">
        <v>0</v>
      </c>
      <c r="N96" s="231">
        <v>0</v>
      </c>
      <c r="O96" s="231">
        <v>0</v>
      </c>
      <c r="P96" s="231">
        <v>0</v>
      </c>
      <c r="Q96" s="243">
        <v>0.62419922022113405</v>
      </c>
      <c r="R96" s="231">
        <v>0</v>
      </c>
      <c r="S96" s="231">
        <v>0</v>
      </c>
      <c r="T96" s="231">
        <f t="shared" si="178"/>
        <v>0.99874028149904603</v>
      </c>
      <c r="U96" s="232"/>
      <c r="W96" s="185" t="s">
        <v>468</v>
      </c>
      <c r="X96" s="185"/>
      <c r="Y96" s="234"/>
      <c r="Z96" s="234"/>
      <c r="AA96" s="234"/>
      <c r="AB96" s="234"/>
      <c r="AC96" s="234"/>
      <c r="AD96" s="234"/>
      <c r="AE96" s="234"/>
      <c r="AF96" s="234"/>
      <c r="AG96" s="234"/>
      <c r="AH96" s="234"/>
      <c r="AI96" s="234"/>
      <c r="AJ96" s="234"/>
      <c r="AK96" s="234"/>
      <c r="AL96" s="234"/>
      <c r="AM96" s="234"/>
    </row>
    <row r="97">
      <c r="C97" s="240" t="s">
        <v>29</v>
      </c>
      <c r="D97" s="240"/>
      <c r="E97" s="241">
        <v>0</v>
      </c>
      <c r="F97" s="241">
        <v>0</v>
      </c>
      <c r="G97" s="231">
        <v>0.60548661005878501</v>
      </c>
      <c r="H97" s="231">
        <v>0.12495101241018899</v>
      </c>
      <c r="I97" s="231">
        <v>0.00026631725060820001</v>
      </c>
      <c r="J97" s="231">
        <v>0.00026631725060820001</v>
      </c>
      <c r="K97" s="231">
        <v>0.0374265186152841</v>
      </c>
      <c r="L97" s="231">
        <v>0</v>
      </c>
      <c r="M97" s="231">
        <v>0</v>
      </c>
      <c r="N97" s="231">
        <v>0</v>
      </c>
      <c r="O97" s="231">
        <v>0</v>
      </c>
      <c r="P97" s="231">
        <v>0</v>
      </c>
      <c r="Q97" s="231">
        <v>0.23213585891574101</v>
      </c>
      <c r="R97" s="231">
        <v>0.0012597185009542401</v>
      </c>
      <c r="S97" s="231">
        <v>0</v>
      </c>
      <c r="T97" s="231">
        <f t="shared" si="178"/>
        <v>1.0017923530021697</v>
      </c>
      <c r="U97" s="232"/>
      <c r="W97" s="188" t="s">
        <v>469</v>
      </c>
      <c r="X97" s="188" t="s">
        <v>482</v>
      </c>
      <c r="Y97" s="233">
        <f>'Mix éner %'!Y103</f>
        <v>0</v>
      </c>
      <c r="Z97" s="233">
        <f>'Mix éner %'!Z103</f>
        <v>0</v>
      </c>
      <c r="AA97" s="233">
        <f>'Mix éner %'!AA103</f>
        <v>0.02</v>
      </c>
      <c r="AB97" s="233">
        <f>'Mix éner %'!AB103</f>
        <v>0.746</v>
      </c>
      <c r="AC97" s="233">
        <f>'Mix éner %'!AC103</f>
        <v>0.050000000000000003</v>
      </c>
      <c r="AD97" s="233">
        <f>'Mix éner %'!AD103</f>
        <v>0</v>
      </c>
      <c r="AE97" s="233">
        <f>'Mix éner %'!AE103</f>
        <v>0</v>
      </c>
      <c r="AF97" s="233">
        <f>'Mix éner %'!AF103</f>
        <v>0</v>
      </c>
      <c r="AG97" s="233">
        <f>'Mix éner %'!AG103</f>
        <v>0</v>
      </c>
      <c r="AH97" s="233">
        <f>'Mix éner %'!AH103</f>
        <v>0</v>
      </c>
      <c r="AI97" s="233">
        <f>'Mix éner %'!AI103</f>
        <v>0.17477855797826</v>
      </c>
      <c r="AJ97" s="233">
        <f>'Mix éner %'!AJ103</f>
        <v>0</v>
      </c>
      <c r="AK97" s="233">
        <f>'Mix éner %'!AK103</f>
        <v>0.0094626776531150699</v>
      </c>
      <c r="AL97" s="233">
        <f>'Mix éner %'!AL103</f>
        <v>0</v>
      </c>
      <c r="AM97" s="233">
        <f>'Mix éner %'!AM103</f>
        <v>1.0002412356313752</v>
      </c>
    </row>
    <row r="98">
      <c r="C98" s="205" t="s">
        <v>472</v>
      </c>
      <c r="D98" s="205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32"/>
      <c r="W98" s="188" t="s">
        <v>470</v>
      </c>
      <c r="X98" s="188" t="s">
        <v>482</v>
      </c>
      <c r="Y98" s="233">
        <f>'Mix éner %'!Y107</f>
        <v>0</v>
      </c>
      <c r="Z98" s="233">
        <f>'Mix éner %'!Z107</f>
        <v>0</v>
      </c>
      <c r="AA98" s="233">
        <f>'Mix éner %'!AA107</f>
        <v>0</v>
      </c>
      <c r="AB98" s="233">
        <f>'Mix éner %'!AB107</f>
        <v>0.38</v>
      </c>
      <c r="AC98" s="233">
        <f>'Mix éner %'!AC107</f>
        <v>0.080000000000000002</v>
      </c>
      <c r="AD98" s="233">
        <f>'Mix éner %'!AD107</f>
        <v>0</v>
      </c>
      <c r="AE98" s="233">
        <f>'Mix éner %'!AE107</f>
        <v>0</v>
      </c>
      <c r="AF98" s="233">
        <f>'Mix éner %'!AF107</f>
        <v>0</v>
      </c>
      <c r="AG98" s="233">
        <f>'Mix éner %'!AG107</f>
        <v>0</v>
      </c>
      <c r="AH98" s="233">
        <f>'Mix éner %'!AH107</f>
        <v>0</v>
      </c>
      <c r="AI98" s="233">
        <f>'Mix éner %'!AI107</f>
        <v>0.48399999999999999</v>
      </c>
      <c r="AJ98" s="233">
        <f>'Mix éner %'!AJ107</f>
        <v>0</v>
      </c>
      <c r="AK98" s="233">
        <f>'Mix éner %'!AK107</f>
        <v>0.055823099680444598</v>
      </c>
      <c r="AL98" s="233">
        <f>'Mix éner %'!AL107</f>
        <v>0</v>
      </c>
      <c r="AM98" s="233">
        <f>'Mix éner %'!AM107</f>
        <v>0.99982309968044458</v>
      </c>
    </row>
    <row r="99">
      <c r="C99" s="207" t="s">
        <v>473</v>
      </c>
      <c r="D99" s="208" t="s">
        <v>482</v>
      </c>
      <c r="E99" s="231">
        <v>0.00054480176252742795</v>
      </c>
      <c r="F99" s="231">
        <v>0</v>
      </c>
      <c r="G99" s="231">
        <v>0</v>
      </c>
      <c r="H99" s="231">
        <v>0.24689652976749499</v>
      </c>
      <c r="I99" s="231">
        <v>0</v>
      </c>
      <c r="J99" s="231">
        <v>0</v>
      </c>
      <c r="K99" s="231">
        <v>0.20917177635277701</v>
      </c>
      <c r="L99" s="231">
        <v>0</v>
      </c>
      <c r="M99" s="231">
        <v>0</v>
      </c>
      <c r="N99" s="231">
        <v>0</v>
      </c>
      <c r="O99" s="231">
        <v>0</v>
      </c>
      <c r="P99" s="231">
        <v>0</v>
      </c>
      <c r="Q99" s="231">
        <v>0.37929983154586699</v>
      </c>
      <c r="R99" s="231">
        <v>0.16408706057133399</v>
      </c>
      <c r="S99" s="231">
        <v>0</v>
      </c>
      <c r="T99" s="231">
        <f t="shared" si="178"/>
        <v>1.0000000000000004</v>
      </c>
      <c r="U99" s="232"/>
      <c r="W99" s="185" t="s">
        <v>471</v>
      </c>
      <c r="X99" s="185"/>
      <c r="Y99" s="237">
        <f>'Mix éner %'!Y111</f>
        <v>0</v>
      </c>
      <c r="Z99" s="237">
        <f>'Mix éner %'!Z111</f>
        <v>0</v>
      </c>
      <c r="AA99" s="237">
        <f>'Mix éner %'!AA111</f>
        <v>0.013414705603275699</v>
      </c>
      <c r="AB99" s="237">
        <f>'Mix éner %'!AB111</f>
        <v>0.33181179367236102</v>
      </c>
      <c r="AC99" s="237">
        <f>'Mix éner %'!AC111</f>
        <v>0.029999999999999999</v>
      </c>
      <c r="AD99" s="237">
        <f>'Mix éner %'!AD111</f>
        <v>0</v>
      </c>
      <c r="AE99" s="237">
        <f>'Mix éner %'!AE111</f>
        <v>0</v>
      </c>
      <c r="AF99" s="237">
        <f>'Mix éner %'!AF111</f>
        <v>0</v>
      </c>
      <c r="AG99" s="237">
        <f>'Mix éner %'!AG111</f>
        <v>0</v>
      </c>
      <c r="AH99" s="237">
        <f>'Mix éner %'!AH111</f>
        <v>0</v>
      </c>
      <c r="AI99" s="237">
        <f>'Mix éner %'!AI111</f>
        <v>0.62419922022113405</v>
      </c>
      <c r="AJ99" s="237">
        <f>'Mix éner %'!AJ111</f>
        <v>0</v>
      </c>
      <c r="AK99" s="237">
        <f>'Mix éner %'!AK111</f>
        <v>0.001</v>
      </c>
      <c r="AL99" s="237">
        <f>'Mix éner %'!AL111</f>
        <v>0</v>
      </c>
      <c r="AM99" s="237">
        <f>'Mix éner %'!AM111</f>
        <v>1.0004257194967707</v>
      </c>
    </row>
    <row r="100">
      <c r="C100" s="207" t="s">
        <v>474</v>
      </c>
      <c r="D100" s="208" t="s">
        <v>482</v>
      </c>
      <c r="E100" s="231">
        <v>0</v>
      </c>
      <c r="F100" s="231">
        <v>0</v>
      </c>
      <c r="G100" s="231">
        <v>0.040000000000000001</v>
      </c>
      <c r="H100" s="231">
        <v>0.31047389168022199</v>
      </c>
      <c r="I100" s="231">
        <v>0</v>
      </c>
      <c r="J100" s="231">
        <v>0</v>
      </c>
      <c r="K100" s="231">
        <v>0.059999999999999998</v>
      </c>
      <c r="L100" s="231">
        <v>0</v>
      </c>
      <c r="M100" s="231">
        <v>0</v>
      </c>
      <c r="N100" s="231">
        <v>0</v>
      </c>
      <c r="O100" s="231">
        <v>0</v>
      </c>
      <c r="P100" s="231">
        <v>0</v>
      </c>
      <c r="Q100" s="231">
        <v>0.56999999999999995</v>
      </c>
      <c r="R100" s="231">
        <v>0.023504639737751201</v>
      </c>
      <c r="S100" s="231">
        <v>0</v>
      </c>
      <c r="T100" s="231">
        <f>SUM(E100:S100)</f>
        <v>1.0039785314179732</v>
      </c>
      <c r="U100" s="232"/>
      <c r="W100" s="185" t="s">
        <v>29</v>
      </c>
      <c r="X100" s="185"/>
      <c r="Y100" s="237">
        <f>'Mix éner %'!Y115</f>
        <v>0</v>
      </c>
      <c r="Z100" s="237">
        <f>'Mix éner %'!Z115</f>
        <v>0</v>
      </c>
      <c r="AA100" s="237">
        <f>'Mix éner %'!AA115</f>
        <v>0.60548661005878501</v>
      </c>
      <c r="AB100" s="237">
        <f>'Mix éner %'!AB115</f>
        <v>0.12495101241018899</v>
      </c>
      <c r="AC100" s="237">
        <f>'Mix éner %'!AC115</f>
        <v>0.0374265186152841</v>
      </c>
      <c r="AD100" s="237">
        <f>'Mix éner %'!AD115</f>
        <v>0</v>
      </c>
      <c r="AE100" s="237">
        <f>'Mix éner %'!AE115</f>
        <v>0</v>
      </c>
      <c r="AF100" s="237">
        <f>'Mix éner %'!AF115</f>
        <v>0</v>
      </c>
      <c r="AG100" s="237">
        <f>'Mix éner %'!AG115</f>
        <v>0</v>
      </c>
      <c r="AH100" s="237">
        <f>'Mix éner %'!AH115</f>
        <v>0</v>
      </c>
      <c r="AI100" s="237">
        <f>'Mix éner %'!AI115</f>
        <v>0.23213585891574101</v>
      </c>
      <c r="AJ100" s="237">
        <f>'Mix éner %'!AJ115</f>
        <v>0</v>
      </c>
      <c r="AK100" s="237">
        <f>'Mix éner %'!AK115</f>
        <v>0</v>
      </c>
      <c r="AL100" s="237">
        <f>'Mix éner %'!AL115</f>
        <v>0</v>
      </c>
      <c r="AM100" s="237">
        <f>'Mix éner %'!AM115</f>
        <v>0.99999999999999911</v>
      </c>
    </row>
    <row r="101">
      <c r="W101" s="185" t="s">
        <v>472</v>
      </c>
      <c r="X101" s="185"/>
      <c r="Y101" s="234"/>
      <c r="Z101" s="234"/>
      <c r="AA101" s="234"/>
      <c r="AB101" s="234"/>
      <c r="AC101" s="234"/>
      <c r="AD101" s="234"/>
      <c r="AE101" s="234"/>
      <c r="AF101" s="234"/>
      <c r="AG101" s="234"/>
      <c r="AH101" s="234"/>
      <c r="AI101" s="234"/>
      <c r="AJ101" s="234"/>
      <c r="AK101" s="234"/>
      <c r="AL101" s="234"/>
      <c r="AM101" s="234"/>
    </row>
    <row r="102">
      <c r="W102" s="188" t="s">
        <v>473</v>
      </c>
      <c r="X102" s="188" t="s">
        <v>482</v>
      </c>
      <c r="Y102" s="233">
        <f>'Mix éner %'!Y120</f>
        <v>0</v>
      </c>
      <c r="Z102" s="233">
        <f>'Mix éner %'!Z120</f>
        <v>0</v>
      </c>
      <c r="AA102" s="233">
        <f>'Mix éner %'!AA120</f>
        <v>0</v>
      </c>
      <c r="AB102" s="233">
        <f>'Mix éner %'!AB120</f>
        <v>0.25</v>
      </c>
      <c r="AC102" s="233">
        <f>'Mix éner %'!AC120</f>
        <v>0.28999999999999998</v>
      </c>
      <c r="AD102" s="233">
        <f>'Mix éner %'!AD120</f>
        <v>0.040000000000000001</v>
      </c>
      <c r="AE102" s="233">
        <f>'Mix éner %'!AE120</f>
        <v>0</v>
      </c>
      <c r="AF102" s="233">
        <f>'Mix éner %'!AF120</f>
        <v>0</v>
      </c>
      <c r="AG102" s="233">
        <f>'Mix éner %'!AG120</f>
        <v>0</v>
      </c>
      <c r="AH102" s="233">
        <f>'Mix éner %'!AH120</f>
        <v>0</v>
      </c>
      <c r="AI102" s="233">
        <f>'Mix éner %'!AI120</f>
        <v>0.28999999999999992</v>
      </c>
      <c r="AJ102" s="233">
        <f>'Mix éner %'!AJ120</f>
        <v>0</v>
      </c>
      <c r="AK102" s="233">
        <f>'Mix éner %'!AK120</f>
        <v>0.13</v>
      </c>
      <c r="AL102" s="233">
        <f>'Mix éner %'!AL120</f>
        <v>0</v>
      </c>
      <c r="AM102" s="233">
        <f>'Mix éner %'!AM120</f>
        <v>1</v>
      </c>
    </row>
    <row r="103">
      <c r="W103" s="188" t="s">
        <v>474</v>
      </c>
      <c r="X103" s="188" t="s">
        <v>482</v>
      </c>
      <c r="Y103" s="233">
        <f>'Mix éner %'!Y124</f>
        <v>0</v>
      </c>
      <c r="Z103" s="233">
        <f>'Mix éner %'!Z124</f>
        <v>0</v>
      </c>
      <c r="AA103" s="233">
        <f>'Mix éner %'!AA124</f>
        <v>0.035999999999999997</v>
      </c>
      <c r="AB103" s="233">
        <f>'Mix éner %'!AB124</f>
        <v>0.31047389168022199</v>
      </c>
      <c r="AC103" s="233">
        <f>'Mix éner %'!AC124</f>
        <v>0.059999999999999998</v>
      </c>
      <c r="AD103" s="233">
        <f>'Mix éner %'!AD124</f>
        <v>0</v>
      </c>
      <c r="AE103" s="233">
        <f>'Mix éner %'!AE124</f>
        <v>0</v>
      </c>
      <c r="AF103" s="233">
        <f>'Mix éner %'!AF124</f>
        <v>0</v>
      </c>
      <c r="AG103" s="233">
        <f>'Mix éner %'!AG124</f>
        <v>0</v>
      </c>
      <c r="AH103" s="233">
        <f>'Mix éner %'!AH124</f>
        <v>0</v>
      </c>
      <c r="AI103" s="233">
        <f>'Mix éner %'!AI124</f>
        <v>0.56999999999999995</v>
      </c>
      <c r="AJ103" s="233">
        <f>'Mix éner %'!AJ124</f>
        <v>0</v>
      </c>
      <c r="AK103" s="233">
        <f>'Mix éner %'!AK124</f>
        <v>0.023504639737751201</v>
      </c>
      <c r="AL103" s="233">
        <f>'Mix éner %'!AL124</f>
        <v>0</v>
      </c>
      <c r="AM103" s="233">
        <f>'Mix éner %'!AM124</f>
        <v>0.9999785314179731</v>
      </c>
    </row>
  </sheetData>
  <mergeCells count="138">
    <mergeCell ref="C96:D96"/>
    <mergeCell ref="W96:X96"/>
    <mergeCell ref="Y96:AM96"/>
    <mergeCell ref="C97:D97"/>
    <mergeCell ref="C98:D98"/>
    <mergeCell ref="W99:X99"/>
    <mergeCell ref="W100:X100"/>
    <mergeCell ref="W101:X101"/>
    <mergeCell ref="Y101:AM101"/>
    <mergeCell ref="W80:X80"/>
    <mergeCell ref="Y80:AM80"/>
    <mergeCell ref="C85:D85"/>
    <mergeCell ref="W88:X88"/>
    <mergeCell ref="Y88:AM88"/>
    <mergeCell ref="C89:D89"/>
    <mergeCell ref="W92:X92"/>
    <mergeCell ref="Y92:AM92"/>
    <mergeCell ref="C93:D93"/>
    <mergeCell ref="W77:AM77"/>
    <mergeCell ref="C78:D78"/>
    <mergeCell ref="W78:X79"/>
    <mergeCell ref="Y78:Y79"/>
    <mergeCell ref="AA78:AA79"/>
    <mergeCell ref="AB78:AB79"/>
    <mergeCell ref="AC78:AF78"/>
    <mergeCell ref="AG78:AG79"/>
    <mergeCell ref="AH78:AH79"/>
    <mergeCell ref="AI78:AI79"/>
    <mergeCell ref="AK78:AK79"/>
    <mergeCell ref="AM78:AM79"/>
    <mergeCell ref="C76:T76"/>
    <mergeCell ref="C77:D77"/>
    <mergeCell ref="E77:E78"/>
    <mergeCell ref="F77:F78"/>
    <mergeCell ref="G77:G78"/>
    <mergeCell ref="H77:H78"/>
    <mergeCell ref="I77:I78"/>
    <mergeCell ref="J77:J78"/>
    <mergeCell ref="K77:P77"/>
    <mergeCell ref="Q77:Q78"/>
    <mergeCell ref="R77:R78"/>
    <mergeCell ref="S77:S78"/>
    <mergeCell ref="T77:T78"/>
    <mergeCell ref="C63:D63"/>
    <mergeCell ref="C66:D66"/>
    <mergeCell ref="W66:X66"/>
    <mergeCell ref="Y66:AM66"/>
    <mergeCell ref="C67:D67"/>
    <mergeCell ref="C68:D68"/>
    <mergeCell ref="W69:X69"/>
    <mergeCell ref="W70:X70"/>
    <mergeCell ref="W71:X71"/>
    <mergeCell ref="Y71:AM71"/>
    <mergeCell ref="AK48:AK49"/>
    <mergeCell ref="AM48:AM49"/>
    <mergeCell ref="W50:X50"/>
    <mergeCell ref="Y50:AM50"/>
    <mergeCell ref="C55:D55"/>
    <mergeCell ref="W58:X58"/>
    <mergeCell ref="Y58:AM58"/>
    <mergeCell ref="C59:D59"/>
    <mergeCell ref="W62:X62"/>
    <mergeCell ref="Y62:AM62"/>
    <mergeCell ref="C42:AN42"/>
    <mergeCell ref="C46:T46"/>
    <mergeCell ref="C47:D47"/>
    <mergeCell ref="E47:E48"/>
    <mergeCell ref="F47:F48"/>
    <mergeCell ref="G47:G48"/>
    <mergeCell ref="H47:H48"/>
    <mergeCell ref="I47:I48"/>
    <mergeCell ref="J47:J48"/>
    <mergeCell ref="K47:P47"/>
    <mergeCell ref="Q47:Q48"/>
    <mergeCell ref="R47:R48"/>
    <mergeCell ref="S47:S48"/>
    <mergeCell ref="T47:T48"/>
    <mergeCell ref="W47:AM47"/>
    <mergeCell ref="C48:D48"/>
    <mergeCell ref="W48:X49"/>
    <mergeCell ref="Y48:Y49"/>
    <mergeCell ref="AA48:AA49"/>
    <mergeCell ref="AB48:AB49"/>
    <mergeCell ref="AC48:AF48"/>
    <mergeCell ref="AG48:AG49"/>
    <mergeCell ref="AH48:AH49"/>
    <mergeCell ref="AI48:AI49"/>
    <mergeCell ref="C33:D33"/>
    <mergeCell ref="W33:X33"/>
    <mergeCell ref="AQ33:AR33"/>
    <mergeCell ref="C34:D34"/>
    <mergeCell ref="W34:X34"/>
    <mergeCell ref="AQ34:AR34"/>
    <mergeCell ref="C37:D37"/>
    <mergeCell ref="W37:X37"/>
    <mergeCell ref="AQ37:AR37"/>
    <mergeCell ref="C25:D25"/>
    <mergeCell ref="W25:X25"/>
    <mergeCell ref="AQ25:AR25"/>
    <mergeCell ref="C29:D29"/>
    <mergeCell ref="W29:X29"/>
    <mergeCell ref="AQ29:AR29"/>
    <mergeCell ref="C32:D32"/>
    <mergeCell ref="W32:X32"/>
    <mergeCell ref="AQ32:AR32"/>
    <mergeCell ref="AM11:AM12"/>
    <mergeCell ref="AS11:AT11"/>
    <mergeCell ref="AU11:AV11"/>
    <mergeCell ref="C13:D13"/>
    <mergeCell ref="W13:X13"/>
    <mergeCell ref="AQ13:AR13"/>
    <mergeCell ref="C21:D21"/>
    <mergeCell ref="W21:X21"/>
    <mergeCell ref="AQ21:AR21"/>
    <mergeCell ref="C2:J2"/>
    <mergeCell ref="C4:AN4"/>
    <mergeCell ref="C10:R10"/>
    <mergeCell ref="W10:AM10"/>
    <mergeCell ref="C11:D12"/>
    <mergeCell ref="E11:E12"/>
    <mergeCell ref="F11:F12"/>
    <mergeCell ref="G11:G12"/>
    <mergeCell ref="H11:H12"/>
    <mergeCell ref="I11:L11"/>
    <mergeCell ref="M11:M12"/>
    <mergeCell ref="N11:N12"/>
    <mergeCell ref="O11:O12"/>
    <mergeCell ref="P11:P12"/>
    <mergeCell ref="R11:R12"/>
    <mergeCell ref="W11:X12"/>
    <mergeCell ref="Y11:Y12"/>
    <mergeCell ref="AA11:AA12"/>
    <mergeCell ref="AB11:AB12"/>
    <mergeCell ref="AC11:AF11"/>
    <mergeCell ref="AG11:AG12"/>
    <mergeCell ref="AH11:AH12"/>
    <mergeCell ref="AI11:AI12"/>
    <mergeCell ref="AK11:AK12"/>
  </mergeCells>
  <hyperlinks>
    <hyperlink r:id="rId1" ref="AN15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2A6099"/>
    <outlinePr applyStyles="0" summaryBelow="1" summaryRight="1" showOutlineSymbols="1"/>
    <pageSetUpPr autoPageBreaks="1" fitToPage="0"/>
  </sheetPr>
  <sheetViews>
    <sheetView topLeftCell="A70" zoomScale="81" workbookViewId="0">
      <selection activeCell="H91" activeCellId="0" sqref="H91"/>
    </sheetView>
  </sheetViews>
  <sheetFormatPr baseColWidth="10" defaultColWidth="8.88671875" defaultRowHeight="14.4"/>
  <cols>
    <col customWidth="1" min="1" max="1" style="1" width="8.44140625"/>
    <col customWidth="1" min="2" max="2" style="1" width="41.44140625"/>
    <col customWidth="1" min="3" max="4" style="1" width="11.21875"/>
    <col customWidth="1" min="5" max="5" style="1" width="12.21875"/>
    <col customWidth="1" min="6" max="6" style="1" width="13.5546875"/>
    <col customWidth="1" min="7" max="7" style="1" width="13.21875"/>
    <col customWidth="1" min="8" max="9" style="1" width="11.6640625"/>
    <col customWidth="1" min="10" max="10" style="1" width="16.21875"/>
    <col customWidth="1" min="11" max="11" style="1" width="11.6640625"/>
    <col customWidth="1" min="12" max="12" style="1" width="11.77734375"/>
    <col customWidth="1" min="13" max="13" style="1" width="24.21875"/>
    <col customWidth="1" min="14" max="14" style="1" width="11.21875"/>
    <col customWidth="1" min="15" max="15" style="1" width="31.109375"/>
    <col customWidth="1" min="16" max="17" style="1" width="8.44140625"/>
    <col customWidth="1" min="18" max="18" style="1" width="19.44140625"/>
    <col customWidth="1" min="19" max="20" style="1" width="8.44140625"/>
    <col customWidth="1" min="21" max="21" style="1" width="29.33203125"/>
    <col customWidth="1" min="22" max="23" style="1" width="8.44140625"/>
    <col customWidth="1" min="24" max="24" style="1" width="12.44140625"/>
    <col customWidth="1" min="25" max="1025" style="1" width="8.44140625"/>
  </cols>
  <sheetData>
    <row r="4">
      <c r="B4" s="244" t="s">
        <v>503</v>
      </c>
    </row>
    <row r="5" ht="13.949999999999999" customHeight="1"/>
    <row r="6" ht="31.949999999999999" customHeight="1">
      <c r="B6" s="245" t="s">
        <v>443</v>
      </c>
      <c r="C6" s="245"/>
      <c r="D6" s="246" t="s">
        <v>3</v>
      </c>
      <c r="E6" s="246"/>
      <c r="F6" s="246"/>
      <c r="G6" s="246"/>
    </row>
    <row r="7">
      <c r="B7" s="245"/>
      <c r="C7" s="245"/>
      <c r="D7" s="201">
        <v>2025</v>
      </c>
      <c r="E7" s="201">
        <v>2030</v>
      </c>
      <c r="F7" s="201">
        <v>2040</v>
      </c>
      <c r="G7" s="201">
        <v>2050</v>
      </c>
    </row>
    <row r="8">
      <c r="B8" s="240" t="s">
        <v>22</v>
      </c>
      <c r="C8" s="240"/>
      <c r="D8" s="247"/>
      <c r="E8" s="247"/>
      <c r="F8" s="247"/>
      <c r="G8" s="247"/>
    </row>
    <row r="9">
      <c r="B9" s="248" t="s">
        <v>446</v>
      </c>
      <c r="C9" s="248"/>
      <c r="D9" s="249">
        <v>0.95698779937530498</v>
      </c>
      <c r="E9" s="249">
        <v>0.91711330773466804</v>
      </c>
      <c r="F9" s="249"/>
      <c r="G9" s="249">
        <v>0.88720743900418897</v>
      </c>
    </row>
    <row r="10">
      <c r="B10" s="248" t="s">
        <v>449</v>
      </c>
      <c r="C10" s="248"/>
      <c r="D10" s="249">
        <v>0.96129032258064495</v>
      </c>
      <c r="E10" s="249">
        <v>0.92903225806451595</v>
      </c>
      <c r="F10" s="249"/>
      <c r="G10" s="249">
        <v>0.80000000000000004</v>
      </c>
    </row>
    <row r="11">
      <c r="B11" s="248" t="s">
        <v>451</v>
      </c>
      <c r="C11" s="248"/>
      <c r="D11" s="249">
        <v>1</v>
      </c>
      <c r="E11" s="249">
        <v>1</v>
      </c>
      <c r="F11" s="249"/>
      <c r="G11" s="249">
        <v>1</v>
      </c>
    </row>
    <row r="12">
      <c r="B12" s="248" t="s">
        <v>504</v>
      </c>
      <c r="C12" s="248"/>
      <c r="D12" s="249">
        <v>0.98645161290322603</v>
      </c>
      <c r="E12" s="249">
        <v>0.97516129032258103</v>
      </c>
      <c r="F12" s="249"/>
      <c r="G12" s="249">
        <v>0.93000000000000005</v>
      </c>
    </row>
    <row r="13">
      <c r="B13" s="248" t="s">
        <v>505</v>
      </c>
      <c r="C13" s="248"/>
      <c r="D13" s="249">
        <v>1</v>
      </c>
      <c r="E13" s="249">
        <v>1</v>
      </c>
      <c r="F13" s="249"/>
      <c r="G13" s="249">
        <v>1</v>
      </c>
    </row>
    <row r="14">
      <c r="B14" s="248" t="s">
        <v>458</v>
      </c>
      <c r="C14" s="248"/>
      <c r="D14" s="249">
        <v>0.97391951528057497</v>
      </c>
      <c r="E14" s="249">
        <v>0.96408194441915396</v>
      </c>
      <c r="F14" s="249"/>
      <c r="G14" s="249">
        <v>0.95424437355773495</v>
      </c>
    </row>
    <row r="15">
      <c r="B15" s="240" t="s">
        <v>23</v>
      </c>
      <c r="C15" s="240"/>
      <c r="D15" s="247"/>
      <c r="E15" s="247"/>
      <c r="F15" s="247"/>
      <c r="G15" s="247"/>
    </row>
    <row r="16">
      <c r="B16" s="248" t="s">
        <v>460</v>
      </c>
      <c r="C16" s="248"/>
      <c r="D16" s="249">
        <v>0.95999999999999996</v>
      </c>
      <c r="E16" s="249">
        <v>0.92000000000000004</v>
      </c>
      <c r="F16" s="249"/>
      <c r="G16" s="249">
        <v>0.90000000000000002</v>
      </c>
    </row>
    <row r="17">
      <c r="B17" s="248" t="s">
        <v>461</v>
      </c>
      <c r="C17" s="248"/>
      <c r="D17" s="249">
        <v>0.90956065615245996</v>
      </c>
      <c r="E17" s="249">
        <v>0.83281462421471797</v>
      </c>
      <c r="F17" s="249"/>
      <c r="G17" s="249">
        <v>0.82422890643930802</v>
      </c>
    </row>
    <row r="18">
      <c r="B18" s="248" t="s">
        <v>463</v>
      </c>
      <c r="C18" s="248"/>
      <c r="D18" s="249">
        <v>0.95506546606905796</v>
      </c>
      <c r="E18" s="249">
        <v>0.93057660796472297</v>
      </c>
      <c r="F18" s="249"/>
      <c r="G18" s="249">
        <v>0.92078106472299004</v>
      </c>
    </row>
    <row r="19">
      <c r="B19" s="240" t="s">
        <v>464</v>
      </c>
      <c r="C19" s="240"/>
      <c r="D19" s="247"/>
      <c r="E19" s="247"/>
      <c r="F19" s="247"/>
      <c r="G19" s="247"/>
    </row>
    <row r="20">
      <c r="B20" s="248" t="s">
        <v>506</v>
      </c>
      <c r="C20" s="248"/>
      <c r="D20" s="249"/>
      <c r="E20" s="249">
        <v>0.95999999999999996</v>
      </c>
      <c r="F20" s="249"/>
      <c r="G20" s="249">
        <v>0.95999999999999996</v>
      </c>
    </row>
    <row r="21">
      <c r="B21" s="248" t="s">
        <v>466</v>
      </c>
      <c r="C21" s="248"/>
      <c r="D21" s="249">
        <v>0.95093921708769802</v>
      </c>
      <c r="E21" s="249">
        <v>0.90613056287937699</v>
      </c>
      <c r="F21" s="249"/>
      <c r="G21" s="249">
        <v>0.85634316931457599</v>
      </c>
    </row>
    <row r="22">
      <c r="B22" s="248" t="s">
        <v>467</v>
      </c>
      <c r="C22" s="248"/>
      <c r="D22" s="249">
        <v>0.96624355022597797</v>
      </c>
      <c r="E22" s="249">
        <v>0.94146807457915704</v>
      </c>
      <c r="F22" s="249"/>
      <c r="G22" s="249">
        <v>0.93155788432042896</v>
      </c>
    </row>
    <row r="23">
      <c r="B23" s="240" t="s">
        <v>507</v>
      </c>
      <c r="C23" s="240"/>
      <c r="D23" s="250"/>
      <c r="E23" s="247"/>
      <c r="F23" s="247"/>
      <c r="G23" s="247"/>
    </row>
    <row r="24">
      <c r="B24" s="248" t="s">
        <v>508</v>
      </c>
      <c r="C24" s="248"/>
      <c r="D24" s="249">
        <v>0.92509223457259904</v>
      </c>
      <c r="E24" s="249">
        <v>0.86078100970926297</v>
      </c>
      <c r="F24" s="249"/>
      <c r="G24" s="249">
        <v>0.83109890592618596</v>
      </c>
    </row>
    <row r="25">
      <c r="B25" s="248" t="s">
        <v>509</v>
      </c>
      <c r="C25" s="248"/>
      <c r="D25" s="249">
        <v>0.94405869564292499</v>
      </c>
      <c r="E25" s="249">
        <v>0.88911348055259598</v>
      </c>
      <c r="F25" s="249"/>
      <c r="G25" s="249">
        <v>0.85914336323059803</v>
      </c>
    </row>
    <row r="26">
      <c r="B26" s="240" t="s">
        <v>471</v>
      </c>
      <c r="C26" s="240"/>
      <c r="D26" s="249">
        <v>0.94434415173186903</v>
      </c>
      <c r="E26" s="249">
        <v>0.88938232279509399</v>
      </c>
      <c r="F26" s="249"/>
      <c r="G26" s="249">
        <v>0.82942396395497497</v>
      </c>
    </row>
    <row r="27">
      <c r="B27" s="240" t="s">
        <v>29</v>
      </c>
      <c r="C27" s="240"/>
      <c r="D27" s="249"/>
      <c r="E27" s="249">
        <v>0.98899999999999999</v>
      </c>
      <c r="F27" s="249"/>
      <c r="G27" s="249">
        <v>0.96899999999999997</v>
      </c>
    </row>
    <row r="28">
      <c r="B28" s="240" t="s">
        <v>472</v>
      </c>
      <c r="C28" s="240"/>
      <c r="D28" s="250"/>
      <c r="E28" s="247"/>
      <c r="F28" s="247"/>
      <c r="G28" s="247"/>
    </row>
    <row r="29">
      <c r="B29" s="248" t="s">
        <v>473</v>
      </c>
      <c r="C29" s="248"/>
      <c r="D29" s="249">
        <v>0.92550802079359296</v>
      </c>
      <c r="E29" s="249">
        <v>0.86306065736090198</v>
      </c>
      <c r="F29" s="249"/>
      <c r="G29" s="249">
        <v>0.86306065736090198</v>
      </c>
    </row>
    <row r="30">
      <c r="B30" s="248" t="s">
        <v>474</v>
      </c>
      <c r="C30" s="248"/>
      <c r="D30" s="249">
        <v>0.95406359134114704</v>
      </c>
      <c r="E30" s="249">
        <v>0.90910771530936596</v>
      </c>
      <c r="F30" s="249"/>
      <c r="G30" s="249">
        <v>0.87913713128817805</v>
      </c>
    </row>
    <row r="34">
      <c r="B34" s="244" t="s">
        <v>510</v>
      </c>
    </row>
    <row r="36" ht="13.949999999999999" customHeight="1">
      <c r="B36" s="245" t="s">
        <v>511</v>
      </c>
      <c r="C36" s="251" t="s">
        <v>512</v>
      </c>
      <c r="D36" s="251"/>
      <c r="E36" s="251"/>
      <c r="F36" s="251"/>
      <c r="H36" s="245" t="s">
        <v>513</v>
      </c>
      <c r="I36" s="251" t="s">
        <v>512</v>
      </c>
      <c r="J36" s="251"/>
      <c r="K36" s="251"/>
      <c r="L36" s="251"/>
      <c r="O36" s="252" t="s">
        <v>514</v>
      </c>
      <c r="P36" s="251" t="s">
        <v>512</v>
      </c>
      <c r="Q36" s="251"/>
      <c r="R36" s="251"/>
      <c r="S36" s="251"/>
      <c r="U36" s="252" t="s">
        <v>515</v>
      </c>
      <c r="V36" s="251" t="s">
        <v>512</v>
      </c>
      <c r="W36" s="251"/>
      <c r="X36" s="251"/>
      <c r="Y36" s="251"/>
      <c r="AA36" s="253" t="s">
        <v>516</v>
      </c>
      <c r="AB36" s="253"/>
      <c r="AC36" s="253"/>
      <c r="AD36" s="253"/>
      <c r="AE36" s="253"/>
    </row>
    <row r="37" ht="27" customHeight="1">
      <c r="B37" s="245"/>
      <c r="C37" s="201" t="s">
        <v>517</v>
      </c>
      <c r="D37" s="201"/>
      <c r="E37" s="201" t="s">
        <v>518</v>
      </c>
      <c r="F37" s="201"/>
      <c r="H37" s="245"/>
      <c r="I37" s="201" t="s">
        <v>517</v>
      </c>
      <c r="J37" s="201"/>
      <c r="K37" s="201" t="s">
        <v>518</v>
      </c>
      <c r="L37" s="201"/>
      <c r="O37" s="252"/>
      <c r="P37" s="201" t="s">
        <v>517</v>
      </c>
      <c r="Q37" s="201"/>
      <c r="R37" s="201" t="s">
        <v>518</v>
      </c>
      <c r="S37" s="201"/>
      <c r="U37" s="252"/>
      <c r="V37" s="201" t="s">
        <v>517</v>
      </c>
      <c r="W37" s="201"/>
      <c r="X37" s="201" t="s">
        <v>518</v>
      </c>
      <c r="Y37" s="201"/>
      <c r="AA37" s="253" t="s">
        <v>519</v>
      </c>
      <c r="AB37" s="253"/>
      <c r="AC37" s="253"/>
      <c r="AD37" s="253"/>
      <c r="AE37" s="253"/>
    </row>
    <row r="38">
      <c r="B38" s="245"/>
      <c r="C38" s="254" t="s">
        <v>520</v>
      </c>
      <c r="D38" s="254" t="s">
        <v>521</v>
      </c>
      <c r="E38" s="254" t="s">
        <v>520</v>
      </c>
      <c r="F38" s="254" t="s">
        <v>521</v>
      </c>
      <c r="H38" s="245"/>
      <c r="I38" s="254" t="s">
        <v>522</v>
      </c>
      <c r="J38" s="254" t="s">
        <v>523</v>
      </c>
      <c r="K38" s="254" t="s">
        <v>522</v>
      </c>
      <c r="L38" s="254" t="s">
        <v>523</v>
      </c>
      <c r="O38" s="252"/>
      <c r="P38" s="254" t="s">
        <v>522</v>
      </c>
      <c r="Q38" s="254" t="s">
        <v>523</v>
      </c>
      <c r="R38" s="254" t="s">
        <v>522</v>
      </c>
      <c r="S38" s="254" t="s">
        <v>523</v>
      </c>
      <c r="U38" s="252"/>
      <c r="V38" s="254" t="s">
        <v>522</v>
      </c>
      <c r="W38" s="254" t="s">
        <v>523</v>
      </c>
      <c r="X38" s="254" t="s">
        <v>522</v>
      </c>
      <c r="Y38" s="254" t="s">
        <v>523</v>
      </c>
      <c r="AA38" s="253"/>
      <c r="AB38" s="253"/>
      <c r="AC38" s="253"/>
      <c r="AD38" s="253"/>
      <c r="AE38" s="253"/>
    </row>
    <row r="39">
      <c r="B39" s="205" t="s">
        <v>22</v>
      </c>
      <c r="C39" s="255">
        <v>0</v>
      </c>
      <c r="D39" s="255"/>
      <c r="E39" s="255">
        <v>0</v>
      </c>
      <c r="F39" s="255"/>
      <c r="H39" s="205" t="s">
        <v>22</v>
      </c>
      <c r="I39" s="255">
        <v>0</v>
      </c>
      <c r="J39" s="255"/>
      <c r="K39" s="255">
        <v>0</v>
      </c>
      <c r="L39" s="255"/>
      <c r="O39" s="205" t="s">
        <v>22</v>
      </c>
      <c r="P39" s="255">
        <v>0</v>
      </c>
      <c r="Q39" s="255"/>
      <c r="R39" s="255">
        <v>0</v>
      </c>
      <c r="S39" s="255"/>
      <c r="U39" s="205" t="s">
        <v>22</v>
      </c>
      <c r="V39" s="255">
        <v>0</v>
      </c>
      <c r="W39" s="255"/>
      <c r="X39" s="255">
        <v>0</v>
      </c>
      <c r="Y39" s="255"/>
      <c r="AA39" s="253"/>
      <c r="AB39" s="256" t="s">
        <v>524</v>
      </c>
      <c r="AC39" s="256"/>
      <c r="AD39" s="256" t="s">
        <v>525</v>
      </c>
      <c r="AE39" s="256"/>
    </row>
    <row r="40">
      <c r="B40" s="207" t="s">
        <v>526</v>
      </c>
      <c r="C40" s="249">
        <v>0.089999999999999997</v>
      </c>
      <c r="D40" s="249">
        <v>0.083970606060605996</v>
      </c>
      <c r="E40" s="249">
        <v>0.23000000000000001</v>
      </c>
      <c r="F40" s="249">
        <v>0.109836342371079</v>
      </c>
      <c r="H40" s="207" t="s">
        <v>526</v>
      </c>
      <c r="I40" s="249"/>
      <c r="J40" s="249"/>
      <c r="K40" s="249"/>
      <c r="L40" s="249"/>
      <c r="O40" s="207" t="s">
        <v>526</v>
      </c>
      <c r="P40" s="249">
        <v>-0.26000000000000001</v>
      </c>
      <c r="Q40" s="249">
        <v>0.40000000000000002</v>
      </c>
      <c r="R40" s="249">
        <v>-0.66000000000000003</v>
      </c>
      <c r="S40" s="249">
        <v>0.66000000000000003</v>
      </c>
      <c r="U40" s="207" t="s">
        <v>526</v>
      </c>
      <c r="V40" s="249">
        <v>-0.26000000000000001</v>
      </c>
      <c r="W40" s="249">
        <v>0.40000000000000002</v>
      </c>
      <c r="X40" s="249">
        <v>-0.66000000000000003</v>
      </c>
      <c r="Y40" s="249">
        <v>0.66000000000000003</v>
      </c>
      <c r="AA40" s="257"/>
      <c r="AB40" s="258">
        <v>2030</v>
      </c>
      <c r="AC40" s="258">
        <v>2050</v>
      </c>
      <c r="AD40" s="258">
        <v>2030</v>
      </c>
      <c r="AE40" s="258">
        <v>2050</v>
      </c>
    </row>
    <row r="41">
      <c r="B41" s="207" t="s">
        <v>527</v>
      </c>
      <c r="C41" s="249">
        <v>0.089999999999999997</v>
      </c>
      <c r="D41" s="249">
        <v>0</v>
      </c>
      <c r="E41" s="249">
        <v>0.23000000000000001</v>
      </c>
      <c r="F41" s="249">
        <v>0</v>
      </c>
      <c r="H41" s="207" t="s">
        <v>527</v>
      </c>
      <c r="I41" s="249">
        <v>0.11</v>
      </c>
      <c r="J41" s="249">
        <v>0.11</v>
      </c>
      <c r="K41" s="249">
        <v>0.17999999999999999</v>
      </c>
      <c r="L41" s="249">
        <v>0.17999999999999999</v>
      </c>
      <c r="O41" s="207" t="s">
        <v>527</v>
      </c>
      <c r="P41" s="249">
        <v>0.12</v>
      </c>
      <c r="Q41" s="249">
        <v>0.25</v>
      </c>
      <c r="R41" s="249">
        <v>0.31</v>
      </c>
      <c r="S41" s="249">
        <v>0.55000000000000004</v>
      </c>
      <c r="T41" s="1" t="s">
        <v>528</v>
      </c>
      <c r="U41" s="207" t="s">
        <v>527</v>
      </c>
      <c r="V41" s="249">
        <v>0.12</v>
      </c>
      <c r="W41" s="249">
        <v>0.25</v>
      </c>
      <c r="X41" s="249">
        <v>0.31</v>
      </c>
      <c r="Y41" s="249">
        <v>0.55000000000000004</v>
      </c>
      <c r="AA41" s="259" t="s">
        <v>529</v>
      </c>
      <c r="AB41" s="260">
        <v>0.13163889682701799</v>
      </c>
      <c r="AC41" s="260">
        <v>0.29119491792341801</v>
      </c>
      <c r="AD41" s="260">
        <v>0.16611647474244701</v>
      </c>
      <c r="AE41" s="260">
        <v>0.42601350152455503</v>
      </c>
    </row>
    <row r="42">
      <c r="B42" s="207" t="s">
        <v>458</v>
      </c>
      <c r="C42" s="249">
        <v>0.089999999999999997</v>
      </c>
      <c r="D42" s="249">
        <v>0.024433198380566901</v>
      </c>
      <c r="E42" s="249">
        <v>0.23000000000000001</v>
      </c>
      <c r="F42" s="249">
        <v>0.033755060728744998</v>
      </c>
      <c r="H42" s="207" t="s">
        <v>458</v>
      </c>
      <c r="I42" s="249">
        <v>0.070000000000000007</v>
      </c>
      <c r="J42" s="249">
        <v>0.070000000000000007</v>
      </c>
      <c r="K42" s="249">
        <v>0.14999999999999999</v>
      </c>
      <c r="L42" s="249">
        <v>0.14999999999999999</v>
      </c>
      <c r="O42" s="207" t="s">
        <v>458</v>
      </c>
      <c r="P42" s="249"/>
      <c r="Q42" s="249"/>
      <c r="R42" s="249"/>
      <c r="S42" s="249"/>
      <c r="U42" s="207" t="s">
        <v>458</v>
      </c>
      <c r="V42" s="249"/>
      <c r="W42" s="249"/>
      <c r="X42" s="249"/>
      <c r="Y42" s="249"/>
      <c r="AA42" s="259" t="s">
        <v>530</v>
      </c>
      <c r="AB42" s="260">
        <v>0.134445752159849</v>
      </c>
      <c r="AC42" s="260">
        <v>0.31423434150318602</v>
      </c>
      <c r="AD42" s="260">
        <v>0.237966819223311</v>
      </c>
      <c r="AE42" s="260">
        <v>0.64915746644081695</v>
      </c>
    </row>
    <row r="43">
      <c r="B43" s="205" t="s">
        <v>23</v>
      </c>
      <c r="C43" s="255">
        <v>0</v>
      </c>
      <c r="D43" s="255"/>
      <c r="E43" s="255">
        <v>0</v>
      </c>
      <c r="F43" s="255"/>
      <c r="H43" s="205" t="s">
        <v>23</v>
      </c>
      <c r="I43" s="255">
        <v>0</v>
      </c>
      <c r="J43" s="255">
        <v>0</v>
      </c>
      <c r="K43" s="255">
        <v>0</v>
      </c>
      <c r="L43" s="255">
        <v>0</v>
      </c>
      <c r="O43" s="205" t="s">
        <v>23</v>
      </c>
      <c r="P43" s="255"/>
      <c r="Q43" s="255"/>
      <c r="R43" s="255"/>
      <c r="S43" s="255"/>
      <c r="U43" s="205" t="s">
        <v>23</v>
      </c>
      <c r="V43" s="255"/>
      <c r="W43" s="255"/>
      <c r="X43" s="255"/>
      <c r="Y43" s="255"/>
      <c r="AA43" s="259" t="s">
        <v>531</v>
      </c>
      <c r="AB43" s="260">
        <v>0.12069069416174499</v>
      </c>
      <c r="AC43" s="260">
        <v>0.27096753910138099</v>
      </c>
      <c r="AD43" s="260">
        <v>0.108127850954112</v>
      </c>
      <c r="AE43" s="260">
        <v>0.38434619934592701</v>
      </c>
    </row>
    <row r="44">
      <c r="B44" s="207" t="s">
        <v>460</v>
      </c>
      <c r="C44" s="249">
        <v>0.17999999999999999</v>
      </c>
      <c r="D44" s="249">
        <v>0.082307692307692207</v>
      </c>
      <c r="E44" s="249">
        <v>0.20999999999999999</v>
      </c>
      <c r="F44" s="249">
        <v>0.099040485829959599</v>
      </c>
      <c r="H44" s="207" t="s">
        <v>460</v>
      </c>
      <c r="I44" s="249">
        <v>0.089999999999999997</v>
      </c>
      <c r="J44" s="249">
        <v>0.089999999999999997</v>
      </c>
      <c r="K44" s="249">
        <v>0.19</v>
      </c>
      <c r="L44" s="249">
        <v>0.20000000000000001</v>
      </c>
      <c r="O44" s="207" t="s">
        <v>460</v>
      </c>
      <c r="P44" s="249"/>
      <c r="Q44" s="249"/>
      <c r="R44" s="249"/>
      <c r="S44" s="249"/>
      <c r="U44" s="207" t="s">
        <v>460</v>
      </c>
      <c r="V44" s="249"/>
      <c r="W44" s="249"/>
      <c r="X44" s="249"/>
      <c r="Y44" s="249"/>
      <c r="AA44" s="259" t="s">
        <v>532</v>
      </c>
      <c r="AB44" s="260">
        <v>0.051672667833057601</v>
      </c>
      <c r="AC44" s="260">
        <v>0.13448219961156599</v>
      </c>
      <c r="AD44" s="260">
        <v>0.040205505641205001</v>
      </c>
      <c r="AE44" s="260">
        <v>0.127602050362495</v>
      </c>
    </row>
    <row r="45">
      <c r="B45" s="207" t="s">
        <v>461</v>
      </c>
      <c r="C45" s="249">
        <v>0</v>
      </c>
      <c r="D45" s="249">
        <v>0.0303030303030303</v>
      </c>
      <c r="E45" s="249">
        <v>0</v>
      </c>
      <c r="F45" s="249">
        <v>0.040404040404040401</v>
      </c>
      <c r="H45" s="207" t="s">
        <v>461</v>
      </c>
      <c r="I45" s="249">
        <v>0.054300000000000001</v>
      </c>
      <c r="J45" s="249">
        <v>0.070000000000000007</v>
      </c>
      <c r="K45" s="249">
        <v>0.12</v>
      </c>
      <c r="L45" s="249">
        <v>0.14999999999999999</v>
      </c>
      <c r="M45" s="1" t="s">
        <v>533</v>
      </c>
      <c r="O45" s="207" t="s">
        <v>461</v>
      </c>
      <c r="P45" s="249"/>
      <c r="Q45" s="249"/>
      <c r="R45" s="249"/>
      <c r="S45" s="249"/>
      <c r="U45" s="207" t="s">
        <v>461</v>
      </c>
      <c r="V45" s="249"/>
      <c r="W45" s="249"/>
      <c r="X45" s="249"/>
      <c r="Y45" s="249"/>
      <c r="AA45" s="259" t="s">
        <v>534</v>
      </c>
      <c r="AB45" s="260">
        <v>0.020907369253972699</v>
      </c>
      <c r="AC45" s="260">
        <v>0.055175985222707502</v>
      </c>
      <c r="AD45" s="260">
        <v>0.093241702809427299</v>
      </c>
      <c r="AE45" s="260">
        <v>0.128644085717529</v>
      </c>
    </row>
    <row r="46">
      <c r="B46" s="207" t="s">
        <v>535</v>
      </c>
      <c r="C46" s="249">
        <v>0.17999999999999999</v>
      </c>
      <c r="D46" s="249">
        <v>0.125</v>
      </c>
      <c r="E46" s="249">
        <v>0.20999999999999999</v>
      </c>
      <c r="F46" s="249">
        <v>0.16666666666666699</v>
      </c>
      <c r="H46" s="207" t="s">
        <v>535</v>
      </c>
      <c r="I46" s="249">
        <v>0.089999999999999997</v>
      </c>
      <c r="J46" s="249"/>
      <c r="K46" s="249">
        <v>0.20999999999999999</v>
      </c>
      <c r="L46" s="249"/>
      <c r="O46" s="207" t="s">
        <v>535</v>
      </c>
      <c r="P46" s="249"/>
      <c r="Q46" s="249"/>
      <c r="R46" s="249"/>
      <c r="S46" s="249"/>
      <c r="U46" s="207" t="s">
        <v>535</v>
      </c>
      <c r="V46" s="249"/>
      <c r="W46" s="249"/>
      <c r="X46" s="249"/>
      <c r="Y46" s="249"/>
      <c r="AA46" s="259" t="s">
        <v>536</v>
      </c>
      <c r="AB46" s="260">
        <v>0.092911809940207701</v>
      </c>
      <c r="AC46" s="260">
        <v>0.23138320399630499</v>
      </c>
      <c r="AD46" s="260">
        <v>0.161925382730954</v>
      </c>
      <c r="AE46" s="260">
        <v>0.35063020867141897</v>
      </c>
    </row>
    <row r="47">
      <c r="B47" s="207" t="s">
        <v>463</v>
      </c>
      <c r="C47" s="249">
        <v>0.17999999999999999</v>
      </c>
      <c r="D47" s="249">
        <v>0.048153747105944097</v>
      </c>
      <c r="E47" s="249">
        <v>0.20999999999999999</v>
      </c>
      <c r="F47" s="249">
        <v>0.064024698007073805</v>
      </c>
      <c r="H47" s="207" t="s">
        <v>463</v>
      </c>
      <c r="I47" s="249">
        <v>0.16</v>
      </c>
      <c r="J47" s="249">
        <v>0.16</v>
      </c>
      <c r="K47" s="249">
        <v>0.33000000000000002</v>
      </c>
      <c r="L47" s="249">
        <v>0.33000000000000002</v>
      </c>
      <c r="O47" s="207" t="s">
        <v>463</v>
      </c>
      <c r="P47" s="249">
        <v>0.01</v>
      </c>
      <c r="Q47" s="249">
        <v>0.20000000000000001</v>
      </c>
      <c r="R47" s="249">
        <v>-0.23000000000000001</v>
      </c>
      <c r="S47" s="249">
        <v>0.57999999999999996</v>
      </c>
      <c r="U47" s="207" t="s">
        <v>463</v>
      </c>
      <c r="V47" s="249">
        <v>0.01</v>
      </c>
      <c r="W47" s="249">
        <v>0.20000000000000001</v>
      </c>
      <c r="X47" s="249">
        <v>0.23000000000000001</v>
      </c>
      <c r="Y47" s="249">
        <v>0.57999999999999996</v>
      </c>
      <c r="AA47" s="259" t="s">
        <v>537</v>
      </c>
      <c r="AB47" s="260">
        <v>0.087549525798927302</v>
      </c>
      <c r="AC47" s="260">
        <v>0.261270777059665</v>
      </c>
      <c r="AD47" s="260">
        <v>0.32124128506093602</v>
      </c>
      <c r="AE47" s="260">
        <v>0.51874328161080496</v>
      </c>
    </row>
    <row r="48">
      <c r="B48" s="205" t="s">
        <v>464</v>
      </c>
      <c r="C48" s="255">
        <v>0</v>
      </c>
      <c r="D48" s="255"/>
      <c r="E48" s="255">
        <v>0</v>
      </c>
      <c r="F48" s="255"/>
      <c r="H48" s="205" t="s">
        <v>464</v>
      </c>
      <c r="I48" s="255">
        <v>0</v>
      </c>
      <c r="J48" s="255">
        <v>0</v>
      </c>
      <c r="K48" s="255">
        <v>0</v>
      </c>
      <c r="L48" s="255">
        <v>0</v>
      </c>
      <c r="O48" s="205" t="s">
        <v>464</v>
      </c>
      <c r="P48" s="255"/>
      <c r="Q48" s="255"/>
      <c r="R48" s="255"/>
      <c r="S48" s="255"/>
      <c r="U48" s="205" t="s">
        <v>464</v>
      </c>
      <c r="V48" s="255"/>
      <c r="W48" s="255"/>
      <c r="X48" s="255"/>
      <c r="Y48" s="255"/>
      <c r="AA48" s="259" t="s">
        <v>538</v>
      </c>
      <c r="AB48" s="260">
        <v>0.076910853679976507</v>
      </c>
      <c r="AC48" s="260">
        <v>0.18580712235395699</v>
      </c>
      <c r="AD48" s="260">
        <v>0.084787016861577302</v>
      </c>
      <c r="AE48" s="260">
        <v>0.16153523749550899</v>
      </c>
    </row>
    <row r="49">
      <c r="B49" s="207" t="s">
        <v>465</v>
      </c>
      <c r="C49" s="249">
        <v>0.070000000000000007</v>
      </c>
      <c r="D49" s="249">
        <v>0.039235378539811003</v>
      </c>
      <c r="E49" s="249">
        <v>0.13</v>
      </c>
      <c r="F49" s="249">
        <v>0.039100643761117798</v>
      </c>
      <c r="H49" s="207" t="s">
        <v>465</v>
      </c>
      <c r="I49" s="249"/>
      <c r="J49" s="249"/>
      <c r="K49" s="249"/>
      <c r="L49" s="249"/>
      <c r="O49" s="207" t="s">
        <v>465</v>
      </c>
      <c r="P49" s="249"/>
      <c r="Q49" s="249"/>
      <c r="R49" s="249"/>
      <c r="S49" s="249"/>
      <c r="U49" s="207" t="s">
        <v>465</v>
      </c>
      <c r="V49" s="249"/>
      <c r="W49" s="249"/>
      <c r="X49" s="249"/>
      <c r="Y49" s="249"/>
      <c r="AA49" s="259" t="s">
        <v>539</v>
      </c>
      <c r="AB49" s="260">
        <v>0.0901667472527726</v>
      </c>
      <c r="AC49" s="260">
        <v>0.20376415567573</v>
      </c>
      <c r="AD49" s="260">
        <v>0.077720942700893497</v>
      </c>
      <c r="AE49" s="260">
        <v>0.359829158785895</v>
      </c>
    </row>
    <row r="50">
      <c r="B50" s="207" t="s">
        <v>466</v>
      </c>
      <c r="C50" s="249">
        <v>0.070000000000000007</v>
      </c>
      <c r="D50" s="249">
        <v>0.087378640776699004</v>
      </c>
      <c r="E50" s="249">
        <v>0.13</v>
      </c>
      <c r="F50" s="249">
        <v>0.14077669902912601</v>
      </c>
      <c r="H50" s="207" t="s">
        <v>466</v>
      </c>
      <c r="I50" s="249">
        <v>0.070000000000000007</v>
      </c>
      <c r="J50" s="249">
        <v>0.089999999999999997</v>
      </c>
      <c r="K50" s="249">
        <v>0.14999999999999999</v>
      </c>
      <c r="L50" s="249">
        <v>0.20000000000000001</v>
      </c>
      <c r="O50" s="207" t="s">
        <v>466</v>
      </c>
      <c r="P50" s="249"/>
      <c r="Q50" s="249"/>
      <c r="R50" s="249"/>
      <c r="S50" s="249"/>
      <c r="U50" s="207" t="s">
        <v>466</v>
      </c>
      <c r="V50" s="249"/>
      <c r="W50" s="249"/>
      <c r="X50" s="249"/>
      <c r="Y50" s="249"/>
      <c r="AA50" s="259" t="s">
        <v>540</v>
      </c>
      <c r="AB50" s="260">
        <v>0.116946463478158</v>
      </c>
      <c r="AC50" s="260">
        <v>0.29504994440615101</v>
      </c>
      <c r="AD50" s="260">
        <v>0.082033165055189899</v>
      </c>
      <c r="AE50" s="260">
        <v>0.18659373673466501</v>
      </c>
    </row>
    <row r="51">
      <c r="B51" s="207" t="s">
        <v>467</v>
      </c>
      <c r="C51" s="249">
        <v>0.070000000000000007</v>
      </c>
      <c r="D51" s="249">
        <v>0.045299492385786802</v>
      </c>
      <c r="E51" s="249">
        <v>0.13</v>
      </c>
      <c r="F51" s="249">
        <v>0.060512690355329898</v>
      </c>
      <c r="H51" s="207" t="s">
        <v>467</v>
      </c>
      <c r="I51" s="249">
        <v>0.089999999999999997</v>
      </c>
      <c r="J51" s="249">
        <v>0.089999999999999997</v>
      </c>
      <c r="K51" s="249">
        <v>0.19500000000000001</v>
      </c>
      <c r="L51" s="249">
        <v>0.20000000000000001</v>
      </c>
      <c r="O51" s="207" t="s">
        <v>467</v>
      </c>
      <c r="P51" s="249"/>
      <c r="Q51" s="249"/>
      <c r="R51" s="249"/>
      <c r="S51" s="249"/>
      <c r="U51" s="207" t="s">
        <v>467</v>
      </c>
      <c r="V51" s="249"/>
      <c r="W51" s="249"/>
      <c r="X51" s="249"/>
      <c r="Y51" s="249"/>
      <c r="AA51" s="259" t="s">
        <v>541</v>
      </c>
      <c r="AB51" s="260">
        <v>0.079978336791827295</v>
      </c>
      <c r="AC51" s="260">
        <v>0.25191076800033502</v>
      </c>
      <c r="AD51" s="260">
        <v>0.091457917832990898</v>
      </c>
      <c r="AE51" s="260">
        <v>0.23321980767919201</v>
      </c>
    </row>
    <row r="52">
      <c r="B52" s="205" t="s">
        <v>507</v>
      </c>
      <c r="C52" s="255">
        <v>0</v>
      </c>
      <c r="D52" s="255"/>
      <c r="E52" s="255">
        <v>0</v>
      </c>
      <c r="F52" s="255"/>
      <c r="H52" s="205" t="s">
        <v>507</v>
      </c>
      <c r="I52" s="255">
        <v>0</v>
      </c>
      <c r="J52" s="255">
        <v>0</v>
      </c>
      <c r="K52" s="255">
        <v>0</v>
      </c>
      <c r="L52" s="255">
        <v>0</v>
      </c>
      <c r="O52" s="205" t="s">
        <v>507</v>
      </c>
      <c r="P52" s="255"/>
      <c r="Q52" s="255"/>
      <c r="R52" s="255"/>
      <c r="S52" s="255"/>
      <c r="U52" s="205" t="s">
        <v>507</v>
      </c>
      <c r="V52" s="255"/>
      <c r="W52" s="255"/>
      <c r="X52" s="255"/>
      <c r="Y52" s="255"/>
      <c r="AA52" s="259" t="s">
        <v>542</v>
      </c>
      <c r="AB52" s="260">
        <v>0.11750833798906</v>
      </c>
      <c r="AC52" s="260">
        <v>0.28934159941405602</v>
      </c>
      <c r="AD52" s="260">
        <v>0.30674589968974197</v>
      </c>
      <c r="AE52" s="260">
        <v>0.81565865900575096</v>
      </c>
    </row>
    <row r="53">
      <c r="B53" s="207" t="s">
        <v>508</v>
      </c>
      <c r="C53" s="249">
        <v>0</v>
      </c>
      <c r="D53" s="249">
        <v>0.13350000000000001</v>
      </c>
      <c r="E53" s="249">
        <v>0</v>
      </c>
      <c r="F53" s="249">
        <v>0.1575</v>
      </c>
      <c r="H53" s="207" t="s">
        <v>508</v>
      </c>
      <c r="I53" s="249">
        <v>0.12</v>
      </c>
      <c r="J53" s="249">
        <v>0.12</v>
      </c>
      <c r="K53" s="249">
        <v>0.26000000000000001</v>
      </c>
      <c r="L53" s="249">
        <v>0.26000000000000001</v>
      </c>
      <c r="O53" s="207" t="s">
        <v>508</v>
      </c>
      <c r="P53" s="249"/>
      <c r="Q53" s="249"/>
      <c r="R53" s="249"/>
      <c r="S53" s="249"/>
      <c r="U53" s="207" t="s">
        <v>508</v>
      </c>
      <c r="V53" s="249"/>
      <c r="W53" s="249"/>
      <c r="X53" s="249"/>
      <c r="Y53" s="249"/>
      <c r="AA53" s="259" t="s">
        <v>543</v>
      </c>
      <c r="AB53" s="260">
        <v>0.11168342521423499</v>
      </c>
      <c r="AC53" s="260">
        <v>0.28146328374900997</v>
      </c>
      <c r="AD53" s="260">
        <v>0.073825552404749903</v>
      </c>
      <c r="AE53" s="260">
        <v>0.15469847189594799</v>
      </c>
    </row>
    <row r="54">
      <c r="B54" s="207" t="s">
        <v>509</v>
      </c>
      <c r="C54" s="249">
        <v>0</v>
      </c>
      <c r="D54" s="249">
        <v>0.108998970133883</v>
      </c>
      <c r="E54" s="249">
        <v>0</v>
      </c>
      <c r="F54" s="249">
        <v>0.13810272914521099</v>
      </c>
      <c r="H54" s="207" t="s">
        <v>509</v>
      </c>
      <c r="I54" s="249">
        <v>0.14000000000000001</v>
      </c>
      <c r="J54" s="249">
        <v>0.14000000000000001</v>
      </c>
      <c r="K54" s="249">
        <v>0.29999999999999999</v>
      </c>
      <c r="L54" s="249">
        <v>0.31</v>
      </c>
      <c r="O54" s="207" t="s">
        <v>509</v>
      </c>
      <c r="P54" s="249">
        <v>-0.22</v>
      </c>
      <c r="Q54" s="249">
        <v>0.32000000000000001</v>
      </c>
      <c r="R54" s="249">
        <v>-0.23000000000000001</v>
      </c>
      <c r="S54" s="249">
        <v>0.62</v>
      </c>
      <c r="U54" s="207" t="s">
        <v>509</v>
      </c>
      <c r="V54" s="249">
        <v>-0.22</v>
      </c>
      <c r="W54" s="249">
        <v>0.32000000000000001</v>
      </c>
      <c r="X54" s="249">
        <v>-0.23000000000000001</v>
      </c>
      <c r="Y54" s="249">
        <v>0.62</v>
      </c>
      <c r="AA54" s="259" t="s">
        <v>544</v>
      </c>
      <c r="AB54" s="260">
        <v>0.13243637042392101</v>
      </c>
      <c r="AC54" s="260">
        <v>0.30630709892305003</v>
      </c>
      <c r="AD54" s="260">
        <v>0.163037364816143</v>
      </c>
      <c r="AE54" s="260">
        <v>0.40358648811231201</v>
      </c>
    </row>
    <row r="55">
      <c r="B55" s="205" t="s">
        <v>471</v>
      </c>
      <c r="C55" s="261">
        <v>0.11</v>
      </c>
      <c r="D55" s="261">
        <v>0.111360327198364</v>
      </c>
      <c r="E55" s="261">
        <v>0.22</v>
      </c>
      <c r="F55" s="249">
        <v>0.172594989775051</v>
      </c>
      <c r="H55" s="205" t="s">
        <v>471</v>
      </c>
      <c r="I55" s="249">
        <v>0.17999999999999999</v>
      </c>
      <c r="J55" s="249">
        <v>0.25</v>
      </c>
      <c r="K55" s="249">
        <v>0.34000000000000002</v>
      </c>
      <c r="L55" s="249">
        <v>0.40999999999999998</v>
      </c>
      <c r="O55" s="205" t="s">
        <v>471</v>
      </c>
      <c r="P55" s="249">
        <v>0.029999999999999999</v>
      </c>
      <c r="Q55" s="249">
        <v>0.27000000000000002</v>
      </c>
      <c r="R55" s="249">
        <v>0.22</v>
      </c>
      <c r="S55" s="249">
        <v>0.57999999999999996</v>
      </c>
      <c r="U55" s="205" t="s">
        <v>471</v>
      </c>
      <c r="V55" s="249">
        <v>0.029999999999999999</v>
      </c>
      <c r="W55" s="249">
        <v>0.27000000000000002</v>
      </c>
      <c r="X55" s="249">
        <v>0.22</v>
      </c>
      <c r="Y55" s="249">
        <v>0.57999999999999996</v>
      </c>
      <c r="AA55" s="259" t="s">
        <v>545</v>
      </c>
      <c r="AB55" s="260">
        <v>0.089401095495711194</v>
      </c>
      <c r="AC55" s="260">
        <v>0.19324303769192699</v>
      </c>
      <c r="AD55" s="260">
        <v>0.12977698884306499</v>
      </c>
      <c r="AE55" s="260">
        <v>0.27431169560449797</v>
      </c>
    </row>
    <row r="56">
      <c r="O56" s="205" t="s">
        <v>29</v>
      </c>
      <c r="P56" s="27">
        <v>-0.14000000000000001</v>
      </c>
      <c r="Q56" s="27">
        <v>0.23000000000000001</v>
      </c>
      <c r="R56" s="27">
        <v>-0.02</v>
      </c>
      <c r="S56" s="27">
        <v>0.52000000000000002</v>
      </c>
      <c r="U56" s="205" t="s">
        <v>29</v>
      </c>
      <c r="V56" s="27">
        <v>-0.14000000000000001</v>
      </c>
      <c r="W56" s="27">
        <v>0.23000000000000001</v>
      </c>
      <c r="X56" s="27">
        <v>-0.02</v>
      </c>
      <c r="Y56" s="27">
        <v>0.52000000000000002</v>
      </c>
      <c r="AA56" s="259" t="s">
        <v>546</v>
      </c>
      <c r="AB56" s="260">
        <v>0.13913699446559399</v>
      </c>
      <c r="AC56" s="260">
        <v>0.27578510714931198</v>
      </c>
      <c r="AD56" s="260">
        <v>0.32094376605640601</v>
      </c>
      <c r="AE56" s="260">
        <v>0.64988559668475698</v>
      </c>
    </row>
    <row r="57">
      <c r="B57" s="205" t="s">
        <v>472</v>
      </c>
      <c r="C57" s="255">
        <v>0</v>
      </c>
      <c r="D57" s="255"/>
      <c r="E57" s="255">
        <v>0</v>
      </c>
      <c r="F57" s="255"/>
      <c r="H57" s="205" t="s">
        <v>472</v>
      </c>
      <c r="I57" s="255"/>
      <c r="J57" s="255"/>
      <c r="K57" s="255"/>
      <c r="L57" s="255"/>
      <c r="O57" s="205" t="s">
        <v>472</v>
      </c>
      <c r="P57" s="255"/>
      <c r="Q57" s="255"/>
      <c r="R57" s="255"/>
      <c r="S57" s="255"/>
      <c r="U57" s="205" t="s">
        <v>472</v>
      </c>
      <c r="V57" s="255"/>
      <c r="W57" s="255"/>
      <c r="X57" s="255"/>
      <c r="Y57" s="255"/>
      <c r="AA57" s="259" t="s">
        <v>547</v>
      </c>
      <c r="AB57" s="260">
        <v>0.10014128900777899</v>
      </c>
      <c r="AC57" s="260">
        <v>0.219583202566317</v>
      </c>
      <c r="AD57" s="260">
        <v>0.20199026898290001</v>
      </c>
      <c r="AE57" s="260">
        <v>0.38220091870306699</v>
      </c>
    </row>
    <row r="58">
      <c r="B58" s="207" t="s">
        <v>473</v>
      </c>
      <c r="C58" s="249">
        <v>0</v>
      </c>
      <c r="D58" s="249">
        <v>0.080645879732739401</v>
      </c>
      <c r="E58" s="249">
        <v>0</v>
      </c>
      <c r="F58" s="249">
        <v>0.078942093541202601</v>
      </c>
      <c r="H58" s="207" t="s">
        <v>473</v>
      </c>
      <c r="I58" s="249">
        <v>0.10000000000000001</v>
      </c>
      <c r="J58" s="249">
        <v>0.089999999999999997</v>
      </c>
      <c r="K58" s="249">
        <v>0.23000000000000001</v>
      </c>
      <c r="L58" s="249">
        <v>0.17999999999999999</v>
      </c>
      <c r="O58" s="207" t="s">
        <v>473</v>
      </c>
      <c r="P58" s="249">
        <v>-0.22</v>
      </c>
      <c r="Q58" s="249">
        <v>0.32000000000000001</v>
      </c>
      <c r="R58" s="249">
        <v>-0.059999999999999998</v>
      </c>
      <c r="S58" s="249">
        <v>0.68000000000000005</v>
      </c>
      <c r="U58" s="207" t="s">
        <v>473</v>
      </c>
      <c r="V58" s="249">
        <v>-0.22</v>
      </c>
      <c r="W58" s="249">
        <v>0.33000000000000002</v>
      </c>
      <c r="X58" s="249">
        <v>-0.059999999999999998</v>
      </c>
      <c r="Y58" s="249">
        <v>0.68000000000000005</v>
      </c>
      <c r="AA58" s="259" t="s">
        <v>548</v>
      </c>
      <c r="AB58" s="260">
        <v>0.112792042769062</v>
      </c>
      <c r="AC58" s="260">
        <v>0.25553952173171401</v>
      </c>
      <c r="AD58" s="260">
        <v>0.19222038893681101</v>
      </c>
      <c r="AE58" s="260">
        <v>0.40745403030442801</v>
      </c>
    </row>
    <row r="59">
      <c r="B59" s="207" t="s">
        <v>474</v>
      </c>
      <c r="C59" s="249">
        <v>0</v>
      </c>
      <c r="D59" s="249">
        <v>0.088373592630501499</v>
      </c>
      <c r="E59" s="249">
        <v>0</v>
      </c>
      <c r="F59" s="249">
        <v>0.11502164790174001</v>
      </c>
      <c r="H59" s="207" t="s">
        <v>474</v>
      </c>
      <c r="I59" s="249">
        <v>0.14999999999999999</v>
      </c>
      <c r="J59" s="249">
        <v>0.14999999999999999</v>
      </c>
      <c r="K59" s="249">
        <v>0.31</v>
      </c>
      <c r="L59" s="249">
        <v>0.31</v>
      </c>
      <c r="O59" s="207" t="s">
        <v>474</v>
      </c>
      <c r="P59" s="249">
        <v>-0.080000000000000002</v>
      </c>
      <c r="Q59" s="249">
        <v>0.25</v>
      </c>
      <c r="R59" s="249">
        <v>0.01</v>
      </c>
      <c r="S59" s="249">
        <v>0.46999999999999997</v>
      </c>
      <c r="U59" s="207" t="s">
        <v>474</v>
      </c>
      <c r="V59" s="249">
        <v>-0.080000000000000002</v>
      </c>
      <c r="W59" s="249">
        <v>0.25</v>
      </c>
      <c r="X59" s="249">
        <v>0.01</v>
      </c>
      <c r="Y59" s="249">
        <v>0.46999999999999997</v>
      </c>
      <c r="AA59" s="259" t="s">
        <v>549</v>
      </c>
      <c r="AB59" s="260">
        <v>0.143930100629407</v>
      </c>
      <c r="AC59" s="260">
        <v>0.30917388250185002</v>
      </c>
      <c r="AD59" s="260">
        <v>0.24727546459194499</v>
      </c>
      <c r="AE59" s="260">
        <v>0.52402618998956296</v>
      </c>
    </row>
    <row r="60">
      <c r="AA60" s="259" t="s">
        <v>550</v>
      </c>
      <c r="AB60" s="260">
        <v>0.111999250154406</v>
      </c>
      <c r="AC60" s="260">
        <v>0.26437249444456901</v>
      </c>
      <c r="AD60" s="260">
        <v>0.202173824263745</v>
      </c>
      <c r="AE60" s="260">
        <v>0.452878701063818</v>
      </c>
    </row>
    <row r="61">
      <c r="AA61" s="259" t="s">
        <v>551</v>
      </c>
      <c r="AB61" s="260">
        <v>0.077111706407435102</v>
      </c>
      <c r="AC61" s="260">
        <v>0.185840824502263</v>
      </c>
      <c r="AD61" s="260">
        <v>0.130407808938862</v>
      </c>
      <c r="AE61" s="260">
        <v>0.39332523215410298</v>
      </c>
    </row>
    <row r="62">
      <c r="AA62" s="259" t="s">
        <v>552</v>
      </c>
      <c r="AB62" s="260">
        <v>0.10569420834634</v>
      </c>
      <c r="AC62" s="260">
        <v>0.233825824651888</v>
      </c>
      <c r="AD62" s="260">
        <v>0.12145168517711</v>
      </c>
      <c r="AE62" s="260">
        <v>0.28456322462675498</v>
      </c>
    </row>
    <row r="63">
      <c r="AA63" s="259" t="s">
        <v>553</v>
      </c>
      <c r="AB63" s="260">
        <v>0.15313214879117901</v>
      </c>
      <c r="AC63" s="260">
        <v>0.28167154548697099</v>
      </c>
      <c r="AD63" s="260">
        <v>0.21745661685411</v>
      </c>
      <c r="AE63" s="260">
        <v>0.44781912952832198</v>
      </c>
    </row>
    <row r="64">
      <c r="AA64" s="259" t="s">
        <v>554</v>
      </c>
      <c r="AB64" s="260">
        <v>0.12668044024441</v>
      </c>
      <c r="AC64" s="260">
        <v>0.28628488326684798</v>
      </c>
      <c r="AD64" s="260">
        <v>0.18181676342213399</v>
      </c>
      <c r="AE64" s="260">
        <v>0.34758104158984798</v>
      </c>
    </row>
    <row r="65">
      <c r="AA65" s="262" t="s">
        <v>555</v>
      </c>
      <c r="AB65" s="263">
        <v>0.097471088903460595</v>
      </c>
      <c r="AC65" s="263">
        <v>0.22824356418992101</v>
      </c>
      <c r="AD65" s="263">
        <v>0.11557689741429</v>
      </c>
      <c r="AE65" s="263">
        <v>0.26274288980216698</v>
      </c>
    </row>
    <row r="67">
      <c r="B67" s="244" t="s">
        <v>556</v>
      </c>
      <c r="C67" s="264"/>
      <c r="D67" s="265" t="s">
        <v>557</v>
      </c>
      <c r="E67" s="264"/>
      <c r="F67" s="264"/>
    </row>
    <row r="68" ht="13.949999999999999" customHeight="1">
      <c r="B68" s="264"/>
      <c r="C68" s="264"/>
      <c r="D68" s="264"/>
      <c r="E68" s="264"/>
      <c r="F68" s="264"/>
    </row>
    <row r="69" ht="31.949999999999999" customHeight="1">
      <c r="B69" s="266" t="s">
        <v>443</v>
      </c>
      <c r="C69" s="266"/>
      <c r="D69" s="246" t="s">
        <v>3</v>
      </c>
      <c r="E69" s="246"/>
      <c r="F69" s="246"/>
      <c r="G69" s="246"/>
    </row>
    <row r="70">
      <c r="B70" s="245"/>
      <c r="C70" s="245"/>
      <c r="D70" s="201">
        <v>2025</v>
      </c>
      <c r="E70" s="201">
        <v>2030</v>
      </c>
      <c r="F70" s="201">
        <v>2040</v>
      </c>
      <c r="G70" s="201">
        <v>2050</v>
      </c>
    </row>
    <row r="71">
      <c r="B71" s="224" t="s">
        <v>22</v>
      </c>
      <c r="C71" s="224"/>
      <c r="D71" s="247"/>
      <c r="E71" s="247"/>
      <c r="F71" s="247"/>
      <c r="G71" s="247"/>
    </row>
    <row r="72">
      <c r="B72" s="267" t="s">
        <v>446</v>
      </c>
      <c r="C72" s="267"/>
      <c r="D72" s="268">
        <v>0.95999999999999996</v>
      </c>
      <c r="E72" s="268">
        <v>0.95999999999999996</v>
      </c>
      <c r="F72" s="268">
        <f t="shared" ref="F72:F94" si="179">(E72+G72)/2</f>
        <v>0.94999999999999996</v>
      </c>
      <c r="G72" s="268">
        <v>0.93999999999999995</v>
      </c>
      <c r="H72" s="58" t="s">
        <v>558</v>
      </c>
      <c r="W72" s="212"/>
      <c r="X72" s="212"/>
    </row>
    <row r="73">
      <c r="B73" s="267" t="s">
        <v>449</v>
      </c>
      <c r="C73" s="267"/>
      <c r="D73" s="268">
        <v>0.98999999999999999</v>
      </c>
      <c r="E73" s="268">
        <v>0.97999999999999998</v>
      </c>
      <c r="F73" s="268">
        <f t="shared" si="179"/>
        <v>0.96499999999999997</v>
      </c>
      <c r="G73" s="268">
        <v>0.94999999999999996</v>
      </c>
      <c r="H73" s="58" t="s">
        <v>559</v>
      </c>
      <c r="W73" s="212"/>
      <c r="X73" s="212"/>
    </row>
    <row r="74">
      <c r="B74" s="267" t="s">
        <v>451</v>
      </c>
      <c r="C74" s="267"/>
      <c r="D74" s="249">
        <v>1</v>
      </c>
      <c r="E74" s="249">
        <v>0.97999999999999998</v>
      </c>
      <c r="F74" s="249">
        <f t="shared" si="179"/>
        <v>0.96499999999999997</v>
      </c>
      <c r="G74" s="268">
        <v>0.94999999999999996</v>
      </c>
      <c r="H74" s="58" t="s">
        <v>560</v>
      </c>
    </row>
    <row r="75">
      <c r="B75" s="269" t="s">
        <v>561</v>
      </c>
      <c r="C75" s="267"/>
      <c r="D75" s="249">
        <v>1</v>
      </c>
      <c r="E75" s="249">
        <v>1</v>
      </c>
      <c r="F75" s="249">
        <f t="shared" si="179"/>
        <v>1</v>
      </c>
      <c r="G75" s="249">
        <v>1</v>
      </c>
      <c r="H75" s="58" t="s">
        <v>562</v>
      </c>
    </row>
    <row r="76">
      <c r="B76" s="267" t="s">
        <v>504</v>
      </c>
      <c r="C76" s="267"/>
      <c r="D76" s="249">
        <v>0.98645161290322603</v>
      </c>
      <c r="E76" s="249">
        <v>0.97516129032258103</v>
      </c>
      <c r="F76" s="249">
        <f t="shared" si="179"/>
        <v>0.9525806451612906</v>
      </c>
      <c r="G76" s="249">
        <v>0.93000000000000005</v>
      </c>
      <c r="H76" s="58" t="s">
        <v>563</v>
      </c>
      <c r="W76" s="212"/>
      <c r="X76" s="212"/>
    </row>
    <row r="77">
      <c r="B77" s="267" t="s">
        <v>505</v>
      </c>
      <c r="C77" s="267"/>
      <c r="D77" s="268">
        <v>0.98999999999999999</v>
      </c>
      <c r="E77" s="268">
        <v>0.97999999999999998</v>
      </c>
      <c r="F77" s="268">
        <f t="shared" si="179"/>
        <v>0.96499999999999997</v>
      </c>
      <c r="G77" s="268">
        <v>0.94999999999999996</v>
      </c>
      <c r="H77" s="58" t="s">
        <v>564</v>
      </c>
    </row>
    <row r="78">
      <c r="B78" s="267" t="s">
        <v>458</v>
      </c>
      <c r="C78" s="267"/>
      <c r="D78" s="249">
        <v>0.97391951528057497</v>
      </c>
      <c r="E78" s="249">
        <v>0.96408194441915396</v>
      </c>
      <c r="F78" s="249">
        <f t="shared" si="179"/>
        <v>0.9591631589884444</v>
      </c>
      <c r="G78" s="249">
        <v>0.95424437355773495</v>
      </c>
      <c r="H78" s="58" t="s">
        <v>565</v>
      </c>
      <c r="W78" s="212"/>
      <c r="X78" s="212"/>
    </row>
    <row r="79">
      <c r="B79" s="224" t="s">
        <v>23</v>
      </c>
      <c r="C79" s="224"/>
      <c r="D79" s="247"/>
      <c r="E79" s="247"/>
      <c r="F79" s="247"/>
      <c r="G79" s="247"/>
      <c r="H79" s="58"/>
    </row>
    <row r="80">
      <c r="B80" s="267" t="s">
        <v>460</v>
      </c>
      <c r="C80" s="267"/>
      <c r="D80" s="249">
        <v>0.95999999999999996</v>
      </c>
      <c r="E80" s="249">
        <v>0.92000000000000004</v>
      </c>
      <c r="F80" s="249">
        <f t="shared" si="179"/>
        <v>0.91000000000000003</v>
      </c>
      <c r="G80" s="249">
        <v>0.90000000000000002</v>
      </c>
      <c r="H80" s="58" t="s">
        <v>566</v>
      </c>
    </row>
    <row r="81">
      <c r="B81" s="267" t="s">
        <v>461</v>
      </c>
      <c r="C81" s="267"/>
      <c r="D81" s="268">
        <v>0.97999999999999998</v>
      </c>
      <c r="E81" s="268">
        <v>0.96999999999999997</v>
      </c>
      <c r="F81" s="268">
        <f t="shared" si="179"/>
        <v>0.95999999999999996</v>
      </c>
      <c r="G81" s="268">
        <v>0.94999999999999996</v>
      </c>
      <c r="H81" s="58" t="s">
        <v>558</v>
      </c>
      <c r="W81" s="212"/>
      <c r="X81" s="212"/>
    </row>
    <row r="82">
      <c r="B82" s="267" t="s">
        <v>463</v>
      </c>
      <c r="C82" s="267"/>
      <c r="D82" s="268">
        <v>0.96999999999999997</v>
      </c>
      <c r="E82" s="249">
        <v>0.93057660796472297</v>
      </c>
      <c r="F82" s="249">
        <f t="shared" si="179"/>
        <v>0.9256788363438565</v>
      </c>
      <c r="G82" s="249">
        <v>0.92078106472299004</v>
      </c>
      <c r="H82" s="58" t="s">
        <v>565</v>
      </c>
      <c r="W82" s="212"/>
      <c r="X82" s="212"/>
    </row>
    <row r="83">
      <c r="B83" s="224" t="s">
        <v>464</v>
      </c>
      <c r="C83" s="224"/>
      <c r="D83" s="247"/>
      <c r="E83" s="247"/>
      <c r="F83" s="247"/>
      <c r="G83" s="247"/>
      <c r="H83" s="58"/>
    </row>
    <row r="84">
      <c r="B84" s="267" t="s">
        <v>506</v>
      </c>
      <c r="C84" s="267"/>
      <c r="D84" s="268">
        <v>0.94999999999999996</v>
      </c>
      <c r="E84" s="268">
        <v>0.93999999999999995</v>
      </c>
      <c r="F84" s="268">
        <f t="shared" si="179"/>
        <v>0.92999999999999994</v>
      </c>
      <c r="G84" s="268">
        <v>0.92000000000000004</v>
      </c>
      <c r="H84" s="58" t="s">
        <v>558</v>
      </c>
      <c r="W84" s="212"/>
      <c r="X84" s="212"/>
    </row>
    <row r="85">
      <c r="B85" s="267" t="s">
        <v>466</v>
      </c>
      <c r="C85" s="267"/>
      <c r="D85" s="268">
        <v>0.95093921708769802</v>
      </c>
      <c r="E85" s="268">
        <v>0.90613056287937699</v>
      </c>
      <c r="F85" s="268">
        <f t="shared" si="179"/>
        <v>0.88123686609697649</v>
      </c>
      <c r="G85" s="268">
        <v>0.85634316931457599</v>
      </c>
      <c r="H85" s="58" t="s">
        <v>567</v>
      </c>
      <c r="W85" s="212"/>
      <c r="X85" s="212"/>
    </row>
    <row r="86">
      <c r="B86" s="267" t="s">
        <v>467</v>
      </c>
      <c r="C86" s="267"/>
      <c r="D86" s="249">
        <v>0.96624355022597797</v>
      </c>
      <c r="E86" s="249">
        <v>0.94146807457915704</v>
      </c>
      <c r="F86" s="249">
        <f t="shared" si="179"/>
        <v>0.93651297944979306</v>
      </c>
      <c r="G86" s="249">
        <v>0.93155788432042896</v>
      </c>
      <c r="H86" s="58" t="s">
        <v>562</v>
      </c>
    </row>
    <row r="87">
      <c r="B87" s="224" t="s">
        <v>507</v>
      </c>
      <c r="C87" s="224"/>
      <c r="D87" s="250"/>
      <c r="E87" s="247"/>
      <c r="F87" s="247"/>
      <c r="G87" s="247"/>
      <c r="H87" s="58"/>
    </row>
    <row r="88">
      <c r="B88" s="267" t="s">
        <v>508</v>
      </c>
      <c r="C88" s="267"/>
      <c r="D88" s="268">
        <v>0.95999999999999996</v>
      </c>
      <c r="E88" s="268">
        <v>0.94999999999999996</v>
      </c>
      <c r="F88" s="268">
        <f t="shared" si="179"/>
        <v>0.92999999999999994</v>
      </c>
      <c r="G88" s="268">
        <v>0.91000000000000003</v>
      </c>
      <c r="H88" s="58" t="s">
        <v>568</v>
      </c>
      <c r="W88" s="212"/>
      <c r="X88" s="212"/>
    </row>
    <row r="89">
      <c r="B89" s="267" t="s">
        <v>509</v>
      </c>
      <c r="C89" s="267"/>
      <c r="D89" s="268">
        <v>0.98999999999999999</v>
      </c>
      <c r="E89" s="268">
        <v>0.98999999999999999</v>
      </c>
      <c r="F89" s="268">
        <f t="shared" si="179"/>
        <v>0.97999999999999998</v>
      </c>
      <c r="G89" s="268">
        <v>0.96999999999999997</v>
      </c>
      <c r="H89" s="58" t="s">
        <v>569</v>
      </c>
      <c r="W89" s="212"/>
      <c r="X89" s="212"/>
    </row>
    <row r="90">
      <c r="B90" s="224" t="s">
        <v>471</v>
      </c>
      <c r="C90" s="224"/>
      <c r="D90" s="268">
        <v>0.98999999999999999</v>
      </c>
      <c r="E90" s="268">
        <v>0.96999999999999997</v>
      </c>
      <c r="F90" s="268">
        <f t="shared" si="179"/>
        <v>0.94999999999999996</v>
      </c>
      <c r="G90" s="268">
        <v>0.93000000000000005</v>
      </c>
      <c r="H90" s="58" t="s">
        <v>570</v>
      </c>
      <c r="W90" s="212"/>
      <c r="X90" s="212"/>
    </row>
    <row r="91">
      <c r="B91" s="224" t="s">
        <v>29</v>
      </c>
      <c r="C91" s="224"/>
      <c r="D91" s="249">
        <v>0.98999999999999999</v>
      </c>
      <c r="E91" s="249">
        <v>0.98899999999999999</v>
      </c>
      <c r="F91" s="249">
        <f t="shared" si="179"/>
        <v>0.97899999999999998</v>
      </c>
      <c r="G91" s="249">
        <v>0.96899999999999997</v>
      </c>
      <c r="H91" s="58" t="s">
        <v>571</v>
      </c>
      <c r="I91" s="270"/>
      <c r="X91" s="212"/>
    </row>
    <row r="92">
      <c r="B92" s="224" t="s">
        <v>472</v>
      </c>
      <c r="C92" s="224"/>
      <c r="D92" s="250"/>
      <c r="E92" s="247"/>
      <c r="F92" s="247"/>
      <c r="G92" s="247"/>
      <c r="H92" s="58"/>
    </row>
    <row r="93">
      <c r="B93" s="267" t="s">
        <v>473</v>
      </c>
      <c r="C93" s="267"/>
      <c r="D93" s="268">
        <v>0.93000000000000005</v>
      </c>
      <c r="E93" s="268">
        <v>0.92000000000000004</v>
      </c>
      <c r="F93" s="268">
        <f t="shared" si="179"/>
        <v>0.91000000000000003</v>
      </c>
      <c r="G93" s="268">
        <v>0.90000000000000002</v>
      </c>
      <c r="H93" s="58" t="s">
        <v>572</v>
      </c>
      <c r="X93" s="212"/>
    </row>
    <row r="94">
      <c r="B94" s="267" t="s">
        <v>474</v>
      </c>
      <c r="C94" s="267"/>
      <c r="D94" s="268">
        <v>0.98999999999999999</v>
      </c>
      <c r="E94" s="268">
        <v>0.98999999999999999</v>
      </c>
      <c r="F94" s="268">
        <f t="shared" si="179"/>
        <v>0.97999999999999998</v>
      </c>
      <c r="G94" s="268">
        <v>0.96999999999999997</v>
      </c>
      <c r="H94" s="58" t="s">
        <v>573</v>
      </c>
      <c r="X94" s="212"/>
    </row>
    <row r="99">
      <c r="B99" s="271" t="s">
        <v>574</v>
      </c>
    </row>
    <row r="101">
      <c r="D101" s="272" t="s">
        <v>575</v>
      </c>
      <c r="E101" s="272"/>
      <c r="F101" s="272" t="s">
        <v>576</v>
      </c>
      <c r="G101" s="272"/>
    </row>
    <row r="102">
      <c r="D102" s="201">
        <v>2030</v>
      </c>
      <c r="E102" s="201">
        <v>2050</v>
      </c>
      <c r="F102" s="201">
        <v>2030</v>
      </c>
      <c r="G102" s="201">
        <v>2050</v>
      </c>
    </row>
    <row r="103">
      <c r="B103" s="273" t="s">
        <v>577</v>
      </c>
      <c r="C103" s="273"/>
      <c r="D103" s="274"/>
      <c r="E103" s="275"/>
      <c r="F103" s="275"/>
      <c r="G103" s="276"/>
    </row>
    <row r="104">
      <c r="B104" s="277" t="s">
        <v>578</v>
      </c>
      <c r="C104" s="277"/>
      <c r="D104" s="278" t="s">
        <v>579</v>
      </c>
      <c r="E104" s="279" t="s">
        <v>579</v>
      </c>
      <c r="F104" s="138">
        <v>0.91332715408090104</v>
      </c>
      <c r="G104" s="280">
        <v>0.68832090023985404</v>
      </c>
    </row>
    <row r="105">
      <c r="B105" s="277" t="s">
        <v>580</v>
      </c>
      <c r="C105" s="277"/>
      <c r="D105" s="281">
        <v>0.94483143582853402</v>
      </c>
      <c r="E105" s="138">
        <v>0.90539175146392803</v>
      </c>
      <c r="F105" s="138">
        <v>0.95666386576374396</v>
      </c>
      <c r="G105" s="280">
        <v>0.93693348131920695</v>
      </c>
    </row>
    <row r="106" ht="15" customHeight="1">
      <c r="B106" s="277" t="s">
        <v>581</v>
      </c>
      <c r="C106" s="277"/>
      <c r="D106" s="282"/>
      <c r="E106" s="1"/>
      <c r="F106" s="1"/>
      <c r="G106" s="283"/>
    </row>
    <row r="107">
      <c r="D107" s="282"/>
      <c r="E107" s="1"/>
      <c r="F107" s="1"/>
      <c r="G107" s="283"/>
    </row>
    <row r="108">
      <c r="B108" s="277" t="s">
        <v>582</v>
      </c>
      <c r="C108" s="277"/>
      <c r="D108" s="281">
        <v>0.78469454253299498</v>
      </c>
      <c r="E108" s="138">
        <v>0.448114548339413</v>
      </c>
      <c r="F108" s="138">
        <v>0.92518971064931499</v>
      </c>
      <c r="G108" s="280">
        <v>0.85869097158293795</v>
      </c>
      <c r="H108" s="1" t="s">
        <v>583</v>
      </c>
    </row>
    <row r="109">
      <c r="B109" s="277"/>
      <c r="C109" s="277"/>
      <c r="D109" s="281"/>
      <c r="E109" s="138"/>
      <c r="F109" s="138"/>
      <c r="G109" s="280"/>
    </row>
    <row r="110">
      <c r="B110" s="277" t="s">
        <v>584</v>
      </c>
      <c r="C110" s="277"/>
      <c r="D110" s="281">
        <v>1.00212918670271</v>
      </c>
      <c r="E110" s="138">
        <v>0.64012062299697503</v>
      </c>
      <c r="F110" s="138">
        <v>1.09600548090054</v>
      </c>
      <c r="G110" s="280">
        <v>1.07589135156824</v>
      </c>
    </row>
    <row r="111">
      <c r="B111" s="277"/>
      <c r="C111" s="277"/>
      <c r="D111" s="281"/>
      <c r="E111" s="138"/>
      <c r="F111" s="138"/>
      <c r="G111" s="280"/>
    </row>
    <row r="112">
      <c r="B112" s="277" t="s">
        <v>585</v>
      </c>
      <c r="C112" s="277"/>
      <c r="D112" s="281">
        <v>0.73576298930750905</v>
      </c>
      <c r="E112" s="138">
        <v>0.71200385889235396</v>
      </c>
      <c r="F112" s="138">
        <v>0.738328034332286</v>
      </c>
      <c r="G112" s="280">
        <v>0.71794868560444403</v>
      </c>
    </row>
    <row r="113">
      <c r="B113" s="277" t="s">
        <v>586</v>
      </c>
      <c r="C113" s="277"/>
      <c r="D113" s="281">
        <v>0.95835179869901299</v>
      </c>
      <c r="E113" s="138">
        <v>0.90754207169630097</v>
      </c>
      <c r="F113" s="138">
        <v>0.88775029134714001</v>
      </c>
      <c r="G113" s="280">
        <v>0.70941641730404303</v>
      </c>
    </row>
    <row r="114">
      <c r="B114" s="277" t="s">
        <v>587</v>
      </c>
      <c r="C114" s="277"/>
      <c r="D114" s="281">
        <v>0.93182591586613495</v>
      </c>
      <c r="E114" s="138">
        <v>0.86133876268689902</v>
      </c>
      <c r="F114" s="138">
        <v>0.91063308904493601</v>
      </c>
      <c r="G114" s="280">
        <v>0.80554219430119001</v>
      </c>
    </row>
    <row r="115">
      <c r="B115" s="277"/>
      <c r="C115" s="277"/>
      <c r="D115" s="281"/>
      <c r="E115" s="138"/>
      <c r="F115" s="138"/>
      <c r="G115" s="280"/>
    </row>
    <row r="116">
      <c r="B116" s="277" t="s">
        <v>588</v>
      </c>
      <c r="C116" s="277"/>
      <c r="D116" s="281">
        <v>0.92646664060194295</v>
      </c>
      <c r="E116" s="138">
        <v>0.83507564764822595</v>
      </c>
      <c r="F116" s="138">
        <v>0.93921392674303406</v>
      </c>
      <c r="G116" s="280">
        <v>0.89399409480356296</v>
      </c>
    </row>
    <row r="117">
      <c r="B117" s="277" t="s">
        <v>589</v>
      </c>
      <c r="C117" s="277"/>
      <c r="D117" s="281">
        <v>0.88605352307274998</v>
      </c>
      <c r="E117" s="138">
        <v>0.72794278444363103</v>
      </c>
      <c r="F117" s="138">
        <v>0.83604427393969605</v>
      </c>
      <c r="G117" s="280">
        <v>0.64009664058007398</v>
      </c>
      <c r="H117" s="1" t="s">
        <v>583</v>
      </c>
    </row>
    <row r="118">
      <c r="B118" s="277" t="s">
        <v>590</v>
      </c>
      <c r="C118" s="277"/>
      <c r="D118" s="281">
        <v>0.96532753911166502</v>
      </c>
      <c r="E118" s="138">
        <v>0.95644668669170196</v>
      </c>
      <c r="F118" s="138">
        <v>0.90467101089674196</v>
      </c>
      <c r="G118" s="280">
        <v>0.79108185666972197</v>
      </c>
    </row>
    <row r="119">
      <c r="B119" s="277"/>
      <c r="C119" s="277"/>
      <c r="D119" s="281"/>
      <c r="E119" s="138"/>
      <c r="F119" s="138"/>
      <c r="G119" s="280"/>
    </row>
    <row r="120">
      <c r="B120" s="277" t="s">
        <v>591</v>
      </c>
      <c r="C120" s="277"/>
      <c r="D120" s="281">
        <v>0.93477128004288101</v>
      </c>
      <c r="E120" s="138">
        <v>0.87881338890024596</v>
      </c>
      <c r="F120" s="138">
        <v>0.86532321515244603</v>
      </c>
      <c r="G120" s="280">
        <v>0.70728093458586105</v>
      </c>
    </row>
    <row r="121">
      <c r="B121" s="277" t="s">
        <v>592</v>
      </c>
      <c r="C121" s="277"/>
      <c r="D121" s="281">
        <v>0.90009674324570899</v>
      </c>
      <c r="E121" s="138">
        <v>0.76845063887382503</v>
      </c>
      <c r="F121" s="138">
        <v>0.87339442883033802</v>
      </c>
      <c r="G121" s="280">
        <v>0.71363019095281099</v>
      </c>
    </row>
    <row r="122">
      <c r="B122" s="277" t="s">
        <v>593</v>
      </c>
      <c r="C122" s="277"/>
      <c r="D122" s="281">
        <v>0.87734260581375201</v>
      </c>
      <c r="E122" s="138">
        <v>0.72604683341510701</v>
      </c>
      <c r="F122" s="138">
        <v>0.88569269031682696</v>
      </c>
      <c r="G122" s="280">
        <v>0.74927516861020504</v>
      </c>
    </row>
    <row r="123">
      <c r="B123" s="277" t="s">
        <v>590</v>
      </c>
      <c r="C123" s="277"/>
      <c r="D123" s="281">
        <v>0.96532753911166502</v>
      </c>
      <c r="E123" s="138">
        <v>0.95644668669170196</v>
      </c>
      <c r="F123" s="138">
        <v>0.90467101089674196</v>
      </c>
      <c r="G123" s="280">
        <v>0.79108185666972197</v>
      </c>
    </row>
    <row r="124">
      <c r="B124" s="277"/>
      <c r="C124" s="277"/>
      <c r="D124" s="281"/>
      <c r="E124" s="138"/>
      <c r="F124" s="138"/>
      <c r="G124" s="280"/>
    </row>
    <row r="125">
      <c r="B125" s="277" t="s">
        <v>594</v>
      </c>
      <c r="C125" s="277"/>
      <c r="D125" s="284">
        <v>0.87734260581375201</v>
      </c>
      <c r="E125" s="285">
        <v>0.72604683341510701</v>
      </c>
      <c r="F125" s="285">
        <v>0.88569269031682696</v>
      </c>
      <c r="G125" s="286">
        <v>0.74927516861020504</v>
      </c>
    </row>
  </sheetData>
  <mergeCells count="68">
    <mergeCell ref="B124:C124"/>
    <mergeCell ref="B125:C125"/>
    <mergeCell ref="B119:C119"/>
    <mergeCell ref="B120:C120"/>
    <mergeCell ref="B121:C121"/>
    <mergeCell ref="B122:C122"/>
    <mergeCell ref="B123:C123"/>
    <mergeCell ref="B114:C114"/>
    <mergeCell ref="B115:C115"/>
    <mergeCell ref="B116:C116"/>
    <mergeCell ref="B117:C117"/>
    <mergeCell ref="B118:C118"/>
    <mergeCell ref="B109:C109"/>
    <mergeCell ref="B110:C110"/>
    <mergeCell ref="B111:C111"/>
    <mergeCell ref="B112:C112"/>
    <mergeCell ref="B113:C113"/>
    <mergeCell ref="B103:C103"/>
    <mergeCell ref="B104:C104"/>
    <mergeCell ref="B105:C105"/>
    <mergeCell ref="B106:C106"/>
    <mergeCell ref="B108:C108"/>
    <mergeCell ref="AB39:AC39"/>
    <mergeCell ref="AD39:AE39"/>
    <mergeCell ref="D69:G69"/>
    <mergeCell ref="D101:E101"/>
    <mergeCell ref="F101:G101"/>
    <mergeCell ref="P36:S36"/>
    <mergeCell ref="U36:U38"/>
    <mergeCell ref="V36:Y36"/>
    <mergeCell ref="C37:D37"/>
    <mergeCell ref="E37:F37"/>
    <mergeCell ref="I37:J37"/>
    <mergeCell ref="K37:L37"/>
    <mergeCell ref="P37:Q37"/>
    <mergeCell ref="R37:S37"/>
    <mergeCell ref="V37:W37"/>
    <mergeCell ref="X37:Y37"/>
    <mergeCell ref="B36:B38"/>
    <mergeCell ref="C36:F36"/>
    <mergeCell ref="H36:H38"/>
    <mergeCell ref="I36:L36"/>
    <mergeCell ref="O36:O38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6:C7"/>
    <mergeCell ref="D6:G6"/>
    <mergeCell ref="B8:C8"/>
    <mergeCell ref="B9:C9"/>
    <mergeCell ref="B10:C10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2A6099"/>
    <outlinePr applyStyles="0" summaryBelow="1" summaryRight="1" showOutlineSymbols="1"/>
    <pageSetUpPr autoPageBreaks="1" fitToPage="0"/>
  </sheetPr>
  <sheetViews>
    <sheetView zoomScale="65" workbookViewId="0">
      <selection activeCell="O21" activeCellId="0" sqref="O21"/>
    </sheetView>
  </sheetViews>
  <sheetFormatPr baseColWidth="10" defaultColWidth="8.88671875" defaultRowHeight="14.4"/>
  <cols>
    <col customWidth="1" min="1" max="1" style="1" width="8.44140625"/>
    <col customWidth="1" min="2" max="2" style="1" width="23.21875"/>
    <col customWidth="1" min="3" max="14" style="1" width="8.44140625"/>
    <col customWidth="1" min="15" max="15" style="1" width="27"/>
    <col customWidth="1" min="16" max="16" style="1" width="33.33203125"/>
    <col customWidth="1" min="17" max="17" style="1" width="29.44140625"/>
    <col customWidth="1" min="18" max="19" style="1" width="8.44140625"/>
    <col customWidth="1" min="20" max="20" style="1" width="14.6640625"/>
    <col customWidth="1" min="21" max="21" style="1" width="15.77734375"/>
    <col customWidth="1" min="22" max="22" style="1" width="17"/>
    <col customWidth="1" min="23" max="1025" style="1" width="8.44140625"/>
  </cols>
  <sheetData>
    <row r="7" ht="13.949999999999999" customHeight="1">
      <c r="B7" s="287" t="s">
        <v>595</v>
      </c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8"/>
      <c r="Q7" s="288"/>
      <c r="R7" s="288"/>
    </row>
    <row r="9">
      <c r="B9" s="1" t="s">
        <v>596</v>
      </c>
      <c r="C9" s="289" t="s">
        <v>597</v>
      </c>
      <c r="D9" s="289"/>
      <c r="E9" s="289"/>
      <c r="F9" s="289"/>
      <c r="G9" s="289"/>
      <c r="H9" s="289"/>
      <c r="I9" s="290" t="s">
        <v>20</v>
      </c>
      <c r="J9" s="290"/>
      <c r="K9" s="290"/>
      <c r="L9" s="290"/>
      <c r="M9" s="290"/>
      <c r="N9" s="290"/>
      <c r="R9" s="290" t="s">
        <v>511</v>
      </c>
      <c r="S9" s="290"/>
      <c r="T9" s="290" t="s">
        <v>513</v>
      </c>
      <c r="U9" s="290"/>
      <c r="W9" s="1" t="s">
        <v>598</v>
      </c>
      <c r="AD9" s="253" t="s">
        <v>599</v>
      </c>
      <c r="AE9" s="253"/>
    </row>
    <row r="10">
      <c r="C10" s="291">
        <v>2010</v>
      </c>
      <c r="D10" s="291">
        <v>2015</v>
      </c>
      <c r="E10" s="291">
        <v>2016</v>
      </c>
      <c r="F10" s="291">
        <v>2017</v>
      </c>
      <c r="G10" s="291">
        <v>2018</v>
      </c>
      <c r="H10" s="291">
        <v>2019</v>
      </c>
      <c r="I10" s="292">
        <v>2025</v>
      </c>
      <c r="J10" s="292">
        <v>2030</v>
      </c>
      <c r="K10" s="292">
        <v>2035</v>
      </c>
      <c r="L10" s="292">
        <v>2040</v>
      </c>
      <c r="M10" s="292">
        <v>2045</v>
      </c>
      <c r="N10" s="292">
        <v>2050</v>
      </c>
      <c r="O10" s="1" t="s">
        <v>600</v>
      </c>
      <c r="P10" s="1" t="s">
        <v>601</v>
      </c>
      <c r="R10" s="292">
        <v>2030</v>
      </c>
      <c r="S10" s="292">
        <v>2050</v>
      </c>
      <c r="T10" s="292">
        <v>2030</v>
      </c>
      <c r="U10" s="292">
        <v>2050</v>
      </c>
      <c r="X10" s="293" t="s">
        <v>602</v>
      </c>
      <c r="Y10" s="294" t="s">
        <v>603</v>
      </c>
      <c r="Z10" s="295" t="s">
        <v>604</v>
      </c>
      <c r="AA10" s="296" t="s">
        <v>605</v>
      </c>
      <c r="AB10" s="297" t="s">
        <v>606</v>
      </c>
      <c r="AD10" s="253"/>
      <c r="AE10" s="298" t="s">
        <v>607</v>
      </c>
    </row>
    <row r="11">
      <c r="B11" s="205" t="s">
        <v>22</v>
      </c>
      <c r="C11" s="255">
        <v>0</v>
      </c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P11" s="1" t="s">
        <v>608</v>
      </c>
      <c r="R11" s="255"/>
      <c r="S11" s="255"/>
      <c r="T11" s="255"/>
      <c r="U11" s="255"/>
      <c r="W11" s="299" t="s">
        <v>5</v>
      </c>
      <c r="X11" s="300">
        <v>0.42999999999999999</v>
      </c>
      <c r="Y11" s="301">
        <v>0.51000000000000001</v>
      </c>
      <c r="Z11" s="302">
        <v>0.69999999999999996</v>
      </c>
      <c r="AA11" s="303">
        <v>0.44</v>
      </c>
      <c r="AB11" s="304">
        <v>0.40000000000000002</v>
      </c>
      <c r="AD11" s="305" t="s">
        <v>5</v>
      </c>
      <c r="AE11" s="306">
        <v>0.80000000000000004</v>
      </c>
    </row>
    <row r="12">
      <c r="B12" s="207" t="s">
        <v>526</v>
      </c>
      <c r="C12" s="307"/>
      <c r="D12" s="307">
        <f>IGCE!C5</f>
        <v>0.44389662027832999</v>
      </c>
      <c r="E12" s="307">
        <f>IGCE!D5</f>
        <v>0.44251903114186852</v>
      </c>
      <c r="F12" s="307">
        <f>IGCE!E5</f>
        <v>0.42223076923076924</v>
      </c>
      <c r="G12" s="307">
        <f>IGCE!F5</f>
        <v>0.4236893203883495</v>
      </c>
      <c r="H12" s="307">
        <f>IGCE!G5</f>
        <v>0.41677861549006168</v>
      </c>
      <c r="I12" s="249">
        <f t="shared" ref="I12:I29" si="180">(H12+J12)/2</f>
        <v>0.44338930774503083</v>
      </c>
      <c r="J12" s="249">
        <f>46%+1%</f>
        <v>0.47000000000000003</v>
      </c>
      <c r="K12" s="249">
        <f t="shared" ref="K12:K29" si="181">(J12+L12)/2</f>
        <v>0.47499999999999998</v>
      </c>
      <c r="L12" s="249">
        <f t="shared" ref="L12:L29" si="182">(J12+N12)/2</f>
        <v>0.47999999999999998</v>
      </c>
      <c r="M12" s="249">
        <f t="shared" ref="M12:M29" si="183">(L12+N12)/2</f>
        <v>0.48499999999999999</v>
      </c>
      <c r="N12" s="249">
        <f>46%+3%</f>
        <v>0.48999999999999999</v>
      </c>
      <c r="O12" s="1" t="s">
        <v>609</v>
      </c>
      <c r="P12" s="1" t="s">
        <v>610</v>
      </c>
      <c r="R12" s="249">
        <v>0.35999999999999999</v>
      </c>
      <c r="S12" s="249">
        <v>0.35999999999999999</v>
      </c>
      <c r="T12" s="249">
        <v>0.47999999999999998</v>
      </c>
      <c r="U12" s="249">
        <v>0.80000000000000004</v>
      </c>
      <c r="W12" s="299" t="s">
        <v>9</v>
      </c>
      <c r="X12" s="300">
        <v>0.55000000000000004</v>
      </c>
      <c r="Y12" s="301">
        <v>0.75</v>
      </c>
      <c r="Z12" s="302">
        <v>0.84999999999999998</v>
      </c>
      <c r="AA12" s="303">
        <v>0.55000000000000004</v>
      </c>
      <c r="AB12" s="304">
        <v>0.45000000000000001</v>
      </c>
      <c r="AD12" s="308" t="s">
        <v>9</v>
      </c>
      <c r="AE12" s="309">
        <v>0.69999999999999996</v>
      </c>
    </row>
    <row r="13">
      <c r="B13" s="207" t="s">
        <v>527</v>
      </c>
      <c r="C13" s="307">
        <v>0.55944846292947603</v>
      </c>
      <c r="D13" s="307">
        <v>0.52855543113101899</v>
      </c>
      <c r="E13" s="307">
        <v>0.53159041394335504</v>
      </c>
      <c r="F13" s="307">
        <v>0.53927813163481997</v>
      </c>
      <c r="G13" s="307">
        <v>0.56492027334851902</v>
      </c>
      <c r="H13" s="307">
        <v>0.53243847874720396</v>
      </c>
      <c r="I13" s="249">
        <f t="shared" si="180"/>
        <v>0.53743847874720396</v>
      </c>
      <c r="J13" s="249">
        <f>H13+1%</f>
        <v>0.54243847874720397</v>
      </c>
      <c r="K13" s="249">
        <f t="shared" si="181"/>
        <v>0.54993847874720392</v>
      </c>
      <c r="L13" s="249">
        <f t="shared" si="182"/>
        <v>0.55743847874720398</v>
      </c>
      <c r="M13" s="249">
        <f t="shared" si="183"/>
        <v>0.56493847874720404</v>
      </c>
      <c r="N13" s="249">
        <f>J13+3%</f>
        <v>0.57243847874720399</v>
      </c>
      <c r="O13" s="1" t="s">
        <v>611</v>
      </c>
      <c r="P13" s="1" t="s">
        <v>612</v>
      </c>
      <c r="R13" s="249">
        <v>0.46571428571428602</v>
      </c>
      <c r="S13" s="249">
        <v>0.62</v>
      </c>
      <c r="T13" s="249">
        <v>0.55000000000000004</v>
      </c>
      <c r="U13" s="249">
        <v>0.80000000000000004</v>
      </c>
      <c r="W13" s="299" t="s">
        <v>15</v>
      </c>
      <c r="X13" s="300">
        <v>0.52000000000000002</v>
      </c>
      <c r="Y13" s="301">
        <v>0.84999999999999998</v>
      </c>
      <c r="Z13" s="302">
        <v>0.84999999999999998</v>
      </c>
      <c r="AA13" s="303">
        <v>0.65000000000000002</v>
      </c>
      <c r="AB13" s="304">
        <v>0.52000000000000002</v>
      </c>
      <c r="AD13" s="308" t="s">
        <v>15</v>
      </c>
      <c r="AE13" s="309">
        <v>0.80000000000000004</v>
      </c>
    </row>
    <row r="14">
      <c r="B14" s="207" t="s">
        <v>458</v>
      </c>
      <c r="C14" s="307"/>
      <c r="D14" s="307"/>
      <c r="E14" s="307"/>
      <c r="F14" s="307"/>
      <c r="G14" s="307"/>
      <c r="H14" s="307"/>
      <c r="I14" s="249"/>
      <c r="J14" s="249"/>
      <c r="K14" s="249"/>
      <c r="L14" s="249"/>
      <c r="M14" s="249"/>
      <c r="N14" s="249"/>
      <c r="R14" s="249">
        <v>0</v>
      </c>
      <c r="S14" s="249">
        <v>0</v>
      </c>
      <c r="T14" s="249">
        <v>0</v>
      </c>
      <c r="U14" s="249">
        <v>0</v>
      </c>
      <c r="W14" s="299" t="s">
        <v>16</v>
      </c>
      <c r="X14" s="300">
        <v>0.72999999999999998</v>
      </c>
      <c r="Y14" s="301">
        <v>0.84999999999999998</v>
      </c>
      <c r="Z14" s="302">
        <v>0.94999999999999996</v>
      </c>
      <c r="AA14" s="303">
        <v>0.84999999999999998</v>
      </c>
      <c r="AB14" s="304">
        <v>0.72999999999999998</v>
      </c>
      <c r="AD14" s="308" t="s">
        <v>16</v>
      </c>
      <c r="AE14" s="309">
        <v>0.87</v>
      </c>
    </row>
    <row r="15">
      <c r="B15" s="205" t="s">
        <v>23</v>
      </c>
      <c r="C15" s="255">
        <v>0</v>
      </c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R15" s="255">
        <v>0</v>
      </c>
      <c r="S15" s="255">
        <v>0</v>
      </c>
      <c r="T15" s="255">
        <v>0</v>
      </c>
      <c r="U15" s="255">
        <v>0</v>
      </c>
      <c r="W15" s="310" t="s">
        <v>613</v>
      </c>
      <c r="X15" s="311">
        <v>0.058693594193752002</v>
      </c>
      <c r="Y15" s="312">
        <v>0.80000000000000004</v>
      </c>
      <c r="Z15" s="313">
        <v>0.80000000000000004</v>
      </c>
      <c r="AA15" s="314">
        <v>0.40000000000000002</v>
      </c>
      <c r="AB15" s="315">
        <v>0.058693594193752002</v>
      </c>
      <c r="AD15" s="316" t="s">
        <v>613</v>
      </c>
      <c r="AE15" s="317">
        <v>0.34999999999999998</v>
      </c>
    </row>
    <row r="16">
      <c r="B16" s="207" t="s">
        <v>460</v>
      </c>
      <c r="C16" s="307"/>
      <c r="D16" s="307"/>
      <c r="E16" s="307"/>
      <c r="F16" s="307"/>
      <c r="G16" s="307"/>
      <c r="H16" s="307"/>
      <c r="I16" s="249"/>
      <c r="J16" s="249"/>
      <c r="K16" s="249"/>
      <c r="L16" s="249"/>
      <c r="M16" s="249"/>
      <c r="N16" s="249"/>
      <c r="R16" s="249">
        <v>0</v>
      </c>
      <c r="S16" s="249">
        <v>0</v>
      </c>
      <c r="T16" s="249">
        <v>0</v>
      </c>
      <c r="U16" s="249">
        <v>0</v>
      </c>
    </row>
    <row r="17">
      <c r="B17" s="207" t="s">
        <v>461</v>
      </c>
      <c r="C17" s="307" t="s">
        <v>614</v>
      </c>
      <c r="D17" s="307" t="s">
        <v>614</v>
      </c>
      <c r="E17" s="307" t="s">
        <v>614</v>
      </c>
      <c r="F17" s="307" t="s">
        <v>614</v>
      </c>
      <c r="G17" s="307" t="s">
        <v>614</v>
      </c>
      <c r="H17" s="307">
        <v>0.14499999999999999</v>
      </c>
      <c r="I17" s="249">
        <f t="shared" si="180"/>
        <v>0.22249999999999998</v>
      </c>
      <c r="J17" s="249">
        <f>29%+1%</f>
        <v>0.29999999999999999</v>
      </c>
      <c r="K17" s="249">
        <f t="shared" si="181"/>
        <v>0.3075</v>
      </c>
      <c r="L17" s="249">
        <f t="shared" si="182"/>
        <v>0.31499999999999995</v>
      </c>
      <c r="M17" s="249">
        <f t="shared" si="183"/>
        <v>0.32249999999999995</v>
      </c>
      <c r="N17" s="249">
        <f>J17+3%</f>
        <v>0.32999999999999996</v>
      </c>
      <c r="O17" s="1" t="s">
        <v>615</v>
      </c>
      <c r="P17" s="1" t="s">
        <v>616</v>
      </c>
      <c r="R17" s="249">
        <v>0</v>
      </c>
      <c r="S17" s="249">
        <v>0</v>
      </c>
      <c r="T17" s="249">
        <v>0.29999999999999999</v>
      </c>
      <c r="U17" s="249">
        <v>0.80000000000000004</v>
      </c>
    </row>
    <row r="18">
      <c r="B18" s="207" t="s">
        <v>463</v>
      </c>
      <c r="C18" s="307"/>
      <c r="D18" s="307"/>
      <c r="E18" s="307"/>
      <c r="F18" s="307"/>
      <c r="G18" s="307"/>
      <c r="H18" s="307"/>
      <c r="I18" s="249"/>
      <c r="J18" s="249"/>
      <c r="K18" s="249"/>
      <c r="L18" s="249"/>
      <c r="M18" s="249"/>
      <c r="N18" s="249"/>
      <c r="R18" s="249">
        <v>0</v>
      </c>
      <c r="S18" s="249">
        <v>0</v>
      </c>
      <c r="T18" s="249">
        <v>0</v>
      </c>
      <c r="U18" s="249">
        <v>0</v>
      </c>
      <c r="W18" s="1" t="s">
        <v>515</v>
      </c>
    </row>
    <row r="19">
      <c r="B19" s="205" t="s">
        <v>464</v>
      </c>
      <c r="C19" s="255">
        <v>0</v>
      </c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R19" s="255">
        <v>0</v>
      </c>
      <c r="S19" s="255">
        <v>0</v>
      </c>
      <c r="T19" s="255">
        <v>0</v>
      </c>
      <c r="U19" s="255">
        <v>0</v>
      </c>
      <c r="W19" s="142" t="s">
        <v>617</v>
      </c>
      <c r="X19" s="318">
        <v>2015</v>
      </c>
      <c r="Y19" s="318">
        <v>2020</v>
      </c>
      <c r="Z19" s="318">
        <v>2025</v>
      </c>
      <c r="AA19" s="318">
        <v>2030</v>
      </c>
      <c r="AB19" s="318">
        <v>2035</v>
      </c>
      <c r="AC19" s="318">
        <v>2040</v>
      </c>
      <c r="AD19" s="318">
        <v>2045</v>
      </c>
      <c r="AE19" s="318">
        <v>2050</v>
      </c>
    </row>
    <row r="20">
      <c r="B20" s="207" t="s">
        <v>465</v>
      </c>
      <c r="C20" s="307"/>
      <c r="D20" s="307"/>
      <c r="E20" s="307"/>
      <c r="F20" s="307"/>
      <c r="G20" s="307"/>
      <c r="H20" s="307"/>
      <c r="I20" s="249"/>
      <c r="J20" s="249"/>
      <c r="K20" s="249"/>
      <c r="L20" s="249"/>
      <c r="M20" s="249"/>
      <c r="N20" s="249"/>
      <c r="R20" s="249">
        <v>0</v>
      </c>
      <c r="S20" s="249">
        <v>0</v>
      </c>
      <c r="T20" s="249">
        <v>0</v>
      </c>
      <c r="U20" s="249">
        <v>0</v>
      </c>
      <c r="W20" s="319" t="s">
        <v>618</v>
      </c>
      <c r="X20" s="320">
        <v>0.33270114063888501</v>
      </c>
      <c r="Y20" s="320">
        <v>0.33270114063888601</v>
      </c>
      <c r="Z20" s="320">
        <v>0.33270114063888501</v>
      </c>
      <c r="AA20" s="320">
        <v>0.33270114063888601</v>
      </c>
      <c r="AB20" s="320">
        <v>0.33270114063888501</v>
      </c>
      <c r="AC20" s="320">
        <v>0.33270114063888501</v>
      </c>
      <c r="AD20" s="320">
        <v>0.33270114063888501</v>
      </c>
      <c r="AE20" s="320">
        <v>0.33270114063888501</v>
      </c>
    </row>
    <row r="21">
      <c r="B21" s="207" t="s">
        <v>466</v>
      </c>
      <c r="C21" s="307">
        <v>0.58040243709647399</v>
      </c>
      <c r="D21" s="307">
        <v>0.60967320261437896</v>
      </c>
      <c r="E21" s="307">
        <v>0.64116379310344795</v>
      </c>
      <c r="F21" s="307">
        <v>0.60014763779527602</v>
      </c>
      <c r="G21" s="307">
        <v>0.59520958083832298</v>
      </c>
      <c r="H21" s="307">
        <v>0.60669056152927103</v>
      </c>
      <c r="I21" s="249">
        <f t="shared" si="180"/>
        <v>0.61169056152927104</v>
      </c>
      <c r="J21" s="249">
        <f>H21+1%</f>
        <v>0.61669056152927104</v>
      </c>
      <c r="K21" s="249">
        <f t="shared" si="181"/>
        <v>0.6241905615292711</v>
      </c>
      <c r="L21" s="249">
        <f t="shared" si="182"/>
        <v>0.63169056152927106</v>
      </c>
      <c r="M21" s="249">
        <f t="shared" si="183"/>
        <v>0.63919056152927101</v>
      </c>
      <c r="N21" s="249">
        <f>J21+3%</f>
        <v>0.64669056152927107</v>
      </c>
      <c r="O21" s="1" t="s">
        <v>619</v>
      </c>
      <c r="P21" s="1" t="s">
        <v>612</v>
      </c>
      <c r="R21" s="249">
        <v>0.65000000000000002</v>
      </c>
      <c r="S21" s="249">
        <v>0.65000000000000002</v>
      </c>
      <c r="T21" s="249">
        <v>0.77000000000000002</v>
      </c>
      <c r="U21" s="249">
        <v>0.84999999999999998</v>
      </c>
      <c r="W21" s="319" t="s">
        <v>9</v>
      </c>
      <c r="X21" s="320">
        <v>0.55146126248309901</v>
      </c>
      <c r="Y21" s="320">
        <v>0.55146126248309901</v>
      </c>
      <c r="Z21" s="320">
        <v>0.55146126248309901</v>
      </c>
      <c r="AA21" s="320">
        <v>0.55146126248309901</v>
      </c>
      <c r="AB21" s="320">
        <v>0.55146126248309901</v>
      </c>
      <c r="AC21" s="320">
        <v>0.55146126248309901</v>
      </c>
      <c r="AD21" s="320">
        <v>0.55146126248309901</v>
      </c>
      <c r="AE21" s="320">
        <v>0.55146126248309901</v>
      </c>
    </row>
    <row r="22">
      <c r="B22" s="207" t="s">
        <v>467</v>
      </c>
      <c r="C22" s="307"/>
      <c r="D22" s="307"/>
      <c r="E22" s="307"/>
      <c r="F22" s="307"/>
      <c r="G22" s="307"/>
      <c r="H22" s="307"/>
      <c r="I22" s="249"/>
      <c r="J22" s="249"/>
      <c r="K22" s="249"/>
      <c r="L22" s="249"/>
      <c r="M22" s="249"/>
      <c r="N22" s="249"/>
      <c r="R22" s="249">
        <v>0</v>
      </c>
      <c r="S22" s="249">
        <v>0</v>
      </c>
      <c r="T22" s="249">
        <v>0</v>
      </c>
      <c r="U22" s="249">
        <v>0</v>
      </c>
      <c r="W22" s="319" t="s">
        <v>613</v>
      </c>
      <c r="X22" s="320">
        <v>0.057066663521714203</v>
      </c>
      <c r="Y22" s="320">
        <v>0.058536352971927302</v>
      </c>
      <c r="Z22" s="320">
        <v>0.0587989042969028</v>
      </c>
      <c r="AA22" s="320">
        <v>0.058572799636290099</v>
      </c>
      <c r="AB22" s="320">
        <v>0.058933693518077701</v>
      </c>
      <c r="AC22" s="320">
        <v>0.059581338780711299</v>
      </c>
      <c r="AD22" s="320">
        <v>0.059854465916222697</v>
      </c>
      <c r="AE22" s="320">
        <v>0.059739646602975302</v>
      </c>
    </row>
    <row r="23">
      <c r="B23" s="205" t="s">
        <v>507</v>
      </c>
      <c r="C23" s="255">
        <v>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R23" s="255">
        <v>0</v>
      </c>
      <c r="S23" s="255">
        <v>0</v>
      </c>
      <c r="T23" s="255">
        <v>0</v>
      </c>
      <c r="U23" s="255">
        <v>0</v>
      </c>
      <c r="W23" s="319" t="s">
        <v>15</v>
      </c>
      <c r="X23" s="320">
        <v>0.52685210709501795</v>
      </c>
      <c r="Y23" s="320">
        <v>0.53259414951223205</v>
      </c>
      <c r="Z23" s="320">
        <v>0.53320912605541304</v>
      </c>
      <c r="AA23" s="320">
        <v>0.53259545767970495</v>
      </c>
      <c r="AB23" s="320">
        <v>0.53316252448429402</v>
      </c>
      <c r="AC23" s="320">
        <v>0.53425086203415495</v>
      </c>
      <c r="AD23" s="320">
        <v>0.53598296837786696</v>
      </c>
      <c r="AE23" s="320">
        <v>0.53663799361387499</v>
      </c>
    </row>
    <row r="24">
      <c r="B24" s="207" t="s">
        <v>508</v>
      </c>
      <c r="C24" s="307"/>
      <c r="D24" s="307"/>
      <c r="E24" s="307"/>
      <c r="F24" s="307"/>
      <c r="G24" s="307"/>
      <c r="H24" s="307"/>
      <c r="I24" s="249"/>
      <c r="J24" s="249"/>
      <c r="K24" s="249"/>
      <c r="L24" s="249"/>
      <c r="M24" s="249"/>
      <c r="N24" s="249"/>
      <c r="R24" s="249">
        <v>0</v>
      </c>
      <c r="S24" s="249">
        <v>0</v>
      </c>
      <c r="T24" s="249">
        <v>0</v>
      </c>
      <c r="U24" s="249">
        <v>0</v>
      </c>
      <c r="W24" s="319" t="s">
        <v>16</v>
      </c>
      <c r="X24" s="320">
        <v>0.72548371093104003</v>
      </c>
      <c r="Y24" s="320">
        <v>0.72548371093104003</v>
      </c>
      <c r="Z24" s="320">
        <v>0.72548371093104003</v>
      </c>
      <c r="AA24" s="320">
        <v>0.72548371093104003</v>
      </c>
      <c r="AB24" s="320">
        <v>0.72548371093104003</v>
      </c>
      <c r="AC24" s="320">
        <v>0.72548371093104003</v>
      </c>
      <c r="AD24" s="320">
        <v>0.72548371093104003</v>
      </c>
      <c r="AE24" s="320">
        <v>0.72548371093104003</v>
      </c>
    </row>
    <row r="25">
      <c r="B25" s="207" t="s">
        <v>620</v>
      </c>
      <c r="C25" s="307"/>
      <c r="D25" s="307"/>
      <c r="E25" s="307"/>
      <c r="F25" s="307"/>
      <c r="G25" s="307"/>
      <c r="H25" s="307"/>
      <c r="I25" s="249"/>
      <c r="J25" s="249"/>
      <c r="K25" s="249"/>
      <c r="L25" s="249"/>
      <c r="M25" s="249"/>
      <c r="N25" s="249"/>
      <c r="R25" s="249">
        <v>0</v>
      </c>
      <c r="S25" s="249">
        <v>0</v>
      </c>
      <c r="T25" s="249">
        <v>0</v>
      </c>
      <c r="U25" s="249">
        <v>0</v>
      </c>
      <c r="W25" s="319"/>
      <c r="X25" s="320"/>
      <c r="Y25" s="320"/>
      <c r="Z25" s="320"/>
      <c r="AA25" s="320"/>
      <c r="AB25" s="320"/>
      <c r="AC25" s="320"/>
      <c r="AD25" s="320"/>
      <c r="AE25" s="320"/>
    </row>
    <row r="26">
      <c r="B26" s="205" t="s">
        <v>471</v>
      </c>
      <c r="C26" s="307"/>
      <c r="D26" s="307"/>
      <c r="E26" s="307"/>
      <c r="F26" s="307"/>
      <c r="G26" s="307"/>
      <c r="H26" s="307"/>
      <c r="I26" s="249"/>
      <c r="J26" s="249"/>
      <c r="K26" s="249"/>
      <c r="L26" s="249"/>
      <c r="M26" s="249"/>
      <c r="N26" s="249"/>
      <c r="R26" s="249">
        <v>0</v>
      </c>
      <c r="S26" s="249">
        <v>0</v>
      </c>
      <c r="T26" s="249">
        <v>0</v>
      </c>
      <c r="U26" s="249">
        <v>0</v>
      </c>
      <c r="W26" s="142" t="s">
        <v>621</v>
      </c>
      <c r="X26" s="318">
        <v>2015</v>
      </c>
      <c r="Y26" s="318">
        <v>2020</v>
      </c>
      <c r="Z26" s="318">
        <v>2025</v>
      </c>
      <c r="AA26" s="318">
        <v>2030</v>
      </c>
      <c r="AB26" s="318">
        <v>2035</v>
      </c>
      <c r="AC26" s="318">
        <v>2040</v>
      </c>
      <c r="AD26" s="318">
        <v>2045</v>
      </c>
      <c r="AE26" s="318">
        <v>2050</v>
      </c>
    </row>
    <row r="27">
      <c r="B27" s="205" t="s">
        <v>29</v>
      </c>
      <c r="C27" s="307"/>
      <c r="D27" s="307"/>
      <c r="E27" s="307"/>
      <c r="F27" s="307"/>
      <c r="G27" s="307"/>
      <c r="H27" s="307"/>
      <c r="I27" s="249"/>
      <c r="J27" s="249"/>
      <c r="K27" s="249"/>
      <c r="L27" s="249"/>
      <c r="M27" s="249"/>
      <c r="N27" s="249"/>
      <c r="R27" s="249"/>
      <c r="S27" s="249"/>
      <c r="T27" s="249"/>
      <c r="U27" s="249"/>
      <c r="W27" s="319" t="s">
        <v>618</v>
      </c>
      <c r="X27" s="320">
        <v>0.33270114063888501</v>
      </c>
      <c r="Y27" s="320">
        <v>0.33270114063888501</v>
      </c>
      <c r="Z27" s="320">
        <v>0.475641191070998</v>
      </c>
      <c r="AA27" s="320">
        <v>0.60127170916472295</v>
      </c>
      <c r="AB27" s="320">
        <v>0.58305097012585405</v>
      </c>
      <c r="AC27" s="320">
        <v>0.60000913580246895</v>
      </c>
      <c r="AD27" s="320">
        <v>0.61703162415752599</v>
      </c>
      <c r="AE27" s="320">
        <v>0.63637500000000002</v>
      </c>
    </row>
    <row r="28">
      <c r="B28" s="205" t="s">
        <v>472</v>
      </c>
      <c r="C28" s="255">
        <v>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55"/>
      <c r="R28" s="255">
        <v>0</v>
      </c>
      <c r="S28" s="255">
        <v>0</v>
      </c>
      <c r="T28" s="255"/>
      <c r="U28" s="255"/>
      <c r="W28" s="319" t="s">
        <v>9</v>
      </c>
      <c r="X28" s="320">
        <v>0.55146126248309901</v>
      </c>
      <c r="Y28" s="320">
        <v>0.55146126248309901</v>
      </c>
      <c r="Z28" s="320">
        <v>0.65073063124154895</v>
      </c>
      <c r="AA28" s="320">
        <v>0.73222253898475298</v>
      </c>
      <c r="AB28" s="320">
        <v>0.77500000000000002</v>
      </c>
      <c r="AC28" s="320">
        <v>0.78406324434227304</v>
      </c>
      <c r="AD28" s="320">
        <v>0.82499999999999996</v>
      </c>
      <c r="AE28" s="320">
        <v>0.84999999999999998</v>
      </c>
    </row>
    <row r="29">
      <c r="B29" s="207" t="s">
        <v>473</v>
      </c>
      <c r="C29" s="321">
        <v>0.59752202767899598</v>
      </c>
      <c r="D29" s="321">
        <v>0.66287521844239194</v>
      </c>
      <c r="E29" s="321">
        <v>0.67060224312977701</v>
      </c>
      <c r="F29" s="321">
        <v>0.67109968334704695</v>
      </c>
      <c r="G29" s="307">
        <v>0.68641752544569701</v>
      </c>
      <c r="H29" s="307">
        <v>0.712442132000492</v>
      </c>
      <c r="I29" s="249">
        <f t="shared" si="180"/>
        <v>0.73622106600024595</v>
      </c>
      <c r="J29" s="249">
        <f>75%+1%</f>
        <v>0.76000000000000001</v>
      </c>
      <c r="K29" s="249">
        <f t="shared" si="181"/>
        <v>0.76500000000000001</v>
      </c>
      <c r="L29" s="249">
        <f t="shared" si="182"/>
        <v>0.77000000000000002</v>
      </c>
      <c r="M29" s="249">
        <f t="shared" si="183"/>
        <v>0.77500000000000002</v>
      </c>
      <c r="N29" s="249">
        <f>75%+3%</f>
        <v>0.78000000000000003</v>
      </c>
      <c r="O29" s="1" t="s">
        <v>622</v>
      </c>
      <c r="P29" s="1" t="s">
        <v>623</v>
      </c>
      <c r="R29" s="249">
        <v>0.66428571428571404</v>
      </c>
      <c r="S29" s="249">
        <v>0.75</v>
      </c>
      <c r="T29" s="249">
        <v>0.75</v>
      </c>
      <c r="U29" s="249">
        <v>0.84999999999999998</v>
      </c>
      <c r="V29" s="1" t="s">
        <v>624</v>
      </c>
      <c r="W29" s="319" t="s">
        <v>613</v>
      </c>
      <c r="X29" s="320">
        <v>0.0570608458699082</v>
      </c>
      <c r="Y29" s="320">
        <v>0.058338849772418801</v>
      </c>
      <c r="Z29" s="320">
        <v>0.106072912611664</v>
      </c>
      <c r="AA29" s="320">
        <v>0.16787362025272101</v>
      </c>
      <c r="AB29" s="320">
        <v>0.21794869910293199</v>
      </c>
      <c r="AC29" s="320">
        <v>0.27113887909074802</v>
      </c>
      <c r="AD29" s="320">
        <v>0.34396393890592403</v>
      </c>
      <c r="AE29" s="320">
        <v>0.44322454619600998</v>
      </c>
    </row>
    <row r="30">
      <c r="B30" s="207" t="s">
        <v>474</v>
      </c>
      <c r="C30" s="307"/>
      <c r="D30" s="307"/>
      <c r="E30" s="307"/>
      <c r="F30" s="307"/>
      <c r="G30" s="307"/>
      <c r="H30" s="307"/>
      <c r="I30" s="249"/>
      <c r="J30" s="249"/>
      <c r="K30" s="249"/>
      <c r="L30" s="249"/>
      <c r="M30" s="249"/>
      <c r="N30" s="249"/>
      <c r="R30" s="249">
        <v>0</v>
      </c>
      <c r="S30" s="249">
        <v>0</v>
      </c>
      <c r="T30" s="249">
        <v>0</v>
      </c>
      <c r="U30" s="249">
        <v>0</v>
      </c>
      <c r="W30" s="319" t="s">
        <v>15</v>
      </c>
      <c r="X30" s="320">
        <v>0.526834875580798</v>
      </c>
      <c r="Y30" s="320">
        <v>0.53247579743719997</v>
      </c>
      <c r="Z30" s="320">
        <v>0.51774813550098997</v>
      </c>
      <c r="AA30" s="320">
        <v>0.50320799254434401</v>
      </c>
      <c r="AB30" s="320">
        <v>0.49111046916615397</v>
      </c>
      <c r="AC30" s="320">
        <v>0.48509278886499702</v>
      </c>
      <c r="AD30" s="320">
        <v>0.50931796149268704</v>
      </c>
      <c r="AE30" s="320">
        <v>0.516662374176724</v>
      </c>
    </row>
    <row r="31">
      <c r="W31" s="319" t="s">
        <v>16</v>
      </c>
      <c r="X31" s="320">
        <v>0.72548371093104003</v>
      </c>
      <c r="Y31" s="320">
        <v>0.72548371093104003</v>
      </c>
      <c r="Z31" s="320">
        <v>0.72548371093104003</v>
      </c>
      <c r="AA31" s="320">
        <v>0.72548371093104003</v>
      </c>
      <c r="AB31" s="320">
        <v>0.74411278319828</v>
      </c>
      <c r="AC31" s="320">
        <v>0.76274185546551998</v>
      </c>
      <c r="AD31" s="320">
        <v>0.78137092773275996</v>
      </c>
      <c r="AE31" s="320">
        <v>0.80000000000000004</v>
      </c>
    </row>
    <row r="35">
      <c r="H35" s="27"/>
      <c r="I35" s="27"/>
    </row>
  </sheetData>
  <mergeCells count="5">
    <mergeCell ref="B7:O7"/>
    <mergeCell ref="C9:H9"/>
    <mergeCell ref="I9:N9"/>
    <mergeCell ref="R9:S9"/>
    <mergeCell ref="T9:U9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2A6099"/>
    <outlinePr applyStyles="0" summaryBelow="1" summaryRight="1" showOutlineSymbols="1"/>
    <pageSetUpPr autoPageBreaks="1" fitToPage="0"/>
  </sheetPr>
  <sheetViews>
    <sheetView zoomScale="81" workbookViewId="0">
      <selection activeCell="I46" activeCellId="0" sqref="I46"/>
    </sheetView>
  </sheetViews>
  <sheetFormatPr baseColWidth="10" defaultColWidth="8.88671875" defaultRowHeight="14.4"/>
  <cols>
    <col customWidth="1" min="1" max="1" style="1" width="8.44140625"/>
    <col customWidth="1" min="2" max="2" style="1" width="41"/>
    <col customWidth="1" min="3" max="5" style="1" width="12.6640625"/>
    <col customWidth="1" min="6" max="14" style="1" width="8.44140625"/>
    <col customWidth="1" min="15" max="15" style="1" width="32.44140625"/>
    <col customWidth="1" min="16" max="16" style="1" width="8.44140625"/>
    <col customWidth="1" min="17" max="17" style="1" width="16"/>
    <col customWidth="1" min="18" max="18" style="1" width="21"/>
    <col customWidth="1" min="19" max="25" style="1" width="8.44140625"/>
    <col customWidth="1" min="26" max="26" style="1" width="27.5546875"/>
    <col customWidth="1" min="27" max="36" style="1" width="8.44140625"/>
    <col customWidth="1" min="37" max="37" style="1" width="32.77734375"/>
    <col customWidth="1" min="38" max="47" style="1" width="8.44140625"/>
    <col customWidth="1" min="48" max="48" style="1" width="28.6640625"/>
    <col customWidth="1" min="49" max="58" style="1" width="8.44140625"/>
    <col customWidth="1" min="59" max="59" style="1" width="29.77734375"/>
    <col customWidth="1" min="60" max="1025" style="1" width="8.44140625"/>
  </cols>
  <sheetData>
    <row r="2" ht="15.75" customHeight="1">
      <c r="B2" s="322" t="s">
        <v>625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</row>
    <row r="3"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</row>
    <row r="4" ht="31.5" customHeight="1"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</row>
    <row r="6">
      <c r="B6" s="3" t="s">
        <v>33</v>
      </c>
      <c r="C6" s="3"/>
      <c r="D6" s="3"/>
      <c r="E6" s="3"/>
    </row>
    <row r="8">
      <c r="B8" s="1" t="s">
        <v>626</v>
      </c>
      <c r="C8" s="1" t="s">
        <v>627</v>
      </c>
      <c r="D8" s="1" t="s">
        <v>628</v>
      </c>
      <c r="E8" s="1" t="s">
        <v>629</v>
      </c>
      <c r="F8" s="1" t="s">
        <v>630</v>
      </c>
      <c r="G8" s="1" t="s">
        <v>631</v>
      </c>
      <c r="H8" s="1" t="s">
        <v>632</v>
      </c>
      <c r="I8" s="1" t="s">
        <v>633</v>
      </c>
      <c r="J8" s="1" t="s">
        <v>634</v>
      </c>
      <c r="K8" s="1" t="s">
        <v>635</v>
      </c>
    </row>
    <row r="9">
      <c r="B9" s="1" t="s">
        <v>636</v>
      </c>
      <c r="C9" s="138">
        <v>0.25185800000000003</v>
      </c>
      <c r="D9" s="138">
        <v>0.26766899999999999</v>
      </c>
      <c r="E9" s="138">
        <v>0.34481699999999998</v>
      </c>
      <c r="F9" s="138">
        <v>0.30367499999999997</v>
      </c>
      <c r="G9" s="138">
        <v>0.31878499999999999</v>
      </c>
      <c r="H9" s="138">
        <v>0.29667700299999999</v>
      </c>
      <c r="I9" s="138">
        <v>0.33257187500000002</v>
      </c>
      <c r="J9" s="138">
        <v>0.26835721000000001</v>
      </c>
      <c r="K9" s="138">
        <v>0.21152071</v>
      </c>
      <c r="L9" s="1" t="s">
        <v>637</v>
      </c>
      <c r="U9" s="1" t="s">
        <v>638</v>
      </c>
    </row>
    <row r="10">
      <c r="B10" s="1" t="s">
        <v>639</v>
      </c>
      <c r="C10" s="138">
        <v>1.02154206792777</v>
      </c>
      <c r="D10" s="138">
        <v>1.0747438736027499</v>
      </c>
      <c r="E10" s="138">
        <v>1.07953325451419</v>
      </c>
      <c r="F10" s="138">
        <v>1.13712777300086</v>
      </c>
      <c r="G10" s="138">
        <v>1.1746692605330999</v>
      </c>
      <c r="H10" s="138">
        <v>1.1758214316422999</v>
      </c>
      <c r="I10" s="138">
        <v>1.1997218830610501</v>
      </c>
      <c r="J10" s="138">
        <v>1.18694877472055</v>
      </c>
      <c r="K10" s="138">
        <v>1.0813103396388599</v>
      </c>
      <c r="L10" s="1" t="s">
        <v>640</v>
      </c>
      <c r="U10" s="1" t="s">
        <v>641</v>
      </c>
    </row>
    <row r="11">
      <c r="B11" s="1" t="s">
        <v>642</v>
      </c>
      <c r="C11" s="138">
        <v>12.742173731199999</v>
      </c>
      <c r="D11" s="138">
        <v>12.3697754229</v>
      </c>
      <c r="E11" s="138">
        <v>12.9426425058</v>
      </c>
      <c r="F11" s="138">
        <v>12.430739516399999</v>
      </c>
      <c r="G11" s="138">
        <v>11.8719980654</v>
      </c>
      <c r="H11" s="138">
        <v>12.6198719878</v>
      </c>
      <c r="I11" s="138">
        <v>11.7601136131</v>
      </c>
      <c r="J11" s="138">
        <v>11.960882294399999</v>
      </c>
      <c r="K11" s="138">
        <v>11.315100597700001</v>
      </c>
      <c r="L11" s="1" t="s">
        <v>643</v>
      </c>
      <c r="U11" s="1" t="s">
        <v>644</v>
      </c>
    </row>
    <row r="12">
      <c r="B12" s="170" t="s">
        <v>645</v>
      </c>
      <c r="C12" s="138">
        <v>12.411117731199999</v>
      </c>
      <c r="D12" s="138">
        <v>12.0648026229</v>
      </c>
      <c r="E12" s="138">
        <v>12.6466985058</v>
      </c>
      <c r="F12" s="138">
        <v>12.1207507164</v>
      </c>
      <c r="G12" s="138">
        <v>11.556993265399999</v>
      </c>
      <c r="H12" s="138">
        <v>12.3299471878</v>
      </c>
      <c r="I12" s="138">
        <v>11.453636013100001</v>
      </c>
      <c r="J12" s="138">
        <v>11.675244168000001</v>
      </c>
      <c r="K12" s="138">
        <v>11.056536832900001</v>
      </c>
      <c r="U12" s="1" t="s">
        <v>646</v>
      </c>
    </row>
    <row r="13">
      <c r="B13" s="323" t="s">
        <v>647</v>
      </c>
      <c r="C13" s="138">
        <v>9.2301915000000001</v>
      </c>
      <c r="D13" s="138">
        <v>8.9492195999999993</v>
      </c>
      <c r="E13" s="138">
        <v>9.7781280000000006</v>
      </c>
      <c r="F13" s="138">
        <v>9.2906921823000008</v>
      </c>
      <c r="G13" s="138">
        <v>8.6343027297999999</v>
      </c>
      <c r="H13" s="138">
        <v>9.3188314215000005</v>
      </c>
      <c r="I13" s="138">
        <v>8.3445133995000003</v>
      </c>
      <c r="J13" s="138">
        <v>8.6976094480999997</v>
      </c>
      <c r="K13" s="138">
        <v>8.3579907388999999</v>
      </c>
      <c r="U13" s="1" t="s">
        <v>648</v>
      </c>
    </row>
    <row r="14">
      <c r="B14" s="323" t="s">
        <v>649</v>
      </c>
      <c r="C14" s="138">
        <v>2.5308855000000001</v>
      </c>
      <c r="D14" s="138">
        <v>2.4954885</v>
      </c>
      <c r="E14" s="138">
        <v>2.2924215000000001</v>
      </c>
      <c r="F14" s="138">
        <v>2.2393260000000001</v>
      </c>
      <c r="G14" s="138">
        <v>2.3427224999999998</v>
      </c>
      <c r="H14" s="138">
        <v>2.4293520000000002</v>
      </c>
      <c r="I14" s="138">
        <v>2.5206390000000001</v>
      </c>
      <c r="J14" s="138">
        <v>2.5011520200000001</v>
      </c>
      <c r="K14" s="138">
        <v>2.3104804904999998</v>
      </c>
    </row>
    <row r="15">
      <c r="B15" s="323" t="s">
        <v>650</v>
      </c>
      <c r="C15" s="138">
        <v>0.65004073119999894</v>
      </c>
      <c r="D15" s="138">
        <v>0.620094522899999</v>
      </c>
      <c r="E15" s="138">
        <v>0.57614900580000095</v>
      </c>
      <c r="F15" s="138">
        <v>0.59073253410000104</v>
      </c>
      <c r="G15" s="138">
        <v>0.57996803559999899</v>
      </c>
      <c r="H15" s="138">
        <v>0.58176376630000004</v>
      </c>
      <c r="I15" s="138">
        <v>0.58848361360000001</v>
      </c>
      <c r="J15" s="138">
        <v>0.47648269989999698</v>
      </c>
      <c r="K15" s="138">
        <v>0.38806560349999902</v>
      </c>
      <c r="L15" s="27"/>
    </row>
    <row r="16">
      <c r="B16" s="1" t="s">
        <v>651</v>
      </c>
      <c r="C16" s="138">
        <v>14.0155737991278</v>
      </c>
      <c r="D16" s="138">
        <v>13.7121882965028</v>
      </c>
      <c r="E16" s="138">
        <v>14.366992760314201</v>
      </c>
      <c r="F16" s="138">
        <v>13.8715422894009</v>
      </c>
      <c r="G16" s="138">
        <v>13.3654523259331</v>
      </c>
      <c r="H16" s="138">
        <v>14.092370422442301</v>
      </c>
      <c r="I16" s="138">
        <v>13.292407371161101</v>
      </c>
      <c r="J16" s="138">
        <v>13.416188279120499</v>
      </c>
      <c r="K16" s="138">
        <v>12.6079316473389</v>
      </c>
    </row>
    <row r="18">
      <c r="B18" s="1" t="s">
        <v>652</v>
      </c>
      <c r="C18" s="1">
        <v>12.750199331199999</v>
      </c>
      <c r="D18" s="1">
        <v>12.3778010229</v>
      </c>
      <c r="E18" s="1">
        <v>12.9506681058</v>
      </c>
      <c r="F18" s="1">
        <v>12.438765116400001</v>
      </c>
      <c r="G18" s="1">
        <v>11.8800236654</v>
      </c>
      <c r="H18" s="1">
        <v>12.6278975878</v>
      </c>
      <c r="I18" s="1">
        <v>11.7706472131</v>
      </c>
      <c r="J18" s="1">
        <v>11.971338648</v>
      </c>
      <c r="K18" s="1">
        <v>11.3255740057</v>
      </c>
    </row>
    <row r="20" s="324" customFormat="1"/>
    <row r="21" s="325" customFormat="1">
      <c r="B21" s="3">
        <v>2019</v>
      </c>
      <c r="C21" s="3"/>
      <c r="D21" s="3"/>
      <c r="E21" s="3"/>
    </row>
    <row r="22" s="324" customFormat="1"/>
    <row r="23" s="324" customFormat="1">
      <c r="B23" s="44" t="s">
        <v>653</v>
      </c>
      <c r="C23" s="44" t="s">
        <v>636</v>
      </c>
      <c r="D23" s="44" t="s">
        <v>654</v>
      </c>
      <c r="E23" s="44" t="s">
        <v>642</v>
      </c>
      <c r="F23" s="44" t="s">
        <v>655</v>
      </c>
      <c r="G23" s="44" t="s">
        <v>656</v>
      </c>
      <c r="H23" s="44" t="s">
        <v>49</v>
      </c>
      <c r="K23" s="44" t="s">
        <v>442</v>
      </c>
      <c r="L23" s="44" t="s">
        <v>636</v>
      </c>
      <c r="M23" s="44" t="s">
        <v>654</v>
      </c>
      <c r="N23" s="44" t="s">
        <v>642</v>
      </c>
      <c r="O23" s="44" t="s">
        <v>655</v>
      </c>
      <c r="P23" s="44" t="s">
        <v>656</v>
      </c>
      <c r="Q23" s="44" t="s">
        <v>49</v>
      </c>
    </row>
    <row r="24" s="324" customFormat="1">
      <c r="B24" s="44" t="s">
        <v>657</v>
      </c>
      <c r="C24" s="326">
        <f>J9</f>
        <v>0.26835721000000001</v>
      </c>
      <c r="D24" s="326"/>
      <c r="E24" s="326"/>
      <c r="F24" s="326"/>
      <c r="G24" s="326"/>
      <c r="H24" s="326">
        <f t="shared" ref="H24:H30" si="184">SUM(C24:G24)</f>
        <v>0.26835721000000001</v>
      </c>
      <c r="K24" s="44" t="s">
        <v>657</v>
      </c>
      <c r="L24" s="326">
        <f>C24*11.63</f>
        <v>3.1209943523000003</v>
      </c>
      <c r="M24" s="326"/>
      <c r="N24" s="326"/>
      <c r="O24" s="326"/>
      <c r="P24" s="326"/>
      <c r="Q24" s="326">
        <f t="shared" ref="Q24:Q29" si="185">H24*11.63</f>
        <v>3.1209943523000003</v>
      </c>
    </row>
    <row r="25" s="324" customFormat="1">
      <c r="B25" s="44" t="s">
        <v>13</v>
      </c>
      <c r="C25" s="326"/>
      <c r="D25" s="326">
        <f>J10*41%</f>
        <v>0.48664899763542552</v>
      </c>
      <c r="E25" s="326"/>
      <c r="F25" s="326"/>
      <c r="G25" s="326"/>
      <c r="H25" s="326">
        <f t="shared" si="184"/>
        <v>0.48664899763542552</v>
      </c>
      <c r="K25" s="44" t="s">
        <v>13</v>
      </c>
      <c r="L25" s="326"/>
      <c r="M25" s="326">
        <f t="shared" ref="M25:M30" si="186">D25*11.63</f>
        <v>5.6597278424999988</v>
      </c>
      <c r="N25" s="326"/>
      <c r="O25" s="326"/>
      <c r="P25" s="326"/>
      <c r="Q25" s="326">
        <f t="shared" si="185"/>
        <v>5.6597278424999988</v>
      </c>
    </row>
    <row r="26" s="324" customFormat="1">
      <c r="B26" s="44" t="s">
        <v>658</v>
      </c>
      <c r="C26" s="326"/>
      <c r="D26" s="326">
        <f>J10*0.09</f>
        <v>0.10682538972484951</v>
      </c>
      <c r="E26" s="326">
        <f>J13</f>
        <v>8.6976094480999997</v>
      </c>
      <c r="F26" s="326"/>
      <c r="G26" s="326"/>
      <c r="H26" s="326">
        <f t="shared" si="184"/>
        <v>8.80443483782485</v>
      </c>
      <c r="K26" s="44" t="s">
        <v>658</v>
      </c>
      <c r="L26" s="326"/>
      <c r="M26" s="326">
        <f t="shared" si="186"/>
        <v>1.2423792824999997</v>
      </c>
      <c r="N26" s="326">
        <f t="shared" ref="N26:N30" si="187">E26*11.63</f>
        <v>101.153197881403</v>
      </c>
      <c r="O26" s="326"/>
      <c r="P26" s="326"/>
      <c r="Q26" s="326">
        <f t="shared" si="185"/>
        <v>102.39557716390301</v>
      </c>
    </row>
    <row r="27" s="324" customFormat="1">
      <c r="B27" s="44" t="s">
        <v>659</v>
      </c>
      <c r="C27" s="326"/>
      <c r="D27" s="326">
        <f>J10*0.5</f>
        <v>0.59347438736027502</v>
      </c>
      <c r="E27" s="326">
        <f>J15*0.5</f>
        <v>0.23824134994999849</v>
      </c>
      <c r="F27" s="326"/>
      <c r="G27" s="326"/>
      <c r="H27" s="326">
        <f t="shared" si="184"/>
        <v>0.83171573731027348</v>
      </c>
      <c r="K27" s="44" t="s">
        <v>659</v>
      </c>
      <c r="L27" s="326"/>
      <c r="M27" s="326">
        <f t="shared" si="186"/>
        <v>6.9021071249999988</v>
      </c>
      <c r="N27" s="326">
        <f t="shared" si="187"/>
        <v>2.7707468999184828</v>
      </c>
      <c r="O27" s="326"/>
      <c r="P27" s="326"/>
      <c r="Q27" s="326">
        <f t="shared" si="185"/>
        <v>9.6728540249184807</v>
      </c>
    </row>
    <row r="28" s="324" customFormat="1">
      <c r="B28" s="44" t="s">
        <v>660</v>
      </c>
      <c r="C28" s="326"/>
      <c r="D28" s="326"/>
      <c r="E28" s="326">
        <f>J14</f>
        <v>2.5011520200000001</v>
      </c>
      <c r="F28" s="325"/>
      <c r="G28" s="326"/>
      <c r="H28" s="326">
        <f t="shared" si="184"/>
        <v>2.5011520200000001</v>
      </c>
      <c r="K28" s="44" t="s">
        <v>660</v>
      </c>
      <c r="L28" s="326"/>
      <c r="M28" s="326"/>
      <c r="N28" s="326">
        <f t="shared" si="187"/>
        <v>29.088397992600004</v>
      </c>
      <c r="O28" s="326"/>
      <c r="P28" s="326"/>
      <c r="Q28" s="326">
        <f t="shared" si="185"/>
        <v>29.088397992600004</v>
      </c>
    </row>
    <row r="29" s="324" customFormat="1">
      <c r="B29" s="44" t="s">
        <v>661</v>
      </c>
      <c r="C29" s="326"/>
      <c r="D29" s="326"/>
      <c r="E29" s="326">
        <f>J15*0.5</f>
        <v>0.23824134994999849</v>
      </c>
      <c r="F29" s="326"/>
      <c r="G29" s="326"/>
      <c r="H29" s="326">
        <f t="shared" si="184"/>
        <v>0.23824134994999849</v>
      </c>
      <c r="K29" s="44" t="s">
        <v>661</v>
      </c>
      <c r="L29" s="326"/>
      <c r="M29" s="326"/>
      <c r="N29" s="326">
        <f t="shared" si="187"/>
        <v>2.7707468999184828</v>
      </c>
      <c r="O29" s="326"/>
      <c r="P29" s="326"/>
      <c r="Q29" s="326">
        <f t="shared" si="185"/>
        <v>2.7707468999184828</v>
      </c>
    </row>
    <row r="30" s="324" customFormat="1">
      <c r="B30" s="44" t="s">
        <v>49</v>
      </c>
      <c r="C30" s="326">
        <f>+SUM(C24:C29)</f>
        <v>0.26835721000000001</v>
      </c>
      <c r="D30" s="326">
        <f>+SUM(D24:D29)</f>
        <v>1.18694877472055</v>
      </c>
      <c r="E30" s="326">
        <f>+SUM(E24:E29)</f>
        <v>11.675244167999995</v>
      </c>
      <c r="F30" s="326">
        <f>+SUM(F24:F29)</f>
        <v>0</v>
      </c>
      <c r="G30" s="326">
        <f>+SUM(G24:G29)</f>
        <v>0</v>
      </c>
      <c r="H30" s="326">
        <f t="shared" si="184"/>
        <v>13.130550152720545</v>
      </c>
      <c r="K30" s="44" t="s">
        <v>49</v>
      </c>
      <c r="L30" s="326">
        <f>C30*11.63</f>
        <v>3.1209943523000003</v>
      </c>
      <c r="M30" s="326">
        <f t="shared" si="186"/>
        <v>13.804214249999998</v>
      </c>
      <c r="N30" s="326">
        <f t="shared" si="187"/>
        <v>135.78308967383995</v>
      </c>
      <c r="O30" s="326"/>
      <c r="P30" s="326"/>
      <c r="Q30" s="326">
        <f>SUM(Q24:Q29)</f>
        <v>152.70829827613997</v>
      </c>
    </row>
    <row r="31" s="324" customFormat="1"/>
    <row r="34">
      <c r="B34" s="244" t="s">
        <v>662</v>
      </c>
    </row>
    <row r="37">
      <c r="B37" s="3" t="s">
        <v>663</v>
      </c>
      <c r="C37" s="3"/>
      <c r="D37" s="3"/>
      <c r="E37" s="3"/>
    </row>
    <row r="39">
      <c r="C39" s="170" t="s">
        <v>664</v>
      </c>
      <c r="D39" s="170"/>
      <c r="E39" s="170"/>
    </row>
    <row r="40">
      <c r="C40" s="327">
        <v>2019</v>
      </c>
      <c r="D40" s="327">
        <v>2030</v>
      </c>
      <c r="E40" s="327">
        <v>2050</v>
      </c>
    </row>
    <row r="41">
      <c r="B41" s="7" t="s">
        <v>657</v>
      </c>
      <c r="C41" s="328" t="s">
        <v>665</v>
      </c>
    </row>
    <row r="42">
      <c r="B42" s="329" t="s">
        <v>9</v>
      </c>
      <c r="C42" s="330"/>
      <c r="D42" s="330"/>
      <c r="E42" s="330"/>
    </row>
    <row r="43">
      <c r="B43" s="331" t="s">
        <v>666</v>
      </c>
      <c r="C43" s="332">
        <v>1</v>
      </c>
      <c r="D43" s="332">
        <v>0</v>
      </c>
      <c r="E43" s="332">
        <v>0</v>
      </c>
    </row>
    <row r="44">
      <c r="B44" s="331" t="s">
        <v>667</v>
      </c>
      <c r="C44" s="332">
        <v>0</v>
      </c>
      <c r="D44" s="332">
        <v>0</v>
      </c>
      <c r="E44" s="332">
        <v>0</v>
      </c>
    </row>
    <row r="45">
      <c r="B45" s="331" t="s">
        <v>668</v>
      </c>
      <c r="C45" s="332">
        <v>0</v>
      </c>
      <c r="D45" s="332">
        <v>0</v>
      </c>
      <c r="E45" s="332">
        <v>0</v>
      </c>
    </row>
    <row r="46">
      <c r="B46" s="329" t="s">
        <v>13</v>
      </c>
      <c r="C46" s="330"/>
      <c r="D46" s="330"/>
      <c r="E46" s="330"/>
    </row>
    <row r="47">
      <c r="B47" s="331" t="s">
        <v>669</v>
      </c>
      <c r="C47" s="332">
        <v>1</v>
      </c>
      <c r="D47" s="332">
        <v>0</v>
      </c>
      <c r="E47" s="332">
        <v>0</v>
      </c>
    </row>
    <row r="48">
      <c r="B48" s="331" t="s">
        <v>670</v>
      </c>
      <c r="C48" s="332">
        <v>0</v>
      </c>
      <c r="D48" s="332">
        <v>0</v>
      </c>
      <c r="E48" s="332">
        <v>0</v>
      </c>
    </row>
    <row r="49">
      <c r="B49" s="329" t="s">
        <v>658</v>
      </c>
      <c r="C49" s="330"/>
      <c r="D49" s="330"/>
      <c r="E49" s="330"/>
    </row>
    <row r="50">
      <c r="B50" s="331" t="s">
        <v>671</v>
      </c>
      <c r="C50" s="332">
        <v>1</v>
      </c>
      <c r="D50" s="332">
        <v>0</v>
      </c>
      <c r="E50" s="332">
        <v>0</v>
      </c>
    </row>
    <row r="51">
      <c r="B51" s="331" t="s">
        <v>672</v>
      </c>
      <c r="C51" s="332">
        <v>0</v>
      </c>
      <c r="D51" s="332">
        <v>0</v>
      </c>
      <c r="E51" s="332">
        <v>0</v>
      </c>
    </row>
    <row r="52">
      <c r="B52" s="331" t="s">
        <v>673</v>
      </c>
      <c r="C52" s="332">
        <v>0</v>
      </c>
      <c r="D52" s="332">
        <v>0</v>
      </c>
      <c r="E52" s="332">
        <v>0</v>
      </c>
    </row>
    <row r="53">
      <c r="B53" s="329" t="s">
        <v>659</v>
      </c>
      <c r="C53" s="330"/>
      <c r="D53" s="330"/>
      <c r="E53" s="330"/>
    </row>
    <row r="54">
      <c r="B54" s="331" t="s">
        <v>642</v>
      </c>
      <c r="C54" s="332">
        <v>0.28644564394135302</v>
      </c>
      <c r="D54" s="332">
        <v>0.28644564394135302</v>
      </c>
      <c r="E54" s="332">
        <v>0.28644564394135302</v>
      </c>
    </row>
    <row r="55">
      <c r="B55" s="331" t="s">
        <v>427</v>
      </c>
      <c r="C55" s="332">
        <v>0.71355435605864703</v>
      </c>
      <c r="D55" s="332">
        <v>0.71355435605864703</v>
      </c>
      <c r="E55" s="332">
        <f>D55-E58</f>
        <v>0.56355435605864701</v>
      </c>
    </row>
    <row r="56">
      <c r="B56" s="331" t="s">
        <v>674</v>
      </c>
      <c r="C56" s="332">
        <v>0</v>
      </c>
      <c r="D56" s="332">
        <v>0</v>
      </c>
      <c r="E56" s="332">
        <v>0</v>
      </c>
    </row>
    <row r="57">
      <c r="B57" s="331" t="s">
        <v>675</v>
      </c>
      <c r="C57" s="332">
        <v>0</v>
      </c>
      <c r="D57" s="332">
        <v>0</v>
      </c>
      <c r="E57" s="332">
        <v>0</v>
      </c>
    </row>
    <row r="58">
      <c r="B58" s="331" t="s">
        <v>433</v>
      </c>
      <c r="C58" s="332">
        <v>0</v>
      </c>
      <c r="D58" s="332">
        <v>0</v>
      </c>
      <c r="E58" s="332">
        <f>15%</f>
        <v>0.14999999999999999</v>
      </c>
    </row>
    <row r="59">
      <c r="B59" s="329" t="s">
        <v>660</v>
      </c>
      <c r="C59" s="330"/>
      <c r="D59" s="330"/>
      <c r="E59" s="330"/>
    </row>
    <row r="60">
      <c r="B60" s="331" t="s">
        <v>676</v>
      </c>
      <c r="C60" s="332">
        <v>1</v>
      </c>
      <c r="D60" s="332">
        <f>C60</f>
        <v>1</v>
      </c>
      <c r="E60" s="332">
        <f>D60</f>
        <v>1</v>
      </c>
    </row>
    <row r="61">
      <c r="B61" s="331" t="s">
        <v>677</v>
      </c>
      <c r="C61" s="332">
        <v>0</v>
      </c>
      <c r="D61" s="332">
        <v>0</v>
      </c>
      <c r="E61" s="332">
        <v>0</v>
      </c>
    </row>
    <row r="62">
      <c r="B62" s="331" t="s">
        <v>678</v>
      </c>
      <c r="C62" s="332">
        <v>0</v>
      </c>
      <c r="D62" s="332">
        <v>0</v>
      </c>
      <c r="E62" s="332">
        <v>0</v>
      </c>
    </row>
    <row r="63">
      <c r="B63" s="329" t="s">
        <v>661</v>
      </c>
      <c r="C63" s="330"/>
      <c r="D63" s="330"/>
      <c r="E63" s="330"/>
    </row>
    <row r="64">
      <c r="B64" s="331" t="s">
        <v>679</v>
      </c>
      <c r="C64" s="332">
        <v>1</v>
      </c>
      <c r="D64" s="332">
        <f>C64</f>
        <v>1</v>
      </c>
      <c r="E64" s="332">
        <f>D64</f>
        <v>1</v>
      </c>
    </row>
    <row r="65">
      <c r="B65" s="331" t="s">
        <v>680</v>
      </c>
      <c r="C65" s="332">
        <v>0</v>
      </c>
      <c r="D65" s="332">
        <v>0</v>
      </c>
      <c r="E65" s="332">
        <v>0</v>
      </c>
    </row>
  </sheetData>
  <mergeCells count="5">
    <mergeCell ref="B2:M4"/>
    <mergeCell ref="B6:E6"/>
    <mergeCell ref="B21:E21"/>
    <mergeCell ref="B37:E37"/>
    <mergeCell ref="C39:E39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fr-FR</dc:language>
  <cp:lastModifiedBy>Alma MONSERAND</cp:lastModifiedBy>
  <cp:revision>2</cp:revision>
  <dcterms:created xsi:type="dcterms:W3CDTF">2023-01-26T11:11:54Z</dcterms:created>
  <dcterms:modified xsi:type="dcterms:W3CDTF">2023-01-27T14:37:59Z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0x010100DAAAC37BD05F7145AA350F90A845546C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ediaServiceImageTags">
    <vt:lpwstr/>
  </property>
  <property fmtid="{D5CDD505-2E9C-101B-9397-08002B2CF9AE}" pid="8" name="ProgId">
    <vt:lpwstr>Excel.Sheet</vt:lpwstr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