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allonnecg\Github\ThreeME\data\calibrations\"/>
    </mc:Choice>
  </mc:AlternateContent>
  <bookViews>
    <workbookView xWindow="0" yWindow="0" windowWidth="19200" windowHeight="6180" firstSheet="2" activeTab="4"/>
  </bookViews>
  <sheets>
    <sheet name="Feuil1" sheetId="42" r:id="rId1"/>
    <sheet name="Cibles THREEME" sheetId="41" r:id="rId2"/>
    <sheet name="Bilan 2030" sheetId="1" r:id="rId3"/>
    <sheet name="Bilan 2050" sheetId="45" r:id="rId4"/>
    <sheet name="Bilan 2020 BAU" sheetId="4" r:id="rId5"/>
    <sheet name="Bilan 2006" sheetId="39" r:id="rId6"/>
    <sheet name="Bilan 2010" sheetId="40" r:id="rId7"/>
    <sheet name="Bilan 2015" sheetId="5" r:id="rId8"/>
    <sheet name="Bilan 2025" sheetId="3" r:id="rId9"/>
    <sheet name="bilan énergie format SDS" sheetId="44" r:id="rId10"/>
    <sheet name="Bilan enerdata_2015" sheetId="2" r:id="rId11"/>
    <sheet name="Bilan enerdata_2020" sheetId="14" r:id="rId12"/>
    <sheet name="Bilan enerdata_2025" sheetId="13" r:id="rId13"/>
    <sheet name="Bilan enerdata_2030" sheetId="15" r:id="rId14"/>
    <sheet name="Bilan enerdata_2050" sheetId="16" r:id="rId15"/>
    <sheet name="Demande Format Medpro" sheetId="43" r:id="rId16"/>
    <sheet name="Format demande MedPro_2015" sheetId="7" r:id="rId17"/>
    <sheet name="Corrections Bilan enerdata" sheetId="10" r:id="rId18"/>
    <sheet name="Modèle tertiaire_2015" sheetId="8" r:id="rId19"/>
    <sheet name="Modèle tertiaire_2020" sheetId="22" r:id="rId20"/>
    <sheet name="Modèle tertiaire_2025" sheetId="23" r:id="rId21"/>
    <sheet name="Modèle tertiaire_2030" sheetId="24" r:id="rId22"/>
    <sheet name="Modèle tertiaire_2050" sheetId="25" r:id="rId23"/>
    <sheet name="Modèle résidentiel ch_2015" sheetId="11" r:id="rId24"/>
    <sheet name="Modèle résidentiel ch_2020" sheetId="30" r:id="rId25"/>
    <sheet name="Modèle résidentiel ch_2025" sheetId="29" r:id="rId26"/>
    <sheet name="Modèle résidentiel ch_2030" sheetId="28" r:id="rId27"/>
    <sheet name="Modèle résidentiel ch_2050" sheetId="27" r:id="rId28"/>
    <sheet name="Modèle résidentiel hch_2015" sheetId="26" r:id="rId29"/>
    <sheet name="Modèle résidentiel hch_2020" sheetId="34" r:id="rId30"/>
    <sheet name="Modèle résidentiel hch_2025" sheetId="33" r:id="rId31"/>
    <sheet name="Modèle résidentiel hch_2030" sheetId="32" r:id="rId32"/>
    <sheet name="Modèle résidentiel hch_2050" sheetId="31" r:id="rId33"/>
    <sheet name="Mix énergie_2015" sheetId="12" r:id="rId34"/>
    <sheet name="Mix énergie_2020" sheetId="38" r:id="rId35"/>
    <sheet name="Mix énergie_2025" sheetId="37" r:id="rId36"/>
    <sheet name="Mix énergie_2030" sheetId="36" r:id="rId37"/>
    <sheet name="Mix énergie_2050" sheetId="35" r:id="rId38"/>
  </sheets>
  <externalReferences>
    <externalReference r:id="rId39"/>
    <externalReference r:id="rId40"/>
    <externalReference r:id="rId41"/>
    <externalReference r:id="rId42"/>
  </externalReferences>
  <definedNames>
    <definedName name="_xlnm.Print_Area" localSheetId="2">'Bilan 2030'!$A$1:$AJ$89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" i="4" l="1"/>
  <c r="U37" i="5" l="1"/>
  <c r="E58" i="45" l="1"/>
  <c r="E57" i="45"/>
  <c r="E56" i="45"/>
  <c r="E53" i="45"/>
  <c r="R53" i="45" s="1"/>
  <c r="W48" i="45"/>
  <c r="V48" i="45"/>
  <c r="U48" i="45"/>
  <c r="T48" i="45"/>
  <c r="S48" i="45"/>
  <c r="I48" i="45"/>
  <c r="W47" i="45"/>
  <c r="V47" i="45"/>
  <c r="U47" i="45"/>
  <c r="T47" i="45"/>
  <c r="S47" i="45"/>
  <c r="C47" i="45"/>
  <c r="G47" i="45" s="1"/>
  <c r="P47" i="45" s="1"/>
  <c r="X46" i="45"/>
  <c r="C46" i="45"/>
  <c r="G46" i="45" s="1"/>
  <c r="P46" i="45" s="1"/>
  <c r="T45" i="45"/>
  <c r="X45" i="45" s="1"/>
  <c r="C45" i="45"/>
  <c r="G45" i="45" s="1"/>
  <c r="P45" i="45" s="1"/>
  <c r="I44" i="45"/>
  <c r="W43" i="45"/>
  <c r="W44" i="45" s="1"/>
  <c r="V43" i="45"/>
  <c r="V44" i="45" s="1"/>
  <c r="U43" i="45"/>
  <c r="U44" i="45" s="1"/>
  <c r="T43" i="45"/>
  <c r="T44" i="45" s="1"/>
  <c r="S43" i="45"/>
  <c r="S44" i="45" s="1"/>
  <c r="C43" i="45"/>
  <c r="G43" i="45" s="1"/>
  <c r="P43" i="45" s="1"/>
  <c r="W42" i="45"/>
  <c r="V42" i="45"/>
  <c r="U42" i="45"/>
  <c r="T42" i="45"/>
  <c r="S42" i="45"/>
  <c r="C42" i="45"/>
  <c r="G42" i="45" s="1"/>
  <c r="P42" i="45" s="1"/>
  <c r="T41" i="45"/>
  <c r="X41" i="45" s="1"/>
  <c r="C41" i="45"/>
  <c r="G41" i="45" s="1"/>
  <c r="P41" i="45" s="1"/>
  <c r="V40" i="45"/>
  <c r="U40" i="45"/>
  <c r="T40" i="45"/>
  <c r="S40" i="45"/>
  <c r="X40" i="45" s="1"/>
  <c r="C40" i="45"/>
  <c r="G40" i="45" s="1"/>
  <c r="P40" i="45" s="1"/>
  <c r="W39" i="45"/>
  <c r="V39" i="45"/>
  <c r="U39" i="45"/>
  <c r="T39" i="45"/>
  <c r="S39" i="45"/>
  <c r="C39" i="45"/>
  <c r="G39" i="45" s="1"/>
  <c r="P39" i="45" s="1"/>
  <c r="V38" i="45"/>
  <c r="U38" i="45"/>
  <c r="T38" i="45"/>
  <c r="S38" i="45"/>
  <c r="V37" i="45"/>
  <c r="U37" i="45"/>
  <c r="T37" i="45"/>
  <c r="S37" i="45"/>
  <c r="G37" i="45"/>
  <c r="E37" i="45"/>
  <c r="S36" i="45"/>
  <c r="C36" i="45"/>
  <c r="G32" i="45"/>
  <c r="C32" i="45"/>
  <c r="G31" i="45"/>
  <c r="C31" i="45"/>
  <c r="E31" i="45" s="1"/>
  <c r="G30" i="45"/>
  <c r="C30" i="45"/>
  <c r="W29" i="45"/>
  <c r="V29" i="45"/>
  <c r="U29" i="45"/>
  <c r="T29" i="45"/>
  <c r="S29" i="45"/>
  <c r="G29" i="45"/>
  <c r="C29" i="45"/>
  <c r="E29" i="45" s="1"/>
  <c r="G28" i="45"/>
  <c r="C28" i="45"/>
  <c r="E28" i="45" s="1"/>
  <c r="G27" i="45"/>
  <c r="C27" i="45"/>
  <c r="L26" i="45"/>
  <c r="K26" i="45"/>
  <c r="I24" i="45"/>
  <c r="E24" i="45"/>
  <c r="G24" i="45" s="1"/>
  <c r="C24" i="45"/>
  <c r="W23" i="45"/>
  <c r="V23" i="45"/>
  <c r="U23" i="45"/>
  <c r="T23" i="45"/>
  <c r="S23" i="45"/>
  <c r="N23" i="45"/>
  <c r="E23" i="45"/>
  <c r="G22" i="45"/>
  <c r="C22" i="45"/>
  <c r="E22" i="45" s="1"/>
  <c r="L21" i="45"/>
  <c r="K21" i="45"/>
  <c r="G21" i="45"/>
  <c r="C21" i="45"/>
  <c r="D21" i="45" s="1"/>
  <c r="G19" i="45"/>
  <c r="C19" i="45"/>
  <c r="C18" i="45"/>
  <c r="G18" i="45" s="1"/>
  <c r="C17" i="45"/>
  <c r="C16" i="45"/>
  <c r="G15" i="45"/>
  <c r="C15" i="45" s="1"/>
  <c r="G14" i="45"/>
  <c r="C14" i="45"/>
  <c r="E14" i="45" s="1"/>
  <c r="W13" i="45"/>
  <c r="V13" i="45"/>
  <c r="U13" i="45"/>
  <c r="T13" i="45"/>
  <c r="S13" i="45"/>
  <c r="I13" i="45"/>
  <c r="I5" i="45" s="1"/>
  <c r="C13" i="45"/>
  <c r="M12" i="45"/>
  <c r="L12" i="45"/>
  <c r="K12" i="45"/>
  <c r="K5" i="45" s="1"/>
  <c r="G12" i="45"/>
  <c r="G13" i="45" s="1"/>
  <c r="C12" i="45"/>
  <c r="G11" i="45"/>
  <c r="G10" i="45"/>
  <c r="C10" i="45"/>
  <c r="C9" i="45"/>
  <c r="G9" i="45" s="1"/>
  <c r="G8" i="45"/>
  <c r="C8" i="45" s="1"/>
  <c r="C7" i="45"/>
  <c r="G7" i="45" s="1"/>
  <c r="H6" i="45"/>
  <c r="O5" i="45"/>
  <c r="N5" i="45"/>
  <c r="D5" i="45"/>
  <c r="E58" i="1"/>
  <c r="E57" i="1"/>
  <c r="E56" i="1"/>
  <c r="E53" i="1"/>
  <c r="W48" i="1"/>
  <c r="V48" i="1"/>
  <c r="U48" i="1"/>
  <c r="T48" i="1"/>
  <c r="S48" i="1"/>
  <c r="I48" i="1"/>
  <c r="W47" i="1"/>
  <c r="V47" i="1"/>
  <c r="U47" i="1"/>
  <c r="T47" i="1"/>
  <c r="S47" i="1"/>
  <c r="C47" i="1"/>
  <c r="G47" i="1" s="1"/>
  <c r="P47" i="1" s="1"/>
  <c r="X46" i="1"/>
  <c r="C46" i="1"/>
  <c r="G46" i="1" s="1"/>
  <c r="P46" i="1" s="1"/>
  <c r="T45" i="1"/>
  <c r="X45" i="1" s="1"/>
  <c r="C45" i="1"/>
  <c r="G45" i="1" s="1"/>
  <c r="P45" i="1" s="1"/>
  <c r="I44" i="1"/>
  <c r="W43" i="1"/>
  <c r="C43" i="1" s="1"/>
  <c r="V43" i="1"/>
  <c r="V44" i="1" s="1"/>
  <c r="U43" i="1"/>
  <c r="U44" i="1" s="1"/>
  <c r="T43" i="1"/>
  <c r="T44" i="1" s="1"/>
  <c r="S43" i="1"/>
  <c r="W42" i="1"/>
  <c r="V42" i="1"/>
  <c r="U42" i="1"/>
  <c r="T42" i="1"/>
  <c r="S42" i="1"/>
  <c r="C42" i="1"/>
  <c r="G42" i="1" s="1"/>
  <c r="P42" i="1" s="1"/>
  <c r="T41" i="1"/>
  <c r="X41" i="1" s="1"/>
  <c r="C41" i="1"/>
  <c r="G41" i="1" s="1"/>
  <c r="P41" i="1" s="1"/>
  <c r="V40" i="1"/>
  <c r="U40" i="1"/>
  <c r="T40" i="1"/>
  <c r="S40" i="1"/>
  <c r="C40" i="1"/>
  <c r="G40" i="1" s="1"/>
  <c r="P40" i="1" s="1"/>
  <c r="W39" i="1"/>
  <c r="V39" i="1"/>
  <c r="U39" i="1"/>
  <c r="T39" i="1"/>
  <c r="S39" i="1"/>
  <c r="C39" i="1"/>
  <c r="G39" i="1" s="1"/>
  <c r="P39" i="1" s="1"/>
  <c r="V38" i="1"/>
  <c r="U38" i="1"/>
  <c r="T38" i="1"/>
  <c r="S38" i="1"/>
  <c r="V37" i="1"/>
  <c r="U37" i="1"/>
  <c r="T37" i="1"/>
  <c r="S37" i="1"/>
  <c r="G37" i="1"/>
  <c r="E37" i="1"/>
  <c r="S36" i="1"/>
  <c r="C36" i="1"/>
  <c r="G36" i="1" s="1"/>
  <c r="G32" i="1"/>
  <c r="C32" i="1"/>
  <c r="G31" i="1"/>
  <c r="C31" i="1"/>
  <c r="G30" i="1"/>
  <c r="C30" i="1"/>
  <c r="W29" i="1"/>
  <c r="V29" i="1"/>
  <c r="U29" i="1"/>
  <c r="T29" i="1"/>
  <c r="S29" i="1"/>
  <c r="G29" i="1"/>
  <c r="C29" i="1"/>
  <c r="G28" i="1"/>
  <c r="C28" i="1"/>
  <c r="E28" i="1" s="1"/>
  <c r="G27" i="1"/>
  <c r="C27" i="1"/>
  <c r="L26" i="1"/>
  <c r="K26" i="1"/>
  <c r="I24" i="1"/>
  <c r="E24" i="1"/>
  <c r="C24" i="1"/>
  <c r="W23" i="1"/>
  <c r="V23" i="1"/>
  <c r="U23" i="1"/>
  <c r="T23" i="1"/>
  <c r="S23" i="1"/>
  <c r="E23" i="1"/>
  <c r="G22" i="1"/>
  <c r="C22" i="1"/>
  <c r="L21" i="1"/>
  <c r="K21" i="1"/>
  <c r="G21" i="1"/>
  <c r="C21" i="1"/>
  <c r="G19" i="1"/>
  <c r="C19" i="1"/>
  <c r="O23" i="1" s="1"/>
  <c r="C18" i="1"/>
  <c r="G18" i="1" s="1"/>
  <c r="C17" i="1"/>
  <c r="G17" i="1" s="1"/>
  <c r="C16" i="1"/>
  <c r="G15" i="1"/>
  <c r="C15" i="1" s="1"/>
  <c r="G14" i="1"/>
  <c r="C14" i="1"/>
  <c r="W13" i="1"/>
  <c r="V13" i="1"/>
  <c r="U13" i="1"/>
  <c r="T13" i="1"/>
  <c r="S13" i="1"/>
  <c r="I13" i="1"/>
  <c r="I5" i="1" s="1"/>
  <c r="G13" i="1"/>
  <c r="C13" i="1"/>
  <c r="M12" i="1"/>
  <c r="L12" i="1"/>
  <c r="K12" i="1"/>
  <c r="G12" i="1"/>
  <c r="C12" i="1"/>
  <c r="E12" i="1" s="1"/>
  <c r="G11" i="1"/>
  <c r="G10" i="1"/>
  <c r="C10" i="1"/>
  <c r="C9" i="1"/>
  <c r="G9" i="1" s="1"/>
  <c r="G8" i="1"/>
  <c r="C8" i="1" s="1"/>
  <c r="C7" i="1"/>
  <c r="G7" i="1" s="1"/>
  <c r="H6" i="1"/>
  <c r="O5" i="1"/>
  <c r="N5" i="1"/>
  <c r="D5" i="1"/>
  <c r="K5" i="1" l="1"/>
  <c r="E29" i="1"/>
  <c r="E30" i="1"/>
  <c r="L5" i="1"/>
  <c r="H26" i="1"/>
  <c r="J26" i="1" s="1"/>
  <c r="P26" i="1" s="1"/>
  <c r="E31" i="1"/>
  <c r="T5" i="1"/>
  <c r="X48" i="1"/>
  <c r="V5" i="45"/>
  <c r="M5" i="1"/>
  <c r="X43" i="1"/>
  <c r="M5" i="45"/>
  <c r="R13" i="45"/>
  <c r="X37" i="45"/>
  <c r="C38" i="45"/>
  <c r="G38" i="45" s="1"/>
  <c r="P38" i="45" s="1"/>
  <c r="E21" i="1"/>
  <c r="E22" i="1"/>
  <c r="G24" i="1"/>
  <c r="X39" i="1"/>
  <c r="E10" i="45"/>
  <c r="E32" i="1"/>
  <c r="R23" i="45"/>
  <c r="E30" i="45"/>
  <c r="E32" i="45"/>
  <c r="X42" i="45"/>
  <c r="C48" i="45"/>
  <c r="G48" i="45" s="1"/>
  <c r="P48" i="45" s="1"/>
  <c r="G43" i="1"/>
  <c r="P43" i="1" s="1"/>
  <c r="C44" i="1"/>
  <c r="G44" i="1" s="1"/>
  <c r="P44" i="1" s="1"/>
  <c r="E13" i="45"/>
  <c r="H21" i="1"/>
  <c r="J21" i="1" s="1"/>
  <c r="C37" i="1"/>
  <c r="C50" i="1" s="1"/>
  <c r="X47" i="1"/>
  <c r="T5" i="45"/>
  <c r="X37" i="1"/>
  <c r="C38" i="1"/>
  <c r="G38" i="1" s="1"/>
  <c r="P38" i="1" s="1"/>
  <c r="X40" i="1"/>
  <c r="X42" i="1"/>
  <c r="C48" i="1"/>
  <c r="G48" i="1" s="1"/>
  <c r="P48" i="1" s="1"/>
  <c r="R53" i="1"/>
  <c r="L5" i="45"/>
  <c r="H21" i="45"/>
  <c r="J21" i="45" s="1"/>
  <c r="S5" i="45"/>
  <c r="W5" i="45"/>
  <c r="H26" i="45"/>
  <c r="J26" i="45" s="1"/>
  <c r="P26" i="45" s="1"/>
  <c r="R29" i="45"/>
  <c r="X39" i="45"/>
  <c r="X43" i="45"/>
  <c r="X48" i="45"/>
  <c r="W44" i="1"/>
  <c r="W5" i="1" s="1"/>
  <c r="G17" i="45"/>
  <c r="E17" i="45" s="1"/>
  <c r="D26" i="45"/>
  <c r="E10" i="1"/>
  <c r="E13" i="1"/>
  <c r="R13" i="1"/>
  <c r="E14" i="1"/>
  <c r="E17" i="1"/>
  <c r="N23" i="1"/>
  <c r="V5" i="1"/>
  <c r="E27" i="1"/>
  <c r="S44" i="1"/>
  <c r="S5" i="1" s="1"/>
  <c r="E12" i="45"/>
  <c r="E19" i="45"/>
  <c r="C37" i="45"/>
  <c r="C50" i="45" s="1"/>
  <c r="C44" i="45"/>
  <c r="G44" i="45" s="1"/>
  <c r="P44" i="45" s="1"/>
  <c r="X47" i="45"/>
  <c r="R43" i="45"/>
  <c r="X44" i="45"/>
  <c r="D7" i="45"/>
  <c r="U5" i="45"/>
  <c r="E27" i="45"/>
  <c r="X36" i="45"/>
  <c r="P37" i="45"/>
  <c r="E18" i="45"/>
  <c r="E21" i="45"/>
  <c r="F21" i="45" s="1"/>
  <c r="O23" i="45"/>
  <c r="P23" i="45" s="1"/>
  <c r="G36" i="45"/>
  <c r="X38" i="45"/>
  <c r="D7" i="1"/>
  <c r="H7" i="1"/>
  <c r="U5" i="1"/>
  <c r="E19" i="1"/>
  <c r="D21" i="1"/>
  <c r="R29" i="1"/>
  <c r="P37" i="1"/>
  <c r="E18" i="1"/>
  <c r="D26" i="1"/>
  <c r="X38" i="1"/>
  <c r="R23" i="1"/>
  <c r="X36" i="1"/>
  <c r="X44" i="1" l="1"/>
  <c r="D36" i="1"/>
  <c r="C5" i="1"/>
  <c r="F7" i="45"/>
  <c r="F5" i="45" s="1"/>
  <c r="F7" i="1"/>
  <c r="F21" i="1"/>
  <c r="H7" i="45"/>
  <c r="H20" i="45" s="1"/>
  <c r="R43" i="1"/>
  <c r="R5" i="1" s="1"/>
  <c r="H36" i="45"/>
  <c r="D36" i="45"/>
  <c r="P23" i="1"/>
  <c r="C5" i="45"/>
  <c r="H36" i="1"/>
  <c r="H5" i="1" s="1"/>
  <c r="R5" i="45"/>
  <c r="H20" i="1"/>
  <c r="J7" i="1"/>
  <c r="P7" i="1" s="1"/>
  <c r="G32" i="41"/>
  <c r="I32" i="41" s="1"/>
  <c r="G28" i="41"/>
  <c r="I28" i="41" s="1"/>
  <c r="AA21" i="41"/>
  <c r="G29" i="41"/>
  <c r="H31" i="41"/>
  <c r="J31" i="41" s="1"/>
  <c r="H28" i="41"/>
  <c r="H32" i="41"/>
  <c r="J32" i="41" s="1"/>
  <c r="G31" i="41"/>
  <c r="I31" i="41" s="1"/>
  <c r="H30" i="41"/>
  <c r="J30" i="41" s="1"/>
  <c r="H29" i="41"/>
  <c r="J29" i="41" s="1"/>
  <c r="G33" i="41"/>
  <c r="I33" i="41" s="1"/>
  <c r="AA17" i="41"/>
  <c r="AJ17" i="41" s="1"/>
  <c r="AA19" i="41"/>
  <c r="AJ19" i="41" s="1"/>
  <c r="AA18" i="41"/>
  <c r="AA20" i="41"/>
  <c r="P5" i="1" l="1"/>
  <c r="J7" i="45"/>
  <c r="P7" i="45" s="1"/>
  <c r="P5" i="45" s="1"/>
  <c r="F5" i="1"/>
  <c r="H5" i="45"/>
  <c r="H33" i="41"/>
  <c r="H27" i="41" s="1"/>
  <c r="J27" i="41" s="1"/>
  <c r="J28" i="41"/>
  <c r="AA22" i="41"/>
  <c r="J33" i="41"/>
  <c r="G30" i="41"/>
  <c r="I30" i="41" s="1"/>
  <c r="I29" i="41"/>
  <c r="AJ12" i="41"/>
  <c r="AA12" i="41"/>
  <c r="AI9" i="41"/>
  <c r="Z12" i="41"/>
  <c r="AI12" i="41"/>
  <c r="AJ15" i="41"/>
  <c r="Z19" i="41"/>
  <c r="AJ13" i="41"/>
  <c r="Z22" i="41"/>
  <c r="G27" i="41" l="1"/>
  <c r="I27" i="41" s="1"/>
  <c r="BA5" i="41"/>
  <c r="AZ19" i="41"/>
  <c r="AZ17" i="41"/>
  <c r="G44" i="41"/>
  <c r="G10" i="41"/>
  <c r="G17" i="41"/>
  <c r="AJ23" i="41"/>
  <c r="AL23" i="41" s="1"/>
  <c r="BA4" i="41"/>
  <c r="BA19" i="41"/>
  <c r="G43" i="41"/>
  <c r="G12" i="41"/>
  <c r="G11" i="41"/>
  <c r="AZ5" i="41"/>
  <c r="AZ4" i="41"/>
  <c r="BA15" i="41" l="1"/>
  <c r="G19" i="41"/>
  <c r="Z18" i="41"/>
  <c r="AI18" i="41" s="1"/>
  <c r="AI5" i="41"/>
  <c r="Z5" i="41"/>
  <c r="G5" i="41"/>
  <c r="BA6" i="41"/>
  <c r="BA11" i="41"/>
  <c r="BA12" i="41"/>
  <c r="BA18" i="41"/>
  <c r="AZ11" i="41"/>
  <c r="G14" i="41"/>
  <c r="BA10" i="41"/>
  <c r="AZ13" i="41"/>
  <c r="Z23" i="41"/>
  <c r="G13" i="41"/>
  <c r="AI23" i="41"/>
  <c r="AK23" i="41" s="1"/>
  <c r="G4" i="41"/>
  <c r="BA9" i="41"/>
  <c r="AI8" i="41"/>
  <c r="AZ16" i="41"/>
  <c r="AZ15" i="41"/>
  <c r="AZ18" i="41"/>
  <c r="G37" i="41"/>
  <c r="I37" i="41" s="1"/>
  <c r="AI13" i="41"/>
  <c r="Z13" i="41"/>
  <c r="AI10" i="41"/>
  <c r="AI14" i="41"/>
  <c r="Z20" i="41"/>
  <c r="AI20" i="41" s="1"/>
  <c r="G18" i="41"/>
  <c r="Z21" i="41"/>
  <c r="AI21" i="41" s="1"/>
  <c r="BA7" i="41"/>
  <c r="BA17" i="41"/>
  <c r="AJ18" i="41"/>
  <c r="AJ20" i="41"/>
  <c r="BA8" i="41"/>
  <c r="BA13" i="41" l="1"/>
  <c r="Q19" i="41"/>
  <c r="Z4" i="41"/>
  <c r="BS9" i="41"/>
  <c r="AI4" i="41"/>
  <c r="AI11" i="41"/>
  <c r="Z8" i="41"/>
  <c r="Z15" i="41"/>
  <c r="AI15" i="41"/>
  <c r="BS7" i="41"/>
  <c r="AZ9" i="41"/>
  <c r="BS12" i="41"/>
  <c r="AZ8" i="41"/>
  <c r="Z9" i="41"/>
  <c r="Z11" i="41"/>
  <c r="AZ14" i="41"/>
  <c r="BA16" i="41"/>
  <c r="BS11" i="41"/>
  <c r="BS13" i="41"/>
  <c r="BS6" i="41"/>
  <c r="AZ10" i="41"/>
  <c r="Z14" i="41"/>
  <c r="Z10" i="41"/>
  <c r="AZ7" i="41"/>
  <c r="BS8" i="41"/>
  <c r="AZ12" i="41"/>
  <c r="BS10" i="41"/>
  <c r="BA14" i="41"/>
  <c r="AI22" i="41"/>
  <c r="Z17" i="41"/>
  <c r="AI19" i="41"/>
  <c r="AZ6" i="41"/>
  <c r="G47" i="41"/>
  <c r="AJ21" i="41"/>
  <c r="BA21" i="41" l="1"/>
  <c r="BS21" i="41"/>
  <c r="AZ21" i="41"/>
  <c r="AI17" i="41"/>
  <c r="Z16" i="41"/>
  <c r="AJ22" i="41"/>
  <c r="AA23" i="41" l="1"/>
  <c r="AA4" i="41" l="1"/>
  <c r="BT13" i="41"/>
  <c r="BT10" i="41"/>
  <c r="BT6" i="41"/>
  <c r="BT9" i="41"/>
  <c r="BT11" i="41"/>
  <c r="BT7" i="41"/>
  <c r="BT12" i="41"/>
  <c r="BT8" i="41"/>
  <c r="AY5" i="41"/>
  <c r="AY4" i="41"/>
  <c r="AY6" i="41"/>
  <c r="AY7" i="41"/>
  <c r="AY8" i="41"/>
  <c r="AY9" i="41"/>
  <c r="AY10" i="41"/>
  <c r="AY11" i="41"/>
  <c r="AY12" i="41"/>
  <c r="AY13" i="41"/>
  <c r="AY14" i="41"/>
  <c r="AY15" i="41"/>
  <c r="AY16" i="41"/>
  <c r="AY17" i="41"/>
  <c r="AY18" i="41"/>
  <c r="AY19" i="41"/>
  <c r="AY20" i="41"/>
  <c r="H14" i="41"/>
  <c r="H5" i="41"/>
  <c r="H44" i="41"/>
  <c r="H43" i="41"/>
  <c r="H41" i="41"/>
  <c r="H19" i="41"/>
  <c r="H18" i="41"/>
  <c r="H17" i="41"/>
  <c r="H13" i="41"/>
  <c r="H12" i="41"/>
  <c r="H11" i="41"/>
  <c r="R9" i="41" s="1"/>
  <c r="H10" i="41"/>
  <c r="AJ5" i="41"/>
  <c r="AA5" i="41"/>
  <c r="AA11" i="41" l="1"/>
  <c r="AA9" i="41"/>
  <c r="AA8" i="41"/>
  <c r="AA15" i="41"/>
  <c r="BJ13" i="41" s="1"/>
  <c r="AJ10" i="41"/>
  <c r="AJ4" i="41"/>
  <c r="H4" i="41"/>
  <c r="R4" i="41" s="1"/>
  <c r="AA14" i="41"/>
  <c r="AJ9" i="41"/>
  <c r="AJ14" i="41"/>
  <c r="H47" i="41"/>
  <c r="BT21" i="41"/>
  <c r="AJ8" i="41"/>
  <c r="AJ11" i="41"/>
  <c r="AA10" i="41"/>
  <c r="BJ8" i="41" s="1"/>
  <c r="AA13" i="41"/>
  <c r="BJ11" i="41" s="1"/>
  <c r="H37" i="41"/>
  <c r="C37" i="3"/>
  <c r="C37" i="4"/>
  <c r="BJ9" i="41" l="1"/>
  <c r="R42" i="4"/>
  <c r="U37" i="3"/>
  <c r="C37" i="5"/>
  <c r="Y19" i="41" l="1"/>
  <c r="X19" i="41"/>
  <c r="W19" i="41"/>
  <c r="AS5" i="41" l="1"/>
  <c r="AS6" i="41"/>
  <c r="AS8" i="41"/>
  <c r="AS10" i="41"/>
  <c r="AS11" i="41"/>
  <c r="AS12" i="41"/>
  <c r="AS13" i="41"/>
  <c r="AS14" i="41"/>
  <c r="AS16" i="41"/>
  <c r="AS17" i="41"/>
  <c r="AS18" i="41"/>
  <c r="AS19" i="41"/>
  <c r="AS20" i="41"/>
  <c r="AS4" i="41"/>
  <c r="AJ16" i="41" l="1"/>
  <c r="AL16" i="41" s="1"/>
  <c r="P9" i="41"/>
  <c r="O9" i="41"/>
  <c r="E52" i="4"/>
  <c r="E52" i="3"/>
  <c r="C43" i="3" l="1"/>
  <c r="C43" i="4"/>
  <c r="C46" i="3"/>
  <c r="C41" i="3"/>
  <c r="C46" i="4"/>
  <c r="V39" i="3"/>
  <c r="V39" i="4"/>
  <c r="U39" i="3"/>
  <c r="U39" i="4"/>
  <c r="U38" i="3"/>
  <c r="U38" i="4"/>
  <c r="E159" i="44"/>
  <c r="E194" i="44"/>
  <c r="B194" i="44"/>
  <c r="H194" i="44"/>
  <c r="I194" i="44"/>
  <c r="I202" i="44" s="1"/>
  <c r="I186" i="44" s="1"/>
  <c r="I190" i="44" s="1"/>
  <c r="E151" i="44"/>
  <c r="H151" i="44"/>
  <c r="I143" i="44"/>
  <c r="I147" i="44" s="1"/>
  <c r="I159" i="44"/>
  <c r="I151" i="44"/>
  <c r="B151" i="44"/>
  <c r="G8" i="3"/>
  <c r="F98" i="44"/>
  <c r="F108" i="44" s="1"/>
  <c r="E65" i="44"/>
  <c r="B65" i="44"/>
  <c r="B73" i="44" s="1"/>
  <c r="B108" i="44"/>
  <c r="I104" i="44"/>
  <c r="I116" i="44"/>
  <c r="I108" i="44"/>
  <c r="H108" i="44"/>
  <c r="E108" i="44"/>
  <c r="L12" i="4"/>
  <c r="H65" i="44"/>
  <c r="E73" i="44"/>
  <c r="C65" i="44"/>
  <c r="P15" i="12"/>
  <c r="O15" i="12"/>
  <c r="I65" i="44"/>
  <c r="C73" i="44"/>
  <c r="D73" i="44"/>
  <c r="F73" i="44"/>
  <c r="H73" i="44"/>
  <c r="J73" i="44"/>
  <c r="I73" i="44"/>
  <c r="I100" i="44"/>
  <c r="I57" i="44"/>
  <c r="I61" i="44" s="1"/>
  <c r="F55" i="44"/>
  <c r="E27" i="3" l="1"/>
  <c r="E28" i="3"/>
  <c r="E29" i="3"/>
  <c r="E30" i="3"/>
  <c r="E31" i="3"/>
  <c r="E32" i="3"/>
  <c r="E33" i="3"/>
  <c r="E34" i="3"/>
  <c r="E26" i="3"/>
  <c r="C29" i="4"/>
  <c r="L61" i="44" l="1"/>
  <c r="C42" i="4"/>
  <c r="H104" i="44" l="1"/>
  <c r="I13" i="3"/>
  <c r="K151" i="44"/>
  <c r="K108" i="44"/>
  <c r="K98" i="44"/>
  <c r="K141" i="44"/>
  <c r="G141" i="44"/>
  <c r="F141" i="44"/>
  <c r="G151" i="44"/>
  <c r="F151" i="44"/>
  <c r="G98" i="44"/>
  <c r="G108" i="44"/>
  <c r="F65" i="44"/>
  <c r="G10" i="4"/>
  <c r="G8" i="4"/>
  <c r="G7" i="4"/>
  <c r="F71" i="44"/>
  <c r="F12" i="14"/>
  <c r="G184" i="44"/>
  <c r="G194" i="44" s="1"/>
  <c r="M14" i="35"/>
  <c r="M15" i="36"/>
  <c r="D14" i="36"/>
  <c r="E14" i="36"/>
  <c r="F14" i="36"/>
  <c r="G14" i="36"/>
  <c r="H14" i="36"/>
  <c r="I14" i="36"/>
  <c r="J14" i="36"/>
  <c r="K14" i="36"/>
  <c r="L14" i="36"/>
  <c r="M14" i="36"/>
  <c r="C14" i="36"/>
  <c r="C15" i="37"/>
  <c r="D15" i="37"/>
  <c r="E15" i="37"/>
  <c r="F15" i="37"/>
  <c r="G15" i="37"/>
  <c r="H15" i="37"/>
  <c r="I15" i="37"/>
  <c r="J15" i="37"/>
  <c r="K15" i="37"/>
  <c r="L15" i="37"/>
  <c r="M15" i="37"/>
  <c r="M16" i="37"/>
  <c r="D14" i="37"/>
  <c r="E14" i="37"/>
  <c r="F14" i="37"/>
  <c r="G14" i="37"/>
  <c r="H14" i="37"/>
  <c r="I14" i="37"/>
  <c r="J14" i="37"/>
  <c r="K14" i="37"/>
  <c r="L14" i="37"/>
  <c r="M14" i="37"/>
  <c r="C14" i="37"/>
  <c r="D14" i="38"/>
  <c r="E14" i="38"/>
  <c r="F14" i="38"/>
  <c r="G14" i="38"/>
  <c r="H14" i="38"/>
  <c r="I14" i="38"/>
  <c r="J14" i="38"/>
  <c r="K14" i="38"/>
  <c r="L14" i="38"/>
  <c r="M14" i="38"/>
  <c r="D15" i="38"/>
  <c r="E15" i="38"/>
  <c r="F15" i="38"/>
  <c r="G15" i="38"/>
  <c r="H15" i="38"/>
  <c r="I15" i="38"/>
  <c r="J15" i="38"/>
  <c r="K15" i="38"/>
  <c r="L15" i="38"/>
  <c r="M15" i="38"/>
  <c r="D16" i="38"/>
  <c r="E16" i="38"/>
  <c r="F16" i="38"/>
  <c r="G16" i="38"/>
  <c r="H16" i="38"/>
  <c r="I16" i="38"/>
  <c r="J16" i="38"/>
  <c r="K16" i="38"/>
  <c r="L16" i="38"/>
  <c r="M16" i="38"/>
  <c r="M17" i="38"/>
  <c r="C15" i="38"/>
  <c r="C16" i="38"/>
  <c r="C14" i="38"/>
  <c r="C8" i="4"/>
  <c r="E8" i="4" s="1"/>
  <c r="F184" i="44" l="1"/>
  <c r="D397" i="7"/>
  <c r="E397" i="7"/>
  <c r="F397" i="7"/>
  <c r="G397" i="7"/>
  <c r="H397" i="7"/>
  <c r="I397" i="7"/>
  <c r="J397" i="7"/>
  <c r="K397" i="7"/>
  <c r="L397" i="7"/>
  <c r="D398" i="7"/>
  <c r="E398" i="7"/>
  <c r="F398" i="7"/>
  <c r="G398" i="7"/>
  <c r="H398" i="7"/>
  <c r="I398" i="7"/>
  <c r="J398" i="7"/>
  <c r="K398" i="7"/>
  <c r="L398" i="7"/>
  <c r="D399" i="7"/>
  <c r="E399" i="7"/>
  <c r="F399" i="7"/>
  <c r="G399" i="7"/>
  <c r="H399" i="7"/>
  <c r="I399" i="7"/>
  <c r="J399" i="7"/>
  <c r="K399" i="7"/>
  <c r="L399" i="7"/>
  <c r="D400" i="7"/>
  <c r="E400" i="7"/>
  <c r="F400" i="7"/>
  <c r="G400" i="7"/>
  <c r="H400" i="7"/>
  <c r="I400" i="7"/>
  <c r="J400" i="7"/>
  <c r="K400" i="7"/>
  <c r="L400" i="7"/>
  <c r="D386" i="7"/>
  <c r="E386" i="7"/>
  <c r="F386" i="7"/>
  <c r="G386" i="7"/>
  <c r="H386" i="7"/>
  <c r="I386" i="7"/>
  <c r="J386" i="7"/>
  <c r="K386" i="7"/>
  <c r="L386" i="7"/>
  <c r="D387" i="7"/>
  <c r="E387" i="7"/>
  <c r="F387" i="7"/>
  <c r="G387" i="7"/>
  <c r="H387" i="7"/>
  <c r="I387" i="7"/>
  <c r="J387" i="7"/>
  <c r="K387" i="7"/>
  <c r="L387" i="7"/>
  <c r="D388" i="7"/>
  <c r="E388" i="7"/>
  <c r="F388" i="7"/>
  <c r="G388" i="7"/>
  <c r="H388" i="7"/>
  <c r="I388" i="7"/>
  <c r="J388" i="7"/>
  <c r="K388" i="7"/>
  <c r="L388" i="7"/>
  <c r="D389" i="7"/>
  <c r="E389" i="7"/>
  <c r="F389" i="7"/>
  <c r="G389" i="7"/>
  <c r="H389" i="7"/>
  <c r="I389" i="7"/>
  <c r="J389" i="7"/>
  <c r="K389" i="7"/>
  <c r="L389" i="7"/>
  <c r="D390" i="7"/>
  <c r="E390" i="7"/>
  <c r="F390" i="7"/>
  <c r="G390" i="7"/>
  <c r="H390" i="7"/>
  <c r="I390" i="7"/>
  <c r="J390" i="7"/>
  <c r="K390" i="7"/>
  <c r="L390" i="7"/>
  <c r="D392" i="7"/>
  <c r="E392" i="7"/>
  <c r="F392" i="7"/>
  <c r="G392" i="7"/>
  <c r="H392" i="7"/>
  <c r="I392" i="7"/>
  <c r="J392" i="7"/>
  <c r="K392" i="7"/>
  <c r="L392" i="7"/>
  <c r="D381" i="7"/>
  <c r="E381" i="7"/>
  <c r="F381" i="7"/>
  <c r="G381" i="7"/>
  <c r="H381" i="7"/>
  <c r="I381" i="7"/>
  <c r="J381" i="7"/>
  <c r="K381" i="7"/>
  <c r="L381" i="7"/>
  <c r="D369" i="7"/>
  <c r="E369" i="7"/>
  <c r="F369" i="7"/>
  <c r="G369" i="7"/>
  <c r="H369" i="7"/>
  <c r="I369" i="7"/>
  <c r="J369" i="7"/>
  <c r="K369" i="7"/>
  <c r="L369" i="7"/>
  <c r="D370" i="7"/>
  <c r="E370" i="7"/>
  <c r="F370" i="7"/>
  <c r="G370" i="7"/>
  <c r="H370" i="7"/>
  <c r="I370" i="7"/>
  <c r="J370" i="7"/>
  <c r="K370" i="7"/>
  <c r="L370" i="7"/>
  <c r="D371" i="7"/>
  <c r="E371" i="7"/>
  <c r="F371" i="7"/>
  <c r="G371" i="7"/>
  <c r="H371" i="7"/>
  <c r="I371" i="7"/>
  <c r="J371" i="7"/>
  <c r="K371" i="7"/>
  <c r="L371" i="7"/>
  <c r="D372" i="7"/>
  <c r="E372" i="7"/>
  <c r="F372" i="7"/>
  <c r="G372" i="7"/>
  <c r="H372" i="7"/>
  <c r="I372" i="7"/>
  <c r="J372" i="7"/>
  <c r="K372" i="7"/>
  <c r="L372" i="7"/>
  <c r="D373" i="7"/>
  <c r="E373" i="7"/>
  <c r="F373" i="7"/>
  <c r="G373" i="7"/>
  <c r="H373" i="7"/>
  <c r="I373" i="7"/>
  <c r="J373" i="7"/>
  <c r="K373" i="7"/>
  <c r="L373" i="7"/>
  <c r="D374" i="7"/>
  <c r="E374" i="7"/>
  <c r="F374" i="7"/>
  <c r="G374" i="7"/>
  <c r="H374" i="7"/>
  <c r="I374" i="7"/>
  <c r="J374" i="7"/>
  <c r="K374" i="7"/>
  <c r="L374" i="7"/>
  <c r="D375" i="7"/>
  <c r="E375" i="7"/>
  <c r="F375" i="7"/>
  <c r="G375" i="7"/>
  <c r="H375" i="7"/>
  <c r="I375" i="7"/>
  <c r="J375" i="7"/>
  <c r="K375" i="7"/>
  <c r="L375" i="7"/>
  <c r="D376" i="7"/>
  <c r="E376" i="7"/>
  <c r="F376" i="7"/>
  <c r="G376" i="7"/>
  <c r="H376" i="7"/>
  <c r="I376" i="7"/>
  <c r="J376" i="7"/>
  <c r="K376" i="7"/>
  <c r="L376" i="7"/>
  <c r="D377" i="7"/>
  <c r="E377" i="7"/>
  <c r="F377" i="7"/>
  <c r="G377" i="7"/>
  <c r="H377" i="7"/>
  <c r="I377" i="7"/>
  <c r="J377" i="7"/>
  <c r="K377" i="7"/>
  <c r="L377" i="7"/>
  <c r="D378" i="7"/>
  <c r="E378" i="7"/>
  <c r="F378" i="7"/>
  <c r="G378" i="7"/>
  <c r="H378" i="7"/>
  <c r="I378" i="7"/>
  <c r="J378" i="7"/>
  <c r="K378" i="7"/>
  <c r="L378" i="7"/>
  <c r="D362" i="7"/>
  <c r="E362" i="7"/>
  <c r="F362" i="7"/>
  <c r="G362" i="7"/>
  <c r="D354" i="7"/>
  <c r="E354" i="7"/>
  <c r="F354" i="7"/>
  <c r="G354" i="7"/>
  <c r="H354" i="7"/>
  <c r="H362" i="7" s="1"/>
  <c r="I354" i="7"/>
  <c r="I362" i="7" s="1"/>
  <c r="J354" i="7"/>
  <c r="K354" i="7"/>
  <c r="L354" i="7"/>
  <c r="L362" i="7" s="1"/>
  <c r="D355" i="7"/>
  <c r="E355" i="7"/>
  <c r="F355" i="7"/>
  <c r="G355" i="7"/>
  <c r="H355" i="7"/>
  <c r="I355" i="7"/>
  <c r="J355" i="7"/>
  <c r="K355" i="7"/>
  <c r="L355" i="7"/>
  <c r="D356" i="7"/>
  <c r="E356" i="7"/>
  <c r="F356" i="7"/>
  <c r="G356" i="7"/>
  <c r="H356" i="7"/>
  <c r="I356" i="7"/>
  <c r="J356" i="7"/>
  <c r="K356" i="7"/>
  <c r="L356" i="7"/>
  <c r="D357" i="7"/>
  <c r="E357" i="7"/>
  <c r="F357" i="7"/>
  <c r="G357" i="7"/>
  <c r="H357" i="7"/>
  <c r="I357" i="7"/>
  <c r="J357" i="7"/>
  <c r="J362" i="7" s="1"/>
  <c r="K357" i="7"/>
  <c r="L357" i="7"/>
  <c r="D358" i="7"/>
  <c r="E358" i="7"/>
  <c r="F358" i="7"/>
  <c r="G358" i="7"/>
  <c r="H358" i="7"/>
  <c r="I358" i="7"/>
  <c r="J358" i="7"/>
  <c r="K358" i="7"/>
  <c r="L358" i="7"/>
  <c r="D359" i="7"/>
  <c r="E359" i="7"/>
  <c r="F359" i="7"/>
  <c r="G359" i="7"/>
  <c r="H359" i="7"/>
  <c r="I359" i="7"/>
  <c r="J359" i="7"/>
  <c r="K359" i="7"/>
  <c r="L359" i="7"/>
  <c r="D346" i="7"/>
  <c r="E346" i="7"/>
  <c r="F346" i="7"/>
  <c r="G346" i="7"/>
  <c r="H346" i="7"/>
  <c r="I346" i="7"/>
  <c r="J346" i="7"/>
  <c r="K346" i="7"/>
  <c r="L346" i="7"/>
  <c r="D347" i="7"/>
  <c r="E347" i="7"/>
  <c r="F347" i="7"/>
  <c r="G347" i="7"/>
  <c r="H347" i="7"/>
  <c r="I347" i="7"/>
  <c r="J347" i="7"/>
  <c r="K347" i="7"/>
  <c r="L347" i="7"/>
  <c r="D341" i="7"/>
  <c r="E341" i="7"/>
  <c r="F341" i="7"/>
  <c r="G341" i="7"/>
  <c r="H341" i="7"/>
  <c r="I341" i="7"/>
  <c r="J341" i="7"/>
  <c r="K341" i="7"/>
  <c r="L341" i="7"/>
  <c r="C341" i="7"/>
  <c r="D313" i="7"/>
  <c r="E313" i="7"/>
  <c r="F313" i="7"/>
  <c r="G313" i="7"/>
  <c r="H313" i="7"/>
  <c r="I313" i="7"/>
  <c r="J313" i="7"/>
  <c r="K313" i="7"/>
  <c r="L313" i="7"/>
  <c r="D314" i="7"/>
  <c r="E314" i="7"/>
  <c r="F314" i="7"/>
  <c r="G314" i="7"/>
  <c r="H314" i="7"/>
  <c r="I314" i="7"/>
  <c r="J314" i="7"/>
  <c r="K314" i="7"/>
  <c r="L314" i="7"/>
  <c r="D315" i="7"/>
  <c r="E315" i="7"/>
  <c r="F315" i="7"/>
  <c r="G315" i="7"/>
  <c r="H315" i="7"/>
  <c r="I315" i="7"/>
  <c r="J315" i="7"/>
  <c r="K315" i="7"/>
  <c r="L315" i="7"/>
  <c r="D316" i="7"/>
  <c r="E316" i="7"/>
  <c r="F316" i="7"/>
  <c r="G316" i="7"/>
  <c r="H316" i="7"/>
  <c r="I316" i="7"/>
  <c r="J316" i="7"/>
  <c r="K316" i="7"/>
  <c r="L316" i="7"/>
  <c r="D317" i="7"/>
  <c r="E317" i="7"/>
  <c r="F317" i="7"/>
  <c r="G317" i="7"/>
  <c r="H317" i="7"/>
  <c r="I317" i="7"/>
  <c r="J317" i="7"/>
  <c r="K317" i="7"/>
  <c r="L317" i="7"/>
  <c r="D318" i="7"/>
  <c r="E318" i="7"/>
  <c r="F318" i="7"/>
  <c r="G318" i="7"/>
  <c r="H318" i="7"/>
  <c r="I318" i="7"/>
  <c r="J318" i="7"/>
  <c r="K318" i="7"/>
  <c r="L318" i="7"/>
  <c r="D319" i="7"/>
  <c r="E319" i="7"/>
  <c r="F319" i="7"/>
  <c r="G319" i="7"/>
  <c r="H319" i="7"/>
  <c r="I319" i="7"/>
  <c r="J319" i="7"/>
  <c r="K319" i="7"/>
  <c r="L319" i="7"/>
  <c r="D321" i="7"/>
  <c r="E321" i="7"/>
  <c r="F321" i="7"/>
  <c r="G321" i="7"/>
  <c r="H321" i="7"/>
  <c r="I321" i="7"/>
  <c r="J321" i="7"/>
  <c r="K321" i="7"/>
  <c r="L321" i="7"/>
  <c r="D322" i="7"/>
  <c r="E322" i="7"/>
  <c r="F322" i="7"/>
  <c r="G322" i="7"/>
  <c r="H322" i="7"/>
  <c r="I322" i="7"/>
  <c r="J322" i="7"/>
  <c r="K322" i="7"/>
  <c r="L322" i="7"/>
  <c r="D323" i="7"/>
  <c r="E323" i="7"/>
  <c r="F323" i="7"/>
  <c r="G323" i="7"/>
  <c r="H323" i="7"/>
  <c r="I323" i="7"/>
  <c r="J323" i="7"/>
  <c r="K323" i="7"/>
  <c r="L323" i="7"/>
  <c r="D324" i="7"/>
  <c r="E324" i="7"/>
  <c r="F324" i="7"/>
  <c r="G324" i="7"/>
  <c r="H324" i="7"/>
  <c r="I324" i="7"/>
  <c r="J324" i="7"/>
  <c r="K324" i="7"/>
  <c r="L324" i="7"/>
  <c r="D325" i="7"/>
  <c r="E325" i="7"/>
  <c r="F325" i="7"/>
  <c r="G325" i="7"/>
  <c r="H325" i="7"/>
  <c r="I325" i="7"/>
  <c r="J325" i="7"/>
  <c r="K325" i="7"/>
  <c r="L325" i="7"/>
  <c r="D326" i="7"/>
  <c r="E326" i="7"/>
  <c r="F326" i="7"/>
  <c r="G326" i="7"/>
  <c r="H326" i="7"/>
  <c r="I326" i="7"/>
  <c r="J326" i="7"/>
  <c r="K326" i="7"/>
  <c r="L326" i="7"/>
  <c r="D327" i="7"/>
  <c r="E327" i="7"/>
  <c r="F327" i="7"/>
  <c r="G327" i="7"/>
  <c r="H327" i="7"/>
  <c r="I327" i="7"/>
  <c r="J327" i="7"/>
  <c r="K327" i="7"/>
  <c r="L327" i="7"/>
  <c r="D329" i="7"/>
  <c r="E329" i="7"/>
  <c r="F329" i="7"/>
  <c r="G329" i="7"/>
  <c r="H329" i="7"/>
  <c r="I329" i="7"/>
  <c r="J329" i="7"/>
  <c r="K329" i="7"/>
  <c r="L329" i="7"/>
  <c r="D330" i="7"/>
  <c r="E330" i="7"/>
  <c r="F330" i="7"/>
  <c r="G330" i="7"/>
  <c r="H330" i="7"/>
  <c r="I330" i="7"/>
  <c r="J330" i="7"/>
  <c r="K330" i="7"/>
  <c r="L330" i="7"/>
  <c r="D331" i="7"/>
  <c r="E331" i="7"/>
  <c r="F331" i="7"/>
  <c r="G331" i="7"/>
  <c r="H331" i="7"/>
  <c r="I331" i="7"/>
  <c r="J331" i="7"/>
  <c r="K331" i="7"/>
  <c r="L331" i="7"/>
  <c r="D332" i="7"/>
  <c r="E332" i="7"/>
  <c r="F332" i="7"/>
  <c r="G332" i="7"/>
  <c r="H332" i="7"/>
  <c r="I332" i="7"/>
  <c r="J332" i="7"/>
  <c r="K332" i="7"/>
  <c r="L332" i="7"/>
  <c r="D333" i="7"/>
  <c r="E333" i="7"/>
  <c r="F333" i="7"/>
  <c r="G333" i="7"/>
  <c r="H333" i="7"/>
  <c r="I333" i="7"/>
  <c r="J333" i="7"/>
  <c r="K333" i="7"/>
  <c r="L333" i="7"/>
  <c r="D334" i="7"/>
  <c r="E334" i="7"/>
  <c r="F334" i="7"/>
  <c r="G334" i="7"/>
  <c r="H334" i="7"/>
  <c r="I334" i="7"/>
  <c r="J334" i="7"/>
  <c r="K334" i="7"/>
  <c r="L334" i="7"/>
  <c r="D335" i="7"/>
  <c r="E335" i="7"/>
  <c r="F335" i="7"/>
  <c r="G335" i="7"/>
  <c r="H335" i="7"/>
  <c r="I335" i="7"/>
  <c r="J335" i="7"/>
  <c r="K335" i="7"/>
  <c r="L335" i="7"/>
  <c r="D337" i="7"/>
  <c r="E337" i="7"/>
  <c r="F337" i="7"/>
  <c r="G337" i="7"/>
  <c r="H337" i="7"/>
  <c r="I337" i="7"/>
  <c r="J337" i="7"/>
  <c r="K337" i="7"/>
  <c r="L337" i="7"/>
  <c r="D303" i="7"/>
  <c r="E303" i="7"/>
  <c r="F303" i="7"/>
  <c r="G303" i="7"/>
  <c r="H303" i="7"/>
  <c r="I303" i="7"/>
  <c r="J303" i="7"/>
  <c r="K303" i="7"/>
  <c r="L303" i="7"/>
  <c r="D304" i="7"/>
  <c r="E304" i="7"/>
  <c r="F304" i="7"/>
  <c r="G304" i="7"/>
  <c r="H304" i="7"/>
  <c r="I304" i="7"/>
  <c r="J304" i="7"/>
  <c r="K304" i="7"/>
  <c r="L304" i="7"/>
  <c r="D305" i="7"/>
  <c r="E305" i="7"/>
  <c r="F305" i="7"/>
  <c r="G305" i="7"/>
  <c r="H305" i="7"/>
  <c r="I305" i="7"/>
  <c r="J305" i="7"/>
  <c r="K305" i="7"/>
  <c r="L305" i="7"/>
  <c r="D306" i="7"/>
  <c r="E306" i="7"/>
  <c r="F306" i="7"/>
  <c r="G306" i="7"/>
  <c r="H306" i="7"/>
  <c r="I306" i="7"/>
  <c r="J306" i="7"/>
  <c r="K306" i="7"/>
  <c r="L306" i="7"/>
  <c r="D307" i="7"/>
  <c r="E307" i="7"/>
  <c r="F307" i="7"/>
  <c r="G307" i="7"/>
  <c r="H307" i="7"/>
  <c r="I307" i="7"/>
  <c r="J307" i="7"/>
  <c r="K307" i="7"/>
  <c r="L307" i="7"/>
  <c r="D308" i="7"/>
  <c r="E308" i="7"/>
  <c r="F308" i="7"/>
  <c r="G308" i="7"/>
  <c r="H308" i="7"/>
  <c r="I308" i="7"/>
  <c r="J308" i="7"/>
  <c r="K308" i="7"/>
  <c r="L308" i="7"/>
  <c r="D290" i="7"/>
  <c r="E290" i="7"/>
  <c r="F290" i="7"/>
  <c r="G290" i="7"/>
  <c r="H290" i="7"/>
  <c r="I290" i="7"/>
  <c r="J290" i="7"/>
  <c r="K290" i="7"/>
  <c r="L290" i="7"/>
  <c r="D291" i="7"/>
  <c r="E291" i="7"/>
  <c r="F291" i="7"/>
  <c r="G291" i="7"/>
  <c r="H291" i="7"/>
  <c r="I291" i="7"/>
  <c r="J291" i="7"/>
  <c r="K291" i="7"/>
  <c r="L291" i="7"/>
  <c r="D292" i="7"/>
  <c r="E292" i="7"/>
  <c r="F292" i="7"/>
  <c r="G292" i="7"/>
  <c r="H292" i="7"/>
  <c r="I292" i="7"/>
  <c r="J292" i="7"/>
  <c r="K292" i="7"/>
  <c r="L292" i="7"/>
  <c r="D293" i="7"/>
  <c r="E293" i="7"/>
  <c r="F293" i="7"/>
  <c r="G293" i="7"/>
  <c r="H293" i="7"/>
  <c r="I293" i="7"/>
  <c r="J293" i="7"/>
  <c r="K293" i="7"/>
  <c r="L293" i="7"/>
  <c r="D294" i="7"/>
  <c r="E294" i="7"/>
  <c r="F294" i="7"/>
  <c r="G294" i="7"/>
  <c r="H294" i="7"/>
  <c r="I294" i="7"/>
  <c r="J294" i="7"/>
  <c r="K294" i="7"/>
  <c r="L294" i="7"/>
  <c r="D295" i="7"/>
  <c r="E295" i="7"/>
  <c r="F295" i="7"/>
  <c r="G295" i="7"/>
  <c r="H295" i="7"/>
  <c r="I295" i="7"/>
  <c r="J295" i="7"/>
  <c r="K295" i="7"/>
  <c r="L295" i="7"/>
  <c r="D296" i="7"/>
  <c r="E296" i="7"/>
  <c r="F296" i="7"/>
  <c r="G296" i="7"/>
  <c r="H296" i="7"/>
  <c r="I296" i="7"/>
  <c r="J296" i="7"/>
  <c r="K296" i="7"/>
  <c r="L296" i="7"/>
  <c r="D297" i="7"/>
  <c r="E297" i="7"/>
  <c r="F297" i="7"/>
  <c r="G297" i="7"/>
  <c r="H297" i="7"/>
  <c r="I297" i="7"/>
  <c r="J297" i="7"/>
  <c r="K297" i="7"/>
  <c r="L297" i="7"/>
  <c r="D298" i="7"/>
  <c r="E298" i="7"/>
  <c r="F298" i="7"/>
  <c r="G298" i="7"/>
  <c r="H298" i="7"/>
  <c r="I298" i="7"/>
  <c r="J298" i="7"/>
  <c r="K298" i="7"/>
  <c r="L298" i="7"/>
  <c r="H273" i="7"/>
  <c r="I273" i="7"/>
  <c r="J273" i="7"/>
  <c r="K273" i="7"/>
  <c r="L273" i="7"/>
  <c r="H274" i="7"/>
  <c r="I274" i="7"/>
  <c r="J274" i="7"/>
  <c r="K274" i="7"/>
  <c r="L274" i="7"/>
  <c r="H275" i="7"/>
  <c r="I275" i="7"/>
  <c r="J275" i="7"/>
  <c r="K275" i="7"/>
  <c r="L275" i="7"/>
  <c r="H276" i="7"/>
  <c r="I276" i="7"/>
  <c r="J276" i="7"/>
  <c r="K276" i="7"/>
  <c r="L276" i="7"/>
  <c r="H277" i="7"/>
  <c r="I277" i="7"/>
  <c r="J277" i="7"/>
  <c r="K277" i="7"/>
  <c r="L277" i="7"/>
  <c r="H278" i="7"/>
  <c r="I278" i="7"/>
  <c r="J278" i="7"/>
  <c r="K278" i="7"/>
  <c r="L278" i="7"/>
  <c r="H279" i="7"/>
  <c r="I279" i="7"/>
  <c r="J279" i="7"/>
  <c r="K279" i="7"/>
  <c r="L279" i="7"/>
  <c r="H280" i="7"/>
  <c r="I280" i="7"/>
  <c r="J280" i="7"/>
  <c r="K280" i="7"/>
  <c r="L280" i="7"/>
  <c r="H281" i="7"/>
  <c r="I281" i="7"/>
  <c r="J281" i="7"/>
  <c r="K281" i="7"/>
  <c r="L281" i="7"/>
  <c r="H282" i="7"/>
  <c r="I282" i="7"/>
  <c r="J282" i="7"/>
  <c r="K282" i="7"/>
  <c r="L282" i="7"/>
  <c r="H283" i="7"/>
  <c r="I283" i="7"/>
  <c r="J283" i="7"/>
  <c r="K283" i="7"/>
  <c r="L283" i="7"/>
  <c r="H284" i="7"/>
  <c r="I284" i="7"/>
  <c r="J284" i="7"/>
  <c r="K284" i="7"/>
  <c r="L284" i="7"/>
  <c r="D273" i="7"/>
  <c r="E273" i="7"/>
  <c r="F273" i="7"/>
  <c r="G273" i="7"/>
  <c r="D274" i="7"/>
  <c r="E274" i="7"/>
  <c r="F274" i="7"/>
  <c r="G274" i="7"/>
  <c r="D275" i="7"/>
  <c r="E275" i="7"/>
  <c r="F275" i="7"/>
  <c r="G275" i="7"/>
  <c r="D276" i="7"/>
  <c r="E276" i="7"/>
  <c r="F276" i="7"/>
  <c r="G276" i="7"/>
  <c r="D277" i="7"/>
  <c r="E277" i="7"/>
  <c r="F277" i="7"/>
  <c r="G277" i="7"/>
  <c r="D278" i="7"/>
  <c r="E278" i="7"/>
  <c r="F278" i="7"/>
  <c r="G278" i="7"/>
  <c r="D279" i="7"/>
  <c r="E279" i="7"/>
  <c r="F279" i="7"/>
  <c r="G279" i="7"/>
  <c r="D280" i="7"/>
  <c r="E280" i="7"/>
  <c r="F280" i="7"/>
  <c r="G280" i="7"/>
  <c r="D281" i="7"/>
  <c r="E281" i="7"/>
  <c r="F281" i="7"/>
  <c r="G281" i="7"/>
  <c r="D282" i="7"/>
  <c r="E282" i="7"/>
  <c r="F282" i="7"/>
  <c r="G282" i="7"/>
  <c r="D283" i="7"/>
  <c r="E283" i="7"/>
  <c r="F283" i="7"/>
  <c r="G283" i="7"/>
  <c r="D284" i="7"/>
  <c r="E284" i="7"/>
  <c r="F284" i="7"/>
  <c r="G284" i="7"/>
  <c r="D262" i="7"/>
  <c r="E262" i="7"/>
  <c r="F262" i="7"/>
  <c r="G262" i="7"/>
  <c r="H262" i="7"/>
  <c r="I262" i="7"/>
  <c r="J262" i="7"/>
  <c r="K262" i="7"/>
  <c r="L262" i="7"/>
  <c r="D263" i="7"/>
  <c r="E263" i="7"/>
  <c r="F263" i="7"/>
  <c r="G263" i="7"/>
  <c r="H263" i="7"/>
  <c r="I263" i="7"/>
  <c r="J263" i="7"/>
  <c r="K263" i="7"/>
  <c r="L263" i="7"/>
  <c r="D264" i="7"/>
  <c r="E264" i="7"/>
  <c r="F264" i="7"/>
  <c r="G264" i="7"/>
  <c r="H264" i="7"/>
  <c r="I264" i="7"/>
  <c r="J264" i="7"/>
  <c r="K264" i="7"/>
  <c r="L264" i="7"/>
  <c r="D265" i="7"/>
  <c r="E265" i="7"/>
  <c r="F265" i="7"/>
  <c r="G265" i="7"/>
  <c r="H265" i="7"/>
  <c r="I265" i="7"/>
  <c r="J265" i="7"/>
  <c r="K265" i="7"/>
  <c r="L265" i="7"/>
  <c r="D257" i="7"/>
  <c r="E257" i="7"/>
  <c r="F257" i="7"/>
  <c r="G257" i="7"/>
  <c r="D248" i="7"/>
  <c r="E248" i="7"/>
  <c r="F248" i="7"/>
  <c r="G248" i="7"/>
  <c r="H248" i="7"/>
  <c r="I248" i="7"/>
  <c r="I257" i="7" s="1"/>
  <c r="J248" i="7"/>
  <c r="K248" i="7"/>
  <c r="L248" i="7"/>
  <c r="D249" i="7"/>
  <c r="E249" i="7"/>
  <c r="F249" i="7"/>
  <c r="G249" i="7"/>
  <c r="H249" i="7"/>
  <c r="H257" i="7" s="1"/>
  <c r="I249" i="7"/>
  <c r="J249" i="7"/>
  <c r="K249" i="7"/>
  <c r="L249" i="7"/>
  <c r="L257" i="7" s="1"/>
  <c r="D250" i="7"/>
  <c r="E250" i="7"/>
  <c r="F250" i="7"/>
  <c r="G250" i="7"/>
  <c r="H250" i="7"/>
  <c r="I250" i="7"/>
  <c r="J250" i="7"/>
  <c r="K250" i="7"/>
  <c r="K257" i="7" s="1"/>
  <c r="L250" i="7"/>
  <c r="D251" i="7"/>
  <c r="E251" i="7"/>
  <c r="F251" i="7"/>
  <c r="G251" i="7"/>
  <c r="H251" i="7"/>
  <c r="I251" i="7"/>
  <c r="J251" i="7"/>
  <c r="K251" i="7"/>
  <c r="L251" i="7"/>
  <c r="D252" i="7"/>
  <c r="E252" i="7"/>
  <c r="F252" i="7"/>
  <c r="G252" i="7"/>
  <c r="H252" i="7"/>
  <c r="I252" i="7"/>
  <c r="J252" i="7"/>
  <c r="K252" i="7"/>
  <c r="L252" i="7"/>
  <c r="D253" i="7"/>
  <c r="E253" i="7"/>
  <c r="F253" i="7"/>
  <c r="G253" i="7"/>
  <c r="H253" i="7"/>
  <c r="I253" i="7"/>
  <c r="J253" i="7"/>
  <c r="K253" i="7"/>
  <c r="L253" i="7"/>
  <c r="G243" i="7"/>
  <c r="F243" i="7"/>
  <c r="E243" i="7"/>
  <c r="D243" i="7"/>
  <c r="D241" i="7"/>
  <c r="E241" i="7"/>
  <c r="F241" i="7"/>
  <c r="G241" i="7"/>
  <c r="H241" i="7"/>
  <c r="I241" i="7"/>
  <c r="J241" i="7"/>
  <c r="K241" i="7"/>
  <c r="L241" i="7"/>
  <c r="D234" i="7"/>
  <c r="E234" i="7"/>
  <c r="F234" i="7"/>
  <c r="G234" i="7"/>
  <c r="H234" i="7"/>
  <c r="I234" i="7"/>
  <c r="J234" i="7"/>
  <c r="K234" i="7"/>
  <c r="L234" i="7"/>
  <c r="D235" i="7"/>
  <c r="E235" i="7"/>
  <c r="F235" i="7"/>
  <c r="G235" i="7"/>
  <c r="H235" i="7"/>
  <c r="I235" i="7"/>
  <c r="J235" i="7"/>
  <c r="K235" i="7"/>
  <c r="L235" i="7"/>
  <c r="D236" i="7"/>
  <c r="E236" i="7"/>
  <c r="F236" i="7"/>
  <c r="G236" i="7"/>
  <c r="H236" i="7"/>
  <c r="I236" i="7"/>
  <c r="J236" i="7"/>
  <c r="K236" i="7"/>
  <c r="L236" i="7"/>
  <c r="D237" i="7"/>
  <c r="E237" i="7"/>
  <c r="F237" i="7"/>
  <c r="G237" i="7"/>
  <c r="H237" i="7"/>
  <c r="I237" i="7"/>
  <c r="J237" i="7"/>
  <c r="K237" i="7"/>
  <c r="L237" i="7"/>
  <c r="D238" i="7"/>
  <c r="E238" i="7"/>
  <c r="F238" i="7"/>
  <c r="G238" i="7"/>
  <c r="H238" i="7"/>
  <c r="I238" i="7"/>
  <c r="J238" i="7"/>
  <c r="K238" i="7"/>
  <c r="L238" i="7"/>
  <c r="D239" i="7"/>
  <c r="E239" i="7"/>
  <c r="F239" i="7"/>
  <c r="G239" i="7"/>
  <c r="H239" i="7"/>
  <c r="I239" i="7"/>
  <c r="J239" i="7"/>
  <c r="K239" i="7"/>
  <c r="L239" i="7"/>
  <c r="D220" i="7"/>
  <c r="E220" i="7"/>
  <c r="F220" i="7"/>
  <c r="G220" i="7"/>
  <c r="H220" i="7"/>
  <c r="I220" i="7"/>
  <c r="J220" i="7"/>
  <c r="K220" i="7"/>
  <c r="L220" i="7"/>
  <c r="D221" i="7"/>
  <c r="E221" i="7"/>
  <c r="F221" i="7"/>
  <c r="G221" i="7"/>
  <c r="H221" i="7"/>
  <c r="I221" i="7"/>
  <c r="J221" i="7"/>
  <c r="K221" i="7"/>
  <c r="L221" i="7"/>
  <c r="D222" i="7"/>
  <c r="E222" i="7"/>
  <c r="F222" i="7"/>
  <c r="G222" i="7"/>
  <c r="H222" i="7"/>
  <c r="I222" i="7"/>
  <c r="J222" i="7"/>
  <c r="K222" i="7"/>
  <c r="L222" i="7"/>
  <c r="D223" i="7"/>
  <c r="E223" i="7"/>
  <c r="F223" i="7"/>
  <c r="G223" i="7"/>
  <c r="H223" i="7"/>
  <c r="I223" i="7"/>
  <c r="J223" i="7"/>
  <c r="K223" i="7"/>
  <c r="L223" i="7"/>
  <c r="D224" i="7"/>
  <c r="E224" i="7"/>
  <c r="F224" i="7"/>
  <c r="G224" i="7"/>
  <c r="H224" i="7"/>
  <c r="I224" i="7"/>
  <c r="J224" i="7"/>
  <c r="K224" i="7"/>
  <c r="L224" i="7"/>
  <c r="D225" i="7"/>
  <c r="E225" i="7"/>
  <c r="F225" i="7"/>
  <c r="G225" i="7"/>
  <c r="H225" i="7"/>
  <c r="I225" i="7"/>
  <c r="J225" i="7"/>
  <c r="K225" i="7"/>
  <c r="L225" i="7"/>
  <c r="D226" i="7"/>
  <c r="E226" i="7"/>
  <c r="F226" i="7"/>
  <c r="G226" i="7"/>
  <c r="H226" i="7"/>
  <c r="I226" i="7"/>
  <c r="J226" i="7"/>
  <c r="K226" i="7"/>
  <c r="L226" i="7"/>
  <c r="D227" i="7"/>
  <c r="E227" i="7"/>
  <c r="F227" i="7"/>
  <c r="G227" i="7"/>
  <c r="H227" i="7"/>
  <c r="I227" i="7"/>
  <c r="J227" i="7"/>
  <c r="K227" i="7"/>
  <c r="L227" i="7"/>
  <c r="D229" i="7"/>
  <c r="E229" i="7"/>
  <c r="F229" i="7"/>
  <c r="G229" i="7"/>
  <c r="H229" i="7"/>
  <c r="I229" i="7"/>
  <c r="J229" i="7"/>
  <c r="K229" i="7"/>
  <c r="L229" i="7"/>
  <c r="D210" i="7"/>
  <c r="E210" i="7"/>
  <c r="F210" i="7"/>
  <c r="G210" i="7"/>
  <c r="H210" i="7"/>
  <c r="I210" i="7"/>
  <c r="J210" i="7"/>
  <c r="K210" i="7"/>
  <c r="L210" i="7"/>
  <c r="D211" i="7"/>
  <c r="E211" i="7"/>
  <c r="F211" i="7"/>
  <c r="G211" i="7"/>
  <c r="H211" i="7"/>
  <c r="I211" i="7"/>
  <c r="J211" i="7"/>
  <c r="K211" i="7"/>
  <c r="L211" i="7"/>
  <c r="D212" i="7"/>
  <c r="E212" i="7"/>
  <c r="F212" i="7"/>
  <c r="G212" i="7"/>
  <c r="H212" i="7"/>
  <c r="I212" i="7"/>
  <c r="J212" i="7"/>
  <c r="K212" i="7"/>
  <c r="L212" i="7"/>
  <c r="D213" i="7"/>
  <c r="E213" i="7"/>
  <c r="F213" i="7"/>
  <c r="G213" i="7"/>
  <c r="H213" i="7"/>
  <c r="I213" i="7"/>
  <c r="J213" i="7"/>
  <c r="K213" i="7"/>
  <c r="L213" i="7"/>
  <c r="D215" i="7"/>
  <c r="E215" i="7"/>
  <c r="F215" i="7"/>
  <c r="G215" i="7"/>
  <c r="H215" i="7"/>
  <c r="I215" i="7"/>
  <c r="J215" i="7"/>
  <c r="K215" i="7"/>
  <c r="L215" i="7"/>
  <c r="D196" i="7"/>
  <c r="E196" i="7"/>
  <c r="F196" i="7"/>
  <c r="G196" i="7"/>
  <c r="H196" i="7"/>
  <c r="I196" i="7"/>
  <c r="J196" i="7"/>
  <c r="K196" i="7"/>
  <c r="L196" i="7"/>
  <c r="D197" i="7"/>
  <c r="E197" i="7"/>
  <c r="F197" i="7"/>
  <c r="G197" i="7"/>
  <c r="H197" i="7"/>
  <c r="I197" i="7"/>
  <c r="J197" i="7"/>
  <c r="K197" i="7"/>
  <c r="L197" i="7"/>
  <c r="D198" i="7"/>
  <c r="E198" i="7"/>
  <c r="F198" i="7"/>
  <c r="G198" i="7"/>
  <c r="H198" i="7"/>
  <c r="I198" i="7"/>
  <c r="J198" i="7"/>
  <c r="K198" i="7"/>
  <c r="L198" i="7"/>
  <c r="D199" i="7"/>
  <c r="E199" i="7"/>
  <c r="F199" i="7"/>
  <c r="G199" i="7"/>
  <c r="H199" i="7"/>
  <c r="I199" i="7"/>
  <c r="J199" i="7"/>
  <c r="K199" i="7"/>
  <c r="L199" i="7"/>
  <c r="D200" i="7"/>
  <c r="E200" i="7"/>
  <c r="F200" i="7"/>
  <c r="G200" i="7"/>
  <c r="H200" i="7"/>
  <c r="I200" i="7"/>
  <c r="J200" i="7"/>
  <c r="K200" i="7"/>
  <c r="L200" i="7"/>
  <c r="D201" i="7"/>
  <c r="E201" i="7"/>
  <c r="F201" i="7"/>
  <c r="G201" i="7"/>
  <c r="H201" i="7"/>
  <c r="I201" i="7"/>
  <c r="J201" i="7"/>
  <c r="K201" i="7"/>
  <c r="L201" i="7"/>
  <c r="D202" i="7"/>
  <c r="E202" i="7"/>
  <c r="F202" i="7"/>
  <c r="G202" i="7"/>
  <c r="H202" i="7"/>
  <c r="I202" i="7"/>
  <c r="J202" i="7"/>
  <c r="K202" i="7"/>
  <c r="L202" i="7"/>
  <c r="D203" i="7"/>
  <c r="E203" i="7"/>
  <c r="F203" i="7"/>
  <c r="G203" i="7"/>
  <c r="H203" i="7"/>
  <c r="I203" i="7"/>
  <c r="J203" i="7"/>
  <c r="K203" i="7"/>
  <c r="L203" i="7"/>
  <c r="D205" i="7"/>
  <c r="E205" i="7"/>
  <c r="F205" i="7"/>
  <c r="G205" i="7"/>
  <c r="H205" i="7"/>
  <c r="I205" i="7"/>
  <c r="J205" i="7"/>
  <c r="K205" i="7"/>
  <c r="L205" i="7"/>
  <c r="D186" i="7"/>
  <c r="E186" i="7"/>
  <c r="F186" i="7"/>
  <c r="G186" i="7"/>
  <c r="H186" i="7"/>
  <c r="I186" i="7"/>
  <c r="J186" i="7"/>
  <c r="K186" i="7"/>
  <c r="L186" i="7"/>
  <c r="D187" i="7"/>
  <c r="E187" i="7"/>
  <c r="F187" i="7"/>
  <c r="G187" i="7"/>
  <c r="H187" i="7"/>
  <c r="I187" i="7"/>
  <c r="J187" i="7"/>
  <c r="K187" i="7"/>
  <c r="L187" i="7"/>
  <c r="D188" i="7"/>
  <c r="E188" i="7"/>
  <c r="F188" i="7"/>
  <c r="G188" i="7"/>
  <c r="H188" i="7"/>
  <c r="I188" i="7"/>
  <c r="J188" i="7"/>
  <c r="K188" i="7"/>
  <c r="L188" i="7"/>
  <c r="D189" i="7"/>
  <c r="E189" i="7"/>
  <c r="F189" i="7"/>
  <c r="G189" i="7"/>
  <c r="H189" i="7"/>
  <c r="I189" i="7"/>
  <c r="J189" i="7"/>
  <c r="K189" i="7"/>
  <c r="L189" i="7"/>
  <c r="D163" i="7"/>
  <c r="E163" i="7"/>
  <c r="F163" i="7"/>
  <c r="G163" i="7"/>
  <c r="H163" i="7"/>
  <c r="I163" i="7"/>
  <c r="J163" i="7"/>
  <c r="K163" i="7"/>
  <c r="L163" i="7"/>
  <c r="D164" i="7"/>
  <c r="E164" i="7"/>
  <c r="F164" i="7"/>
  <c r="G164" i="7"/>
  <c r="H164" i="7"/>
  <c r="I164" i="7"/>
  <c r="J164" i="7"/>
  <c r="K164" i="7"/>
  <c r="L164" i="7"/>
  <c r="D165" i="7"/>
  <c r="E165" i="7"/>
  <c r="F165" i="7"/>
  <c r="G165" i="7"/>
  <c r="H165" i="7"/>
  <c r="I165" i="7"/>
  <c r="J165" i="7"/>
  <c r="K165" i="7"/>
  <c r="L165" i="7"/>
  <c r="D166" i="7"/>
  <c r="E166" i="7"/>
  <c r="F166" i="7"/>
  <c r="G166" i="7"/>
  <c r="H166" i="7"/>
  <c r="I166" i="7"/>
  <c r="J166" i="7"/>
  <c r="K166" i="7"/>
  <c r="L166" i="7"/>
  <c r="D167" i="7"/>
  <c r="E167" i="7"/>
  <c r="F167" i="7"/>
  <c r="G167" i="7"/>
  <c r="H167" i="7"/>
  <c r="I167" i="7"/>
  <c r="J167" i="7"/>
  <c r="K167" i="7"/>
  <c r="L167" i="7"/>
  <c r="D168" i="7"/>
  <c r="E168" i="7"/>
  <c r="F168" i="7"/>
  <c r="G168" i="7"/>
  <c r="H168" i="7"/>
  <c r="I168" i="7"/>
  <c r="J168" i="7"/>
  <c r="K168" i="7"/>
  <c r="L168" i="7"/>
  <c r="D169" i="7"/>
  <c r="E169" i="7"/>
  <c r="F169" i="7"/>
  <c r="G169" i="7"/>
  <c r="H169" i="7"/>
  <c r="I169" i="7"/>
  <c r="J169" i="7"/>
  <c r="K169" i="7"/>
  <c r="L169" i="7"/>
  <c r="D170" i="7"/>
  <c r="E170" i="7"/>
  <c r="F170" i="7"/>
  <c r="G170" i="7"/>
  <c r="H170" i="7"/>
  <c r="I170" i="7"/>
  <c r="J170" i="7"/>
  <c r="K170" i="7"/>
  <c r="L170" i="7"/>
  <c r="D172" i="7"/>
  <c r="E172" i="7"/>
  <c r="F172" i="7"/>
  <c r="G172" i="7"/>
  <c r="H172" i="7"/>
  <c r="I172" i="7"/>
  <c r="J172" i="7"/>
  <c r="K172" i="7"/>
  <c r="L172" i="7"/>
  <c r="D150" i="7"/>
  <c r="E150" i="7"/>
  <c r="F150" i="7"/>
  <c r="G150" i="7"/>
  <c r="H150" i="7"/>
  <c r="I150" i="7"/>
  <c r="J150" i="7"/>
  <c r="K150" i="7"/>
  <c r="L150" i="7"/>
  <c r="D151" i="7"/>
  <c r="E151" i="7"/>
  <c r="F151" i="7"/>
  <c r="G151" i="7"/>
  <c r="H151" i="7"/>
  <c r="I151" i="7"/>
  <c r="J151" i="7"/>
  <c r="K151" i="7"/>
  <c r="L151" i="7"/>
  <c r="D152" i="7"/>
  <c r="E152" i="7"/>
  <c r="F152" i="7"/>
  <c r="G152" i="7"/>
  <c r="H152" i="7"/>
  <c r="I152" i="7"/>
  <c r="J152" i="7"/>
  <c r="K152" i="7"/>
  <c r="L152" i="7"/>
  <c r="D153" i="7"/>
  <c r="E153" i="7"/>
  <c r="F153" i="7"/>
  <c r="G153" i="7"/>
  <c r="H153" i="7"/>
  <c r="I153" i="7"/>
  <c r="J153" i="7"/>
  <c r="K153" i="7"/>
  <c r="L153" i="7"/>
  <c r="D154" i="7"/>
  <c r="E154" i="7"/>
  <c r="F154" i="7"/>
  <c r="G154" i="7"/>
  <c r="H154" i="7"/>
  <c r="I154" i="7"/>
  <c r="J154" i="7"/>
  <c r="K154" i="7"/>
  <c r="L154" i="7"/>
  <c r="D155" i="7"/>
  <c r="E155" i="7"/>
  <c r="F155" i="7"/>
  <c r="G155" i="7"/>
  <c r="H155" i="7"/>
  <c r="I155" i="7"/>
  <c r="J155" i="7"/>
  <c r="K155" i="7"/>
  <c r="L155" i="7"/>
  <c r="D156" i="7"/>
  <c r="E156" i="7"/>
  <c r="F156" i="7"/>
  <c r="G156" i="7"/>
  <c r="H156" i="7"/>
  <c r="I156" i="7"/>
  <c r="J156" i="7"/>
  <c r="K156" i="7"/>
  <c r="L156" i="7"/>
  <c r="D158" i="7"/>
  <c r="E158" i="7"/>
  <c r="F158" i="7"/>
  <c r="G158" i="7"/>
  <c r="H158" i="7"/>
  <c r="I158" i="7"/>
  <c r="J158" i="7"/>
  <c r="K158" i="7"/>
  <c r="L158" i="7"/>
  <c r="D136" i="7"/>
  <c r="E136" i="7"/>
  <c r="F136" i="7"/>
  <c r="G136" i="7"/>
  <c r="H136" i="7"/>
  <c r="I136" i="7"/>
  <c r="J136" i="7"/>
  <c r="K136" i="7"/>
  <c r="L136" i="7"/>
  <c r="D137" i="7"/>
  <c r="E137" i="7"/>
  <c r="F137" i="7"/>
  <c r="G137" i="7"/>
  <c r="H137" i="7"/>
  <c r="I137" i="7"/>
  <c r="J137" i="7"/>
  <c r="K137" i="7"/>
  <c r="L137" i="7"/>
  <c r="D138" i="7"/>
  <c r="E138" i="7"/>
  <c r="F138" i="7"/>
  <c r="G138" i="7"/>
  <c r="H138" i="7"/>
  <c r="I138" i="7"/>
  <c r="J138" i="7"/>
  <c r="K138" i="7"/>
  <c r="L138" i="7"/>
  <c r="D139" i="7"/>
  <c r="E139" i="7"/>
  <c r="F139" i="7"/>
  <c r="G139" i="7"/>
  <c r="H139" i="7"/>
  <c r="I139" i="7"/>
  <c r="J139" i="7"/>
  <c r="K139" i="7"/>
  <c r="L139" i="7"/>
  <c r="D140" i="7"/>
  <c r="E140" i="7"/>
  <c r="F140" i="7"/>
  <c r="G140" i="7"/>
  <c r="H140" i="7"/>
  <c r="I140" i="7"/>
  <c r="J140" i="7"/>
  <c r="K140" i="7"/>
  <c r="L140" i="7"/>
  <c r="D141" i="7"/>
  <c r="E141" i="7"/>
  <c r="F141" i="7"/>
  <c r="G141" i="7"/>
  <c r="H141" i="7"/>
  <c r="I141" i="7"/>
  <c r="J141" i="7"/>
  <c r="K141" i="7"/>
  <c r="L141" i="7"/>
  <c r="D142" i="7"/>
  <c r="E142" i="7"/>
  <c r="F142" i="7"/>
  <c r="G142" i="7"/>
  <c r="H142" i="7"/>
  <c r="I142" i="7"/>
  <c r="J142" i="7"/>
  <c r="K142" i="7"/>
  <c r="L142" i="7"/>
  <c r="D143" i="7"/>
  <c r="E143" i="7"/>
  <c r="F143" i="7"/>
  <c r="G143" i="7"/>
  <c r="H143" i="7"/>
  <c r="I143" i="7"/>
  <c r="J143" i="7"/>
  <c r="K143" i="7"/>
  <c r="L143" i="7"/>
  <c r="D145" i="7"/>
  <c r="E145" i="7"/>
  <c r="F145" i="7"/>
  <c r="G145" i="7"/>
  <c r="H145" i="7"/>
  <c r="I145" i="7"/>
  <c r="J145" i="7"/>
  <c r="K145" i="7"/>
  <c r="L145" i="7"/>
  <c r="D124" i="7"/>
  <c r="E124" i="7"/>
  <c r="F124" i="7"/>
  <c r="G124" i="7"/>
  <c r="H124" i="7"/>
  <c r="I124" i="7"/>
  <c r="J124" i="7"/>
  <c r="K124" i="7"/>
  <c r="L124" i="7"/>
  <c r="D125" i="7"/>
  <c r="E125" i="7"/>
  <c r="F125" i="7"/>
  <c r="G125" i="7"/>
  <c r="H125" i="7"/>
  <c r="I125" i="7"/>
  <c r="J125" i="7"/>
  <c r="K125" i="7"/>
  <c r="L125" i="7"/>
  <c r="D126" i="7"/>
  <c r="E126" i="7"/>
  <c r="F126" i="7"/>
  <c r="G126" i="7"/>
  <c r="H126" i="7"/>
  <c r="I126" i="7"/>
  <c r="J126" i="7"/>
  <c r="K126" i="7"/>
  <c r="L126" i="7"/>
  <c r="D127" i="7"/>
  <c r="E127" i="7"/>
  <c r="F127" i="7"/>
  <c r="G127" i="7"/>
  <c r="H127" i="7"/>
  <c r="I127" i="7"/>
  <c r="J127" i="7"/>
  <c r="K127" i="7"/>
  <c r="L127" i="7"/>
  <c r="D128" i="7"/>
  <c r="E128" i="7"/>
  <c r="F128" i="7"/>
  <c r="G128" i="7"/>
  <c r="H128" i="7"/>
  <c r="I128" i="7"/>
  <c r="J128" i="7"/>
  <c r="K128" i="7"/>
  <c r="L128" i="7"/>
  <c r="D129" i="7"/>
  <c r="E129" i="7"/>
  <c r="F129" i="7"/>
  <c r="G129" i="7"/>
  <c r="H129" i="7"/>
  <c r="I129" i="7"/>
  <c r="J129" i="7"/>
  <c r="K129" i="7"/>
  <c r="L129" i="7"/>
  <c r="D131" i="7"/>
  <c r="E131" i="7"/>
  <c r="F131" i="7"/>
  <c r="G131" i="7"/>
  <c r="H131" i="7"/>
  <c r="I131" i="7"/>
  <c r="J131" i="7"/>
  <c r="K131" i="7"/>
  <c r="L131" i="7"/>
  <c r="D110" i="7"/>
  <c r="E110" i="7"/>
  <c r="F110" i="7"/>
  <c r="G110" i="7"/>
  <c r="H110" i="7"/>
  <c r="I110" i="7"/>
  <c r="J110" i="7"/>
  <c r="K110" i="7"/>
  <c r="L110" i="7"/>
  <c r="D111" i="7"/>
  <c r="E111" i="7"/>
  <c r="F111" i="7"/>
  <c r="G111" i="7"/>
  <c r="H111" i="7"/>
  <c r="I111" i="7"/>
  <c r="J111" i="7"/>
  <c r="K111" i="7"/>
  <c r="L111" i="7"/>
  <c r="D112" i="7"/>
  <c r="E112" i="7"/>
  <c r="F112" i="7"/>
  <c r="G112" i="7"/>
  <c r="H112" i="7"/>
  <c r="I112" i="7"/>
  <c r="J112" i="7"/>
  <c r="K112" i="7"/>
  <c r="L112" i="7"/>
  <c r="D113" i="7"/>
  <c r="E113" i="7"/>
  <c r="F113" i="7"/>
  <c r="G113" i="7"/>
  <c r="H113" i="7"/>
  <c r="I113" i="7"/>
  <c r="J113" i="7"/>
  <c r="K113" i="7"/>
  <c r="L113" i="7"/>
  <c r="D114" i="7"/>
  <c r="E114" i="7"/>
  <c r="F114" i="7"/>
  <c r="G114" i="7"/>
  <c r="H114" i="7"/>
  <c r="I114" i="7"/>
  <c r="J114" i="7"/>
  <c r="K114" i="7"/>
  <c r="L114" i="7"/>
  <c r="D115" i="7"/>
  <c r="E115" i="7"/>
  <c r="F115" i="7"/>
  <c r="G115" i="7"/>
  <c r="H115" i="7"/>
  <c r="I115" i="7"/>
  <c r="J115" i="7"/>
  <c r="K115" i="7"/>
  <c r="L115" i="7"/>
  <c r="D116" i="7"/>
  <c r="E116" i="7"/>
  <c r="F116" i="7"/>
  <c r="G116" i="7"/>
  <c r="H116" i="7"/>
  <c r="I116" i="7"/>
  <c r="J116" i="7"/>
  <c r="K116" i="7"/>
  <c r="L116" i="7"/>
  <c r="D117" i="7"/>
  <c r="E117" i="7"/>
  <c r="F117" i="7"/>
  <c r="G117" i="7"/>
  <c r="H117" i="7"/>
  <c r="I117" i="7"/>
  <c r="J117" i="7"/>
  <c r="K117" i="7"/>
  <c r="L117" i="7"/>
  <c r="D119" i="7"/>
  <c r="E119" i="7"/>
  <c r="F119" i="7"/>
  <c r="G119" i="7"/>
  <c r="H119" i="7"/>
  <c r="I119" i="7"/>
  <c r="J119" i="7"/>
  <c r="K119" i="7"/>
  <c r="L119" i="7"/>
  <c r="D103" i="7"/>
  <c r="E103" i="7"/>
  <c r="F103" i="7"/>
  <c r="G103" i="7"/>
  <c r="H103" i="7"/>
  <c r="I103" i="7"/>
  <c r="J103" i="7"/>
  <c r="K103" i="7"/>
  <c r="L103" i="7"/>
  <c r="D98" i="7"/>
  <c r="E98" i="7"/>
  <c r="F98" i="7"/>
  <c r="G98" i="7"/>
  <c r="H98" i="7"/>
  <c r="I98" i="7"/>
  <c r="J98" i="7"/>
  <c r="K98" i="7"/>
  <c r="L98" i="7"/>
  <c r="D79" i="7"/>
  <c r="E79" i="7"/>
  <c r="F79" i="7"/>
  <c r="G79" i="7"/>
  <c r="H79" i="7"/>
  <c r="I79" i="7"/>
  <c r="J79" i="7"/>
  <c r="K79" i="7"/>
  <c r="L79" i="7"/>
  <c r="D80" i="7"/>
  <c r="E80" i="7"/>
  <c r="F80" i="7"/>
  <c r="G80" i="7"/>
  <c r="H80" i="7"/>
  <c r="I80" i="7"/>
  <c r="J80" i="7"/>
  <c r="K80" i="7"/>
  <c r="L80" i="7"/>
  <c r="D81" i="7"/>
  <c r="E81" i="7"/>
  <c r="F81" i="7"/>
  <c r="G81" i="7"/>
  <c r="H81" i="7"/>
  <c r="I81" i="7"/>
  <c r="J81" i="7"/>
  <c r="K81" i="7"/>
  <c r="L81" i="7"/>
  <c r="D82" i="7"/>
  <c r="E82" i="7"/>
  <c r="F82" i="7"/>
  <c r="G82" i="7"/>
  <c r="H82" i="7"/>
  <c r="I82" i="7"/>
  <c r="J82" i="7"/>
  <c r="K82" i="7"/>
  <c r="L82" i="7"/>
  <c r="D83" i="7"/>
  <c r="E83" i="7"/>
  <c r="F83" i="7"/>
  <c r="G83" i="7"/>
  <c r="H83" i="7"/>
  <c r="I83" i="7"/>
  <c r="J83" i="7"/>
  <c r="K83" i="7"/>
  <c r="L83" i="7"/>
  <c r="D84" i="7"/>
  <c r="E84" i="7"/>
  <c r="F84" i="7"/>
  <c r="G84" i="7"/>
  <c r="H84" i="7"/>
  <c r="I84" i="7"/>
  <c r="J84" i="7"/>
  <c r="K84" i="7"/>
  <c r="L84" i="7"/>
  <c r="D85" i="7"/>
  <c r="E85" i="7"/>
  <c r="F85" i="7"/>
  <c r="G85" i="7"/>
  <c r="H85" i="7"/>
  <c r="I85" i="7"/>
  <c r="J85" i="7"/>
  <c r="K85" i="7"/>
  <c r="L85" i="7"/>
  <c r="D86" i="7"/>
  <c r="E86" i="7"/>
  <c r="F86" i="7"/>
  <c r="G86" i="7"/>
  <c r="H86" i="7"/>
  <c r="I86" i="7"/>
  <c r="J86" i="7"/>
  <c r="K86" i="7"/>
  <c r="L86" i="7"/>
  <c r="D87" i="7"/>
  <c r="E87" i="7"/>
  <c r="F87" i="7"/>
  <c r="G87" i="7"/>
  <c r="H87" i="7"/>
  <c r="I87" i="7"/>
  <c r="J87" i="7"/>
  <c r="K87" i="7"/>
  <c r="L87" i="7"/>
  <c r="D88" i="7"/>
  <c r="E88" i="7"/>
  <c r="F88" i="7"/>
  <c r="G88" i="7"/>
  <c r="H88" i="7"/>
  <c r="I88" i="7"/>
  <c r="J88" i="7"/>
  <c r="K88" i="7"/>
  <c r="L88" i="7"/>
  <c r="D89" i="7"/>
  <c r="E89" i="7"/>
  <c r="F89" i="7"/>
  <c r="G89" i="7"/>
  <c r="H89" i="7"/>
  <c r="I89" i="7"/>
  <c r="J89" i="7"/>
  <c r="K89" i="7"/>
  <c r="L89" i="7"/>
  <c r="D90" i="7"/>
  <c r="E90" i="7"/>
  <c r="F90" i="7"/>
  <c r="G90" i="7"/>
  <c r="H90" i="7"/>
  <c r="I90" i="7"/>
  <c r="J90" i="7"/>
  <c r="K90" i="7"/>
  <c r="L90" i="7"/>
  <c r="D91" i="7"/>
  <c r="E91" i="7"/>
  <c r="F91" i="7"/>
  <c r="G91" i="7"/>
  <c r="H91" i="7"/>
  <c r="I91" i="7"/>
  <c r="J91" i="7"/>
  <c r="K91" i="7"/>
  <c r="L91" i="7"/>
  <c r="D92" i="7"/>
  <c r="E92" i="7"/>
  <c r="F92" i="7"/>
  <c r="G92" i="7"/>
  <c r="H92" i="7"/>
  <c r="I92" i="7"/>
  <c r="J92" i="7"/>
  <c r="K92" i="7"/>
  <c r="L92" i="7"/>
  <c r="D93" i="7"/>
  <c r="E93" i="7"/>
  <c r="F93" i="7"/>
  <c r="G93" i="7"/>
  <c r="H93" i="7"/>
  <c r="I93" i="7"/>
  <c r="J93" i="7"/>
  <c r="K93" i="7"/>
  <c r="L93" i="7"/>
  <c r="D96" i="7"/>
  <c r="E96" i="7"/>
  <c r="F96" i="7"/>
  <c r="G96" i="7"/>
  <c r="H96" i="7"/>
  <c r="I96" i="7"/>
  <c r="J96" i="7"/>
  <c r="K96" i="7"/>
  <c r="L96" i="7"/>
  <c r="D74" i="7"/>
  <c r="E74" i="7"/>
  <c r="F74" i="7"/>
  <c r="G74" i="7"/>
  <c r="H74" i="7"/>
  <c r="I74" i="7"/>
  <c r="J74" i="7"/>
  <c r="K74" i="7"/>
  <c r="L74" i="7"/>
  <c r="D55" i="7"/>
  <c r="E55" i="7"/>
  <c r="F55" i="7"/>
  <c r="G55" i="7"/>
  <c r="H55" i="7"/>
  <c r="I55" i="7"/>
  <c r="J55" i="7"/>
  <c r="K55" i="7"/>
  <c r="L55" i="7"/>
  <c r="D56" i="7"/>
  <c r="E56" i="7"/>
  <c r="F56" i="7"/>
  <c r="G56" i="7"/>
  <c r="H56" i="7"/>
  <c r="I56" i="7"/>
  <c r="J56" i="7"/>
  <c r="K56" i="7"/>
  <c r="L56" i="7"/>
  <c r="D57" i="7"/>
  <c r="E57" i="7"/>
  <c r="F57" i="7"/>
  <c r="G57" i="7"/>
  <c r="H57" i="7"/>
  <c r="I57" i="7"/>
  <c r="J57" i="7"/>
  <c r="K57" i="7"/>
  <c r="L57" i="7"/>
  <c r="D58" i="7"/>
  <c r="E58" i="7"/>
  <c r="F58" i="7"/>
  <c r="G58" i="7"/>
  <c r="H58" i="7"/>
  <c r="I58" i="7"/>
  <c r="J58" i="7"/>
  <c r="K58" i="7"/>
  <c r="L58" i="7"/>
  <c r="D59" i="7"/>
  <c r="E59" i="7"/>
  <c r="F59" i="7"/>
  <c r="G59" i="7"/>
  <c r="H59" i="7"/>
  <c r="I59" i="7"/>
  <c r="J59" i="7"/>
  <c r="K59" i="7"/>
  <c r="L59" i="7"/>
  <c r="D60" i="7"/>
  <c r="E60" i="7"/>
  <c r="F60" i="7"/>
  <c r="G60" i="7"/>
  <c r="H60" i="7"/>
  <c r="I60" i="7"/>
  <c r="J60" i="7"/>
  <c r="K60" i="7"/>
  <c r="L60" i="7"/>
  <c r="D61" i="7"/>
  <c r="E61" i="7"/>
  <c r="F61" i="7"/>
  <c r="G61" i="7"/>
  <c r="H61" i="7"/>
  <c r="I61" i="7"/>
  <c r="J61" i="7"/>
  <c r="K61" i="7"/>
  <c r="L61" i="7"/>
  <c r="D62" i="7"/>
  <c r="E62" i="7"/>
  <c r="F62" i="7"/>
  <c r="G62" i="7"/>
  <c r="H62" i="7"/>
  <c r="I62" i="7"/>
  <c r="J62" i="7"/>
  <c r="K62" i="7"/>
  <c r="L62" i="7"/>
  <c r="D63" i="7"/>
  <c r="E63" i="7"/>
  <c r="F63" i="7"/>
  <c r="G63" i="7"/>
  <c r="H63" i="7"/>
  <c r="I63" i="7"/>
  <c r="J63" i="7"/>
  <c r="K63" i="7"/>
  <c r="L63" i="7"/>
  <c r="D64" i="7"/>
  <c r="E64" i="7"/>
  <c r="F64" i="7"/>
  <c r="G64" i="7"/>
  <c r="H64" i="7"/>
  <c r="I64" i="7"/>
  <c r="J64" i="7"/>
  <c r="K64" i="7"/>
  <c r="L64" i="7"/>
  <c r="D65" i="7"/>
  <c r="E65" i="7"/>
  <c r="F65" i="7"/>
  <c r="G65" i="7"/>
  <c r="H65" i="7"/>
  <c r="I65" i="7"/>
  <c r="J65" i="7"/>
  <c r="K65" i="7"/>
  <c r="L65" i="7"/>
  <c r="D66" i="7"/>
  <c r="E66" i="7"/>
  <c r="F66" i="7"/>
  <c r="G66" i="7"/>
  <c r="H66" i="7"/>
  <c r="I66" i="7"/>
  <c r="J66" i="7"/>
  <c r="K66" i="7"/>
  <c r="L66" i="7"/>
  <c r="D67" i="7"/>
  <c r="E67" i="7"/>
  <c r="F67" i="7"/>
  <c r="G67" i="7"/>
  <c r="H67" i="7"/>
  <c r="I67" i="7"/>
  <c r="J67" i="7"/>
  <c r="K67" i="7"/>
  <c r="L67" i="7"/>
  <c r="D68" i="7"/>
  <c r="E68" i="7"/>
  <c r="F68" i="7"/>
  <c r="G68" i="7"/>
  <c r="H68" i="7"/>
  <c r="I68" i="7"/>
  <c r="J68" i="7"/>
  <c r="K68" i="7"/>
  <c r="L68" i="7"/>
  <c r="D69" i="7"/>
  <c r="E69" i="7"/>
  <c r="F69" i="7"/>
  <c r="G69" i="7"/>
  <c r="H69" i="7"/>
  <c r="I69" i="7"/>
  <c r="J69" i="7"/>
  <c r="K69" i="7"/>
  <c r="L69" i="7"/>
  <c r="D72" i="7"/>
  <c r="E72" i="7"/>
  <c r="F72" i="7"/>
  <c r="G72" i="7"/>
  <c r="H72" i="7"/>
  <c r="I72" i="7"/>
  <c r="J72" i="7"/>
  <c r="K72" i="7"/>
  <c r="L72" i="7"/>
  <c r="D50" i="7"/>
  <c r="E50" i="7"/>
  <c r="F50" i="7"/>
  <c r="G50" i="7"/>
  <c r="H50" i="7"/>
  <c r="I50" i="7"/>
  <c r="J50" i="7"/>
  <c r="K50" i="7"/>
  <c r="L50" i="7"/>
  <c r="D31" i="7"/>
  <c r="E31" i="7"/>
  <c r="F31" i="7"/>
  <c r="G31" i="7"/>
  <c r="H31" i="7"/>
  <c r="I31" i="7"/>
  <c r="J31" i="7"/>
  <c r="K31" i="7"/>
  <c r="L31" i="7"/>
  <c r="D32" i="7"/>
  <c r="E32" i="7"/>
  <c r="F32" i="7"/>
  <c r="G32" i="7"/>
  <c r="H32" i="7"/>
  <c r="I32" i="7"/>
  <c r="J32" i="7"/>
  <c r="K32" i="7"/>
  <c r="L32" i="7"/>
  <c r="D33" i="7"/>
  <c r="E33" i="7"/>
  <c r="F33" i="7"/>
  <c r="G33" i="7"/>
  <c r="H33" i="7"/>
  <c r="I33" i="7"/>
  <c r="J33" i="7"/>
  <c r="K33" i="7"/>
  <c r="L33" i="7"/>
  <c r="D34" i="7"/>
  <c r="E34" i="7"/>
  <c r="F34" i="7"/>
  <c r="G34" i="7"/>
  <c r="H34" i="7"/>
  <c r="I34" i="7"/>
  <c r="J34" i="7"/>
  <c r="K34" i="7"/>
  <c r="L34" i="7"/>
  <c r="D35" i="7"/>
  <c r="E35" i="7"/>
  <c r="F35" i="7"/>
  <c r="G35" i="7"/>
  <c r="H35" i="7"/>
  <c r="I35" i="7"/>
  <c r="J35" i="7"/>
  <c r="K35" i="7"/>
  <c r="L35" i="7"/>
  <c r="D36" i="7"/>
  <c r="E36" i="7"/>
  <c r="F36" i="7"/>
  <c r="G36" i="7"/>
  <c r="H36" i="7"/>
  <c r="I36" i="7"/>
  <c r="J36" i="7"/>
  <c r="K36" i="7"/>
  <c r="L36" i="7"/>
  <c r="D37" i="7"/>
  <c r="E37" i="7"/>
  <c r="F37" i="7"/>
  <c r="G37" i="7"/>
  <c r="H37" i="7"/>
  <c r="I37" i="7"/>
  <c r="J37" i="7"/>
  <c r="K37" i="7"/>
  <c r="L37" i="7"/>
  <c r="D38" i="7"/>
  <c r="E38" i="7"/>
  <c r="F38" i="7"/>
  <c r="G38" i="7"/>
  <c r="H38" i="7"/>
  <c r="I38" i="7"/>
  <c r="J38" i="7"/>
  <c r="K38" i="7"/>
  <c r="L38" i="7"/>
  <c r="D39" i="7"/>
  <c r="E39" i="7"/>
  <c r="F39" i="7"/>
  <c r="G39" i="7"/>
  <c r="H39" i="7"/>
  <c r="I39" i="7"/>
  <c r="J39" i="7"/>
  <c r="K39" i="7"/>
  <c r="L39" i="7"/>
  <c r="D40" i="7"/>
  <c r="E40" i="7"/>
  <c r="F40" i="7"/>
  <c r="G40" i="7"/>
  <c r="H40" i="7"/>
  <c r="I40" i="7"/>
  <c r="J40" i="7"/>
  <c r="K40" i="7"/>
  <c r="L40" i="7"/>
  <c r="D41" i="7"/>
  <c r="E41" i="7"/>
  <c r="F41" i="7"/>
  <c r="G41" i="7"/>
  <c r="H41" i="7"/>
  <c r="I41" i="7"/>
  <c r="J41" i="7"/>
  <c r="K41" i="7"/>
  <c r="L41" i="7"/>
  <c r="D42" i="7"/>
  <c r="E42" i="7"/>
  <c r="F42" i="7"/>
  <c r="G42" i="7"/>
  <c r="H42" i="7"/>
  <c r="I42" i="7"/>
  <c r="J42" i="7"/>
  <c r="K42" i="7"/>
  <c r="L42" i="7"/>
  <c r="D43" i="7"/>
  <c r="E43" i="7"/>
  <c r="F43" i="7"/>
  <c r="G43" i="7"/>
  <c r="H43" i="7"/>
  <c r="I43" i="7"/>
  <c r="J43" i="7"/>
  <c r="K43" i="7"/>
  <c r="L43" i="7"/>
  <c r="D44" i="7"/>
  <c r="E44" i="7"/>
  <c r="F44" i="7"/>
  <c r="G44" i="7"/>
  <c r="H44" i="7"/>
  <c r="I44" i="7"/>
  <c r="J44" i="7"/>
  <c r="K44" i="7"/>
  <c r="L44" i="7"/>
  <c r="D45" i="7"/>
  <c r="E45" i="7"/>
  <c r="F45" i="7"/>
  <c r="G45" i="7"/>
  <c r="H45" i="7"/>
  <c r="I45" i="7"/>
  <c r="J45" i="7"/>
  <c r="K45" i="7"/>
  <c r="L45" i="7"/>
  <c r="D48" i="7"/>
  <c r="E48" i="7"/>
  <c r="F48" i="7"/>
  <c r="G48" i="7"/>
  <c r="H48" i="7"/>
  <c r="I48" i="7"/>
  <c r="J48" i="7"/>
  <c r="K48" i="7"/>
  <c r="L48" i="7"/>
  <c r="E26" i="7"/>
  <c r="F26" i="7"/>
  <c r="G26" i="7"/>
  <c r="H26" i="7"/>
  <c r="I26" i="7"/>
  <c r="J26" i="7"/>
  <c r="K26" i="7"/>
  <c r="L26" i="7"/>
  <c r="D26" i="7"/>
  <c r="D21" i="7"/>
  <c r="E21" i="7"/>
  <c r="F21" i="7"/>
  <c r="G21" i="7"/>
  <c r="H21" i="7"/>
  <c r="I21" i="7"/>
  <c r="J21" i="7"/>
  <c r="K21" i="7"/>
  <c r="L21" i="7"/>
  <c r="D22" i="7"/>
  <c r="E22" i="7"/>
  <c r="F22" i="7"/>
  <c r="G22" i="7"/>
  <c r="H22" i="7"/>
  <c r="I22" i="7"/>
  <c r="J22" i="7"/>
  <c r="K22" i="7"/>
  <c r="L22" i="7"/>
  <c r="D23" i="7"/>
  <c r="E23" i="7"/>
  <c r="F23" i="7"/>
  <c r="G23" i="7"/>
  <c r="H23" i="7"/>
  <c r="I23" i="7"/>
  <c r="J23" i="7"/>
  <c r="K23" i="7"/>
  <c r="L23" i="7"/>
  <c r="D9" i="7"/>
  <c r="E9" i="7"/>
  <c r="F9" i="7"/>
  <c r="G9" i="7"/>
  <c r="H9" i="7"/>
  <c r="I9" i="7"/>
  <c r="J9" i="7"/>
  <c r="K9" i="7"/>
  <c r="L9" i="7"/>
  <c r="D10" i="7"/>
  <c r="E10" i="7"/>
  <c r="F10" i="7"/>
  <c r="G10" i="7"/>
  <c r="H10" i="7"/>
  <c r="I10" i="7"/>
  <c r="J10" i="7"/>
  <c r="K10" i="7"/>
  <c r="L10" i="7"/>
  <c r="D11" i="7"/>
  <c r="E11" i="7"/>
  <c r="F11" i="7"/>
  <c r="G11" i="7"/>
  <c r="H11" i="7"/>
  <c r="I11" i="7"/>
  <c r="J11" i="7"/>
  <c r="K11" i="7"/>
  <c r="L11" i="7"/>
  <c r="D12" i="7"/>
  <c r="E12" i="7"/>
  <c r="F12" i="7"/>
  <c r="G12" i="7"/>
  <c r="H12" i="7"/>
  <c r="I12" i="7"/>
  <c r="J12" i="7"/>
  <c r="K12" i="7"/>
  <c r="L12" i="7"/>
  <c r="D13" i="7"/>
  <c r="E13" i="7"/>
  <c r="F13" i="7"/>
  <c r="G13" i="7"/>
  <c r="H13" i="7"/>
  <c r="I13" i="7"/>
  <c r="J13" i="7"/>
  <c r="K13" i="7"/>
  <c r="L13" i="7"/>
  <c r="D14" i="7"/>
  <c r="E14" i="7"/>
  <c r="F14" i="7"/>
  <c r="G14" i="7"/>
  <c r="H14" i="7"/>
  <c r="I14" i="7"/>
  <c r="J14" i="7"/>
  <c r="K14" i="7"/>
  <c r="L14" i="7"/>
  <c r="D16" i="7"/>
  <c r="E16" i="7"/>
  <c r="F16" i="7"/>
  <c r="G16" i="7"/>
  <c r="H16" i="7"/>
  <c r="I16" i="7"/>
  <c r="J16" i="7"/>
  <c r="K16" i="7"/>
  <c r="L16" i="7"/>
  <c r="C397" i="7"/>
  <c r="C398" i="7"/>
  <c r="C399" i="7"/>
  <c r="C400" i="7"/>
  <c r="B398" i="7"/>
  <c r="B399" i="7"/>
  <c r="B400" i="7"/>
  <c r="B397" i="7"/>
  <c r="C386" i="7"/>
  <c r="C387" i="7"/>
  <c r="C388" i="7"/>
  <c r="C389" i="7"/>
  <c r="C390" i="7"/>
  <c r="C392" i="7"/>
  <c r="B392" i="7"/>
  <c r="B387" i="7"/>
  <c r="B388" i="7"/>
  <c r="B389" i="7"/>
  <c r="B390" i="7"/>
  <c r="B386" i="7"/>
  <c r="C369" i="7"/>
  <c r="C370" i="7"/>
  <c r="C371" i="7"/>
  <c r="C372" i="7"/>
  <c r="C373" i="7"/>
  <c r="C374" i="7"/>
  <c r="C375" i="7"/>
  <c r="C376" i="7"/>
  <c r="C377" i="7"/>
  <c r="C378" i="7"/>
  <c r="C381" i="7"/>
  <c r="B370" i="7"/>
  <c r="B371" i="7"/>
  <c r="B372" i="7"/>
  <c r="B373" i="7"/>
  <c r="B374" i="7"/>
  <c r="B375" i="7"/>
  <c r="B376" i="7"/>
  <c r="B377" i="7"/>
  <c r="B378" i="7"/>
  <c r="B369" i="7"/>
  <c r="B381" i="7" s="1"/>
  <c r="C354" i="7"/>
  <c r="C355" i="7"/>
  <c r="C356" i="7"/>
  <c r="C357" i="7"/>
  <c r="C358" i="7"/>
  <c r="C359" i="7"/>
  <c r="B355" i="7"/>
  <c r="B356" i="7"/>
  <c r="B357" i="7"/>
  <c r="B358" i="7"/>
  <c r="B362" i="7" s="1"/>
  <c r="B359" i="7"/>
  <c r="B354" i="7"/>
  <c r="C346" i="7"/>
  <c r="C347" i="7"/>
  <c r="B347" i="7"/>
  <c r="B346" i="7"/>
  <c r="C313" i="7"/>
  <c r="C314" i="7"/>
  <c r="C315" i="7"/>
  <c r="C316" i="7"/>
  <c r="C317" i="7"/>
  <c r="C318" i="7"/>
  <c r="C319" i="7"/>
  <c r="C321" i="7"/>
  <c r="C322" i="7"/>
  <c r="C323" i="7"/>
  <c r="C324" i="7"/>
  <c r="C325" i="7"/>
  <c r="C326" i="7"/>
  <c r="C327" i="7"/>
  <c r="C329" i="7"/>
  <c r="C330" i="7"/>
  <c r="C331" i="7"/>
  <c r="C332" i="7"/>
  <c r="C333" i="7"/>
  <c r="C334" i="7"/>
  <c r="C335" i="7"/>
  <c r="C337" i="7"/>
  <c r="B341" i="7"/>
  <c r="B337" i="7"/>
  <c r="B330" i="7"/>
  <c r="B331" i="7"/>
  <c r="B332" i="7"/>
  <c r="B333" i="7"/>
  <c r="B334" i="7"/>
  <c r="B335" i="7"/>
  <c r="B329" i="7"/>
  <c r="B322" i="7"/>
  <c r="B323" i="7"/>
  <c r="B324" i="7"/>
  <c r="B325" i="7"/>
  <c r="B326" i="7"/>
  <c r="B327" i="7"/>
  <c r="B321" i="7"/>
  <c r="B314" i="7"/>
  <c r="B315" i="7"/>
  <c r="B316" i="7"/>
  <c r="B317" i="7"/>
  <c r="B318" i="7"/>
  <c r="B319" i="7"/>
  <c r="B313" i="7"/>
  <c r="C303" i="7"/>
  <c r="C304" i="7"/>
  <c r="C305" i="7"/>
  <c r="C306" i="7"/>
  <c r="C307" i="7"/>
  <c r="C308" i="7"/>
  <c r="B304" i="7"/>
  <c r="B305" i="7"/>
  <c r="B306" i="7"/>
  <c r="B307" i="7"/>
  <c r="B308" i="7"/>
  <c r="B303" i="7"/>
  <c r="C290" i="7"/>
  <c r="C291" i="7"/>
  <c r="C292" i="7"/>
  <c r="C293" i="7"/>
  <c r="C294" i="7"/>
  <c r="C295" i="7"/>
  <c r="C296" i="7"/>
  <c r="C297" i="7"/>
  <c r="C298" i="7"/>
  <c r="B291" i="7"/>
  <c r="B292" i="7"/>
  <c r="B293" i="7"/>
  <c r="B294" i="7"/>
  <c r="B295" i="7"/>
  <c r="B296" i="7"/>
  <c r="B297" i="7"/>
  <c r="B298" i="7"/>
  <c r="B290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B282" i="7"/>
  <c r="B283" i="7"/>
  <c r="B284" i="7"/>
  <c r="B277" i="7"/>
  <c r="B278" i="7"/>
  <c r="B279" i="7"/>
  <c r="B280" i="7"/>
  <c r="B281" i="7"/>
  <c r="B274" i="7"/>
  <c r="B275" i="7"/>
  <c r="B276" i="7"/>
  <c r="B273" i="7"/>
  <c r="C262" i="7"/>
  <c r="C263" i="7"/>
  <c r="C264" i="7"/>
  <c r="C265" i="7"/>
  <c r="B263" i="7"/>
  <c r="B264" i="7"/>
  <c r="B265" i="7"/>
  <c r="B262" i="7"/>
  <c r="C248" i="7"/>
  <c r="C257" i="7" s="1"/>
  <c r="C249" i="7"/>
  <c r="C250" i="7"/>
  <c r="C251" i="7"/>
  <c r="C252" i="7"/>
  <c r="C253" i="7"/>
  <c r="B249" i="7"/>
  <c r="B250" i="7"/>
  <c r="B251" i="7"/>
  <c r="B252" i="7"/>
  <c r="B257" i="7" s="1"/>
  <c r="B253" i="7"/>
  <c r="B248" i="7"/>
  <c r="C234" i="7"/>
  <c r="C235" i="7"/>
  <c r="C236" i="7"/>
  <c r="C237" i="7"/>
  <c r="C238" i="7"/>
  <c r="C239" i="7"/>
  <c r="C241" i="7"/>
  <c r="C243" i="7"/>
  <c r="H243" i="7"/>
  <c r="I243" i="7"/>
  <c r="J243" i="7"/>
  <c r="K243" i="7"/>
  <c r="L243" i="7"/>
  <c r="B243" i="7"/>
  <c r="B241" i="7"/>
  <c r="B235" i="7"/>
  <c r="B236" i="7"/>
  <c r="B237" i="7"/>
  <c r="B238" i="7"/>
  <c r="B239" i="7"/>
  <c r="B234" i="7"/>
  <c r="C220" i="7"/>
  <c r="C221" i="7"/>
  <c r="C222" i="7"/>
  <c r="C223" i="7"/>
  <c r="C224" i="7"/>
  <c r="C225" i="7"/>
  <c r="C226" i="7"/>
  <c r="C227" i="7"/>
  <c r="C229" i="7"/>
  <c r="B221" i="7"/>
  <c r="B222" i="7"/>
  <c r="B223" i="7"/>
  <c r="B224" i="7"/>
  <c r="B225" i="7"/>
  <c r="B226" i="7"/>
  <c r="B227" i="7"/>
  <c r="B229" i="7"/>
  <c r="B220" i="7"/>
  <c r="C210" i="7"/>
  <c r="C211" i="7"/>
  <c r="C212" i="7"/>
  <c r="C213" i="7"/>
  <c r="C215" i="7"/>
  <c r="B211" i="7"/>
  <c r="B212" i="7"/>
  <c r="B213" i="7"/>
  <c r="B215" i="7"/>
  <c r="B210" i="7"/>
  <c r="C196" i="7"/>
  <c r="C197" i="7"/>
  <c r="C198" i="7"/>
  <c r="C199" i="7"/>
  <c r="C200" i="7"/>
  <c r="C201" i="7"/>
  <c r="C202" i="7"/>
  <c r="C203" i="7"/>
  <c r="C205" i="7"/>
  <c r="B197" i="7"/>
  <c r="B198" i="7"/>
  <c r="B199" i="7"/>
  <c r="B200" i="7"/>
  <c r="B201" i="7"/>
  <c r="B202" i="7"/>
  <c r="B203" i="7"/>
  <c r="B205" i="7"/>
  <c r="B196" i="7"/>
  <c r="C189" i="7"/>
  <c r="C188" i="7"/>
  <c r="C187" i="7"/>
  <c r="C186" i="7"/>
  <c r="B187" i="7"/>
  <c r="B188" i="7"/>
  <c r="B189" i="7"/>
  <c r="B186" i="7"/>
  <c r="C163" i="7"/>
  <c r="C164" i="7"/>
  <c r="C165" i="7"/>
  <c r="C166" i="7"/>
  <c r="C167" i="7"/>
  <c r="C168" i="7"/>
  <c r="C169" i="7"/>
  <c r="C170" i="7"/>
  <c r="C172" i="7"/>
  <c r="B164" i="7"/>
  <c r="B165" i="7"/>
  <c r="B166" i="7"/>
  <c r="B167" i="7"/>
  <c r="B168" i="7"/>
  <c r="B169" i="7"/>
  <c r="B170" i="7"/>
  <c r="B172" i="7"/>
  <c r="B163" i="7"/>
  <c r="C150" i="7"/>
  <c r="C151" i="7"/>
  <c r="C152" i="7"/>
  <c r="C153" i="7"/>
  <c r="C154" i="7"/>
  <c r="C155" i="7"/>
  <c r="C156" i="7"/>
  <c r="C158" i="7"/>
  <c r="B151" i="7"/>
  <c r="B152" i="7"/>
  <c r="B153" i="7"/>
  <c r="B154" i="7"/>
  <c r="B155" i="7"/>
  <c r="B156" i="7"/>
  <c r="B158" i="7"/>
  <c r="B150" i="7"/>
  <c r="C136" i="7"/>
  <c r="C137" i="7"/>
  <c r="C138" i="7"/>
  <c r="C139" i="7"/>
  <c r="C140" i="7"/>
  <c r="C141" i="7"/>
  <c r="C142" i="7"/>
  <c r="C143" i="7"/>
  <c r="C145" i="7"/>
  <c r="B137" i="7"/>
  <c r="B138" i="7"/>
  <c r="B139" i="7"/>
  <c r="B140" i="7"/>
  <c r="B141" i="7"/>
  <c r="B142" i="7"/>
  <c r="B143" i="7"/>
  <c r="B145" i="7"/>
  <c r="B136" i="7"/>
  <c r="C124" i="7"/>
  <c r="C125" i="7"/>
  <c r="C126" i="7"/>
  <c r="C127" i="7"/>
  <c r="C128" i="7"/>
  <c r="C129" i="7"/>
  <c r="C131" i="7"/>
  <c r="B125" i="7"/>
  <c r="B126" i="7"/>
  <c r="B127" i="7"/>
  <c r="B128" i="7"/>
  <c r="B129" i="7"/>
  <c r="B131" i="7"/>
  <c r="C110" i="7"/>
  <c r="C111" i="7"/>
  <c r="C112" i="7"/>
  <c r="C113" i="7"/>
  <c r="C114" i="7"/>
  <c r="C115" i="7"/>
  <c r="C116" i="7"/>
  <c r="C117" i="7"/>
  <c r="C119" i="7"/>
  <c r="B124" i="7"/>
  <c r="B111" i="7"/>
  <c r="B112" i="7"/>
  <c r="B113" i="7"/>
  <c r="B114" i="7"/>
  <c r="B115" i="7"/>
  <c r="B116" i="7"/>
  <c r="B117" i="7"/>
  <c r="B119" i="7"/>
  <c r="B110" i="7"/>
  <c r="C103" i="7"/>
  <c r="B103" i="7"/>
  <c r="C98" i="7"/>
  <c r="B9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6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6" i="7"/>
  <c r="B79" i="7"/>
  <c r="C74" i="7"/>
  <c r="B74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2" i="7"/>
  <c r="C72" i="7"/>
  <c r="C55" i="7"/>
  <c r="B55" i="7"/>
  <c r="C50" i="7"/>
  <c r="B50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8" i="7"/>
  <c r="C48" i="7"/>
  <c r="C31" i="7"/>
  <c r="B31" i="7"/>
  <c r="C21" i="7"/>
  <c r="C22" i="7"/>
  <c r="C26" i="7" s="1"/>
  <c r="C23" i="7"/>
  <c r="B22" i="7"/>
  <c r="B23" i="7"/>
  <c r="B21" i="7"/>
  <c r="B26" i="7"/>
  <c r="B10" i="7"/>
  <c r="C10" i="7"/>
  <c r="B11" i="7"/>
  <c r="C11" i="7"/>
  <c r="B12" i="7"/>
  <c r="C12" i="7"/>
  <c r="B13" i="7"/>
  <c r="C13" i="7"/>
  <c r="B14" i="7"/>
  <c r="C14" i="7"/>
  <c r="B16" i="7"/>
  <c r="C16" i="7"/>
  <c r="C9" i="7"/>
  <c r="B9" i="7"/>
  <c r="B13" i="16"/>
  <c r="C13" i="16"/>
  <c r="D13" i="16"/>
  <c r="E13" i="16"/>
  <c r="F13" i="16"/>
  <c r="G13" i="16"/>
  <c r="H13" i="16"/>
  <c r="I13" i="16"/>
  <c r="J13" i="16"/>
  <c r="K13" i="16"/>
  <c r="L13" i="16"/>
  <c r="B14" i="16"/>
  <c r="C14" i="16"/>
  <c r="D14" i="16"/>
  <c r="E14" i="16"/>
  <c r="F14" i="16"/>
  <c r="G14" i="16"/>
  <c r="H14" i="16"/>
  <c r="I14" i="16"/>
  <c r="J14" i="16"/>
  <c r="K14" i="16"/>
  <c r="L14" i="16"/>
  <c r="B15" i="16"/>
  <c r="C15" i="16"/>
  <c r="D15" i="16"/>
  <c r="E15" i="16"/>
  <c r="F15" i="16"/>
  <c r="G15" i="16"/>
  <c r="H15" i="16"/>
  <c r="I15" i="16"/>
  <c r="J15" i="16"/>
  <c r="K15" i="16"/>
  <c r="L15" i="16"/>
  <c r="B16" i="16"/>
  <c r="C16" i="16"/>
  <c r="D16" i="16"/>
  <c r="E16" i="16"/>
  <c r="F16" i="16"/>
  <c r="G16" i="16"/>
  <c r="H16" i="16"/>
  <c r="I16" i="16"/>
  <c r="J16" i="16"/>
  <c r="K16" i="16"/>
  <c r="L16" i="16"/>
  <c r="B17" i="16"/>
  <c r="C17" i="16"/>
  <c r="D17" i="16"/>
  <c r="E17" i="16"/>
  <c r="F17" i="16"/>
  <c r="G17" i="16"/>
  <c r="H17" i="16"/>
  <c r="I17" i="16"/>
  <c r="J17" i="16"/>
  <c r="K17" i="16"/>
  <c r="L17" i="16"/>
  <c r="B18" i="16"/>
  <c r="C18" i="16"/>
  <c r="D18" i="16"/>
  <c r="E18" i="16"/>
  <c r="F18" i="16"/>
  <c r="G18" i="16"/>
  <c r="H18" i="16"/>
  <c r="I18" i="16"/>
  <c r="J18" i="16"/>
  <c r="K18" i="16"/>
  <c r="L18" i="16"/>
  <c r="B19" i="16"/>
  <c r="C19" i="16"/>
  <c r="D19" i="16"/>
  <c r="E19" i="16"/>
  <c r="F19" i="16"/>
  <c r="G19" i="16"/>
  <c r="H19" i="16"/>
  <c r="I19" i="16"/>
  <c r="J19" i="16"/>
  <c r="K19" i="16"/>
  <c r="L19" i="16"/>
  <c r="B20" i="16"/>
  <c r="C20" i="16"/>
  <c r="D20" i="16"/>
  <c r="E20" i="16"/>
  <c r="F20" i="16"/>
  <c r="G20" i="16"/>
  <c r="H20" i="16"/>
  <c r="I20" i="16"/>
  <c r="J20" i="16"/>
  <c r="K20" i="16"/>
  <c r="L20" i="16"/>
  <c r="B21" i="16"/>
  <c r="C21" i="16"/>
  <c r="D21" i="16"/>
  <c r="E21" i="16"/>
  <c r="F21" i="16"/>
  <c r="G21" i="16"/>
  <c r="H21" i="16"/>
  <c r="I21" i="16"/>
  <c r="J21" i="16"/>
  <c r="K21" i="16"/>
  <c r="L21" i="16"/>
  <c r="B22" i="16"/>
  <c r="C22" i="16"/>
  <c r="D22" i="16"/>
  <c r="E22" i="16"/>
  <c r="G22" i="16"/>
  <c r="H22" i="16"/>
  <c r="I22" i="16"/>
  <c r="J22" i="16"/>
  <c r="K22" i="16"/>
  <c r="B23" i="16"/>
  <c r="C23" i="16"/>
  <c r="D23" i="16"/>
  <c r="E23" i="16"/>
  <c r="F23" i="16"/>
  <c r="G23" i="16"/>
  <c r="H23" i="16"/>
  <c r="I23" i="16"/>
  <c r="J23" i="16"/>
  <c r="K23" i="16"/>
  <c r="L23" i="16"/>
  <c r="B24" i="16"/>
  <c r="C24" i="16"/>
  <c r="D24" i="16"/>
  <c r="E24" i="16"/>
  <c r="F24" i="16"/>
  <c r="G24" i="16"/>
  <c r="H24" i="16"/>
  <c r="I24" i="16"/>
  <c r="J24" i="16"/>
  <c r="K24" i="16"/>
  <c r="L24" i="16"/>
  <c r="B25" i="16"/>
  <c r="C25" i="16"/>
  <c r="D25" i="16"/>
  <c r="E25" i="16"/>
  <c r="F25" i="16"/>
  <c r="G25" i="16"/>
  <c r="H25" i="16"/>
  <c r="I25" i="16"/>
  <c r="J25" i="16"/>
  <c r="K25" i="16"/>
  <c r="L25" i="16"/>
  <c r="B26" i="16"/>
  <c r="C26" i="16"/>
  <c r="D26" i="16"/>
  <c r="E26" i="16"/>
  <c r="F26" i="16"/>
  <c r="G26" i="16"/>
  <c r="H26" i="16"/>
  <c r="I26" i="16"/>
  <c r="J26" i="16"/>
  <c r="K26" i="16"/>
  <c r="L26" i="16"/>
  <c r="B27" i="16"/>
  <c r="C27" i="16"/>
  <c r="D27" i="16"/>
  <c r="E27" i="16"/>
  <c r="F27" i="16"/>
  <c r="G27" i="16"/>
  <c r="H27" i="16"/>
  <c r="I27" i="16"/>
  <c r="J27" i="16"/>
  <c r="K27" i="16"/>
  <c r="L27" i="16"/>
  <c r="B28" i="16"/>
  <c r="C28" i="16"/>
  <c r="D28" i="16"/>
  <c r="E28" i="16"/>
  <c r="F28" i="16"/>
  <c r="G28" i="16"/>
  <c r="H28" i="16"/>
  <c r="I28" i="16"/>
  <c r="J28" i="16"/>
  <c r="K28" i="16"/>
  <c r="L28" i="16"/>
  <c r="B29" i="16"/>
  <c r="C29" i="16"/>
  <c r="D29" i="16"/>
  <c r="E29" i="16"/>
  <c r="F29" i="16"/>
  <c r="G29" i="16"/>
  <c r="H29" i="16"/>
  <c r="I29" i="16"/>
  <c r="J29" i="16"/>
  <c r="K29" i="16"/>
  <c r="L29" i="16"/>
  <c r="B30" i="16"/>
  <c r="C30" i="16"/>
  <c r="D30" i="16"/>
  <c r="E30" i="16"/>
  <c r="F30" i="16"/>
  <c r="G30" i="16"/>
  <c r="H30" i="16"/>
  <c r="I30" i="16"/>
  <c r="J30" i="16"/>
  <c r="K30" i="16"/>
  <c r="L30" i="16"/>
  <c r="B31" i="16"/>
  <c r="C31" i="16"/>
  <c r="D31" i="16"/>
  <c r="E31" i="16"/>
  <c r="F31" i="16"/>
  <c r="G31" i="16"/>
  <c r="H31" i="16"/>
  <c r="I31" i="16"/>
  <c r="J31" i="16"/>
  <c r="K31" i="16"/>
  <c r="L31" i="16"/>
  <c r="B32" i="16"/>
  <c r="C32" i="16"/>
  <c r="D32" i="16"/>
  <c r="E32" i="16"/>
  <c r="F32" i="16"/>
  <c r="G32" i="16"/>
  <c r="H32" i="16"/>
  <c r="I32" i="16"/>
  <c r="J32" i="16"/>
  <c r="K32" i="16"/>
  <c r="L32" i="16"/>
  <c r="B33" i="16"/>
  <c r="C33" i="16"/>
  <c r="D33" i="16"/>
  <c r="E33" i="16"/>
  <c r="F33" i="16"/>
  <c r="G33" i="16"/>
  <c r="H33" i="16"/>
  <c r="I33" i="16"/>
  <c r="J33" i="16"/>
  <c r="K33" i="16"/>
  <c r="L33" i="16"/>
  <c r="B34" i="16"/>
  <c r="C34" i="16"/>
  <c r="D34" i="16"/>
  <c r="E34" i="16"/>
  <c r="F34" i="16"/>
  <c r="G34" i="16"/>
  <c r="H34" i="16"/>
  <c r="I34" i="16"/>
  <c r="J34" i="16"/>
  <c r="K34" i="16"/>
  <c r="L34" i="16"/>
  <c r="B35" i="16"/>
  <c r="C35" i="16"/>
  <c r="D35" i="16"/>
  <c r="E35" i="16"/>
  <c r="F35" i="16"/>
  <c r="G35" i="16"/>
  <c r="H35" i="16"/>
  <c r="I35" i="16"/>
  <c r="J35" i="16"/>
  <c r="K35" i="16"/>
  <c r="L35" i="16"/>
  <c r="B36" i="16"/>
  <c r="C36" i="16"/>
  <c r="D36" i="16"/>
  <c r="E36" i="16"/>
  <c r="F36" i="16"/>
  <c r="G36" i="16"/>
  <c r="H36" i="16"/>
  <c r="I36" i="16"/>
  <c r="J36" i="16"/>
  <c r="K36" i="16"/>
  <c r="L36" i="16"/>
  <c r="B37" i="16"/>
  <c r="C37" i="16"/>
  <c r="D37" i="16"/>
  <c r="E37" i="16"/>
  <c r="F37" i="16"/>
  <c r="G37" i="16"/>
  <c r="H37" i="16"/>
  <c r="I37" i="16"/>
  <c r="J37" i="16"/>
  <c r="K37" i="16"/>
  <c r="L37" i="16"/>
  <c r="B38" i="16"/>
  <c r="C38" i="16"/>
  <c r="D38" i="16"/>
  <c r="E38" i="16"/>
  <c r="F38" i="16"/>
  <c r="G38" i="16"/>
  <c r="H38" i="16"/>
  <c r="I38" i="16"/>
  <c r="J38" i="16"/>
  <c r="K38" i="16"/>
  <c r="L38" i="16"/>
  <c r="B39" i="16"/>
  <c r="C39" i="16"/>
  <c r="D39" i="16"/>
  <c r="E39" i="16"/>
  <c r="F39" i="16"/>
  <c r="G39" i="16"/>
  <c r="H39" i="16"/>
  <c r="I39" i="16"/>
  <c r="J39" i="16"/>
  <c r="K39" i="16"/>
  <c r="L39" i="16"/>
  <c r="B40" i="16"/>
  <c r="C40" i="16"/>
  <c r="D40" i="16"/>
  <c r="E40" i="16"/>
  <c r="F40" i="16"/>
  <c r="G40" i="16"/>
  <c r="H40" i="16"/>
  <c r="I40" i="16"/>
  <c r="J40" i="16"/>
  <c r="K40" i="16"/>
  <c r="L40" i="16"/>
  <c r="C12" i="16"/>
  <c r="D12" i="16"/>
  <c r="E12" i="16"/>
  <c r="F12" i="16"/>
  <c r="G12" i="16"/>
  <c r="H12" i="16"/>
  <c r="I12" i="16"/>
  <c r="J12" i="16"/>
  <c r="K12" i="16"/>
  <c r="B12" i="16"/>
  <c r="L37" i="15"/>
  <c r="B13" i="15"/>
  <c r="C13" i="15"/>
  <c r="D13" i="15"/>
  <c r="E13" i="15"/>
  <c r="F13" i="15"/>
  <c r="G13" i="15"/>
  <c r="H13" i="15"/>
  <c r="I13" i="15"/>
  <c r="J13" i="15"/>
  <c r="K13" i="15"/>
  <c r="L13" i="15"/>
  <c r="B14" i="15"/>
  <c r="C14" i="15"/>
  <c r="D14" i="15"/>
  <c r="E14" i="15"/>
  <c r="F14" i="15"/>
  <c r="G14" i="15"/>
  <c r="H14" i="15"/>
  <c r="I14" i="15"/>
  <c r="J14" i="15"/>
  <c r="K14" i="15"/>
  <c r="L14" i="15"/>
  <c r="B15" i="15"/>
  <c r="C15" i="15"/>
  <c r="D15" i="15"/>
  <c r="E15" i="15"/>
  <c r="F15" i="15"/>
  <c r="G15" i="15"/>
  <c r="H15" i="15"/>
  <c r="I15" i="15"/>
  <c r="J15" i="15"/>
  <c r="K15" i="15"/>
  <c r="L15" i="15"/>
  <c r="B16" i="15"/>
  <c r="C16" i="15"/>
  <c r="D16" i="15"/>
  <c r="E16" i="15"/>
  <c r="F16" i="15"/>
  <c r="G16" i="15"/>
  <c r="H16" i="15"/>
  <c r="I16" i="15"/>
  <c r="J16" i="15"/>
  <c r="K16" i="15"/>
  <c r="L16" i="15"/>
  <c r="B17" i="15"/>
  <c r="C17" i="15"/>
  <c r="D17" i="15"/>
  <c r="E17" i="15"/>
  <c r="F17" i="15"/>
  <c r="G17" i="15"/>
  <c r="H17" i="15"/>
  <c r="I17" i="15"/>
  <c r="J17" i="15"/>
  <c r="K17" i="15"/>
  <c r="L17" i="15"/>
  <c r="B18" i="15"/>
  <c r="C18" i="15"/>
  <c r="D18" i="15"/>
  <c r="E18" i="15"/>
  <c r="F18" i="15"/>
  <c r="G18" i="15"/>
  <c r="H18" i="15"/>
  <c r="I18" i="15"/>
  <c r="J18" i="15"/>
  <c r="K18" i="15"/>
  <c r="L18" i="15"/>
  <c r="B19" i="15"/>
  <c r="C19" i="15"/>
  <c r="D19" i="15"/>
  <c r="E19" i="15"/>
  <c r="F19" i="15"/>
  <c r="G19" i="15"/>
  <c r="H19" i="15"/>
  <c r="I19" i="15"/>
  <c r="J19" i="15"/>
  <c r="K19" i="15"/>
  <c r="L19" i="15"/>
  <c r="B20" i="15"/>
  <c r="C20" i="15"/>
  <c r="D20" i="15"/>
  <c r="E20" i="15"/>
  <c r="F20" i="15"/>
  <c r="G20" i="15"/>
  <c r="H20" i="15"/>
  <c r="I20" i="15"/>
  <c r="J20" i="15"/>
  <c r="K20" i="15"/>
  <c r="L20" i="15"/>
  <c r="B21" i="15"/>
  <c r="C21" i="15"/>
  <c r="D21" i="15"/>
  <c r="E21" i="15"/>
  <c r="F21" i="15"/>
  <c r="G21" i="15"/>
  <c r="H21" i="15"/>
  <c r="I21" i="15"/>
  <c r="J21" i="15"/>
  <c r="K21" i="15"/>
  <c r="L21" i="15"/>
  <c r="B22" i="15"/>
  <c r="C22" i="15"/>
  <c r="D22" i="15"/>
  <c r="E22" i="15"/>
  <c r="F22" i="15"/>
  <c r="G22" i="15"/>
  <c r="H22" i="15"/>
  <c r="I22" i="15"/>
  <c r="J22" i="15"/>
  <c r="K22" i="15"/>
  <c r="L22" i="15"/>
  <c r="B23" i="15"/>
  <c r="C23" i="15"/>
  <c r="D23" i="15"/>
  <c r="E23" i="15"/>
  <c r="F23" i="15"/>
  <c r="G23" i="15"/>
  <c r="H23" i="15"/>
  <c r="I23" i="15"/>
  <c r="J23" i="15"/>
  <c r="K23" i="15"/>
  <c r="L23" i="15"/>
  <c r="B24" i="15"/>
  <c r="C24" i="15"/>
  <c r="D24" i="15"/>
  <c r="E24" i="15"/>
  <c r="F24" i="15"/>
  <c r="G24" i="15"/>
  <c r="H24" i="15"/>
  <c r="I24" i="15"/>
  <c r="J24" i="15"/>
  <c r="K24" i="15"/>
  <c r="L24" i="15"/>
  <c r="B25" i="15"/>
  <c r="C25" i="15"/>
  <c r="D25" i="15"/>
  <c r="E25" i="15"/>
  <c r="F25" i="15"/>
  <c r="G25" i="15"/>
  <c r="H25" i="15"/>
  <c r="I25" i="15"/>
  <c r="J25" i="15"/>
  <c r="K25" i="15"/>
  <c r="L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B29" i="15"/>
  <c r="C29" i="15"/>
  <c r="D29" i="15"/>
  <c r="E29" i="15"/>
  <c r="F29" i="15"/>
  <c r="G29" i="15"/>
  <c r="H29" i="15"/>
  <c r="I29" i="15"/>
  <c r="J29" i="15"/>
  <c r="K29" i="15"/>
  <c r="L29" i="15"/>
  <c r="B30" i="15"/>
  <c r="C30" i="15"/>
  <c r="D30" i="15"/>
  <c r="E30" i="15"/>
  <c r="F30" i="15"/>
  <c r="G30" i="15"/>
  <c r="H30" i="15"/>
  <c r="I30" i="15"/>
  <c r="J30" i="15"/>
  <c r="K30" i="15"/>
  <c r="L30" i="15"/>
  <c r="B31" i="15"/>
  <c r="C31" i="15"/>
  <c r="D31" i="15"/>
  <c r="E31" i="15"/>
  <c r="F31" i="15"/>
  <c r="G31" i="15"/>
  <c r="H31" i="15"/>
  <c r="I31" i="15"/>
  <c r="J31" i="15"/>
  <c r="K31" i="15"/>
  <c r="L31" i="15"/>
  <c r="B32" i="15"/>
  <c r="C32" i="15"/>
  <c r="D32" i="15"/>
  <c r="E32" i="15"/>
  <c r="F32" i="15"/>
  <c r="G32" i="15"/>
  <c r="H32" i="15"/>
  <c r="I32" i="15"/>
  <c r="J32" i="15"/>
  <c r="K32" i="15"/>
  <c r="L32" i="15"/>
  <c r="B33" i="15"/>
  <c r="C33" i="15"/>
  <c r="D33" i="15"/>
  <c r="E33" i="15"/>
  <c r="F33" i="15"/>
  <c r="G33" i="15"/>
  <c r="H33" i="15"/>
  <c r="I33" i="15"/>
  <c r="J33" i="15"/>
  <c r="K33" i="15"/>
  <c r="L33" i="15"/>
  <c r="B34" i="15"/>
  <c r="C34" i="15"/>
  <c r="D34" i="15"/>
  <c r="E34" i="15"/>
  <c r="F34" i="15"/>
  <c r="G34" i="15"/>
  <c r="H34" i="15"/>
  <c r="I34" i="15"/>
  <c r="J34" i="15"/>
  <c r="K34" i="15"/>
  <c r="L34" i="15"/>
  <c r="B35" i="15"/>
  <c r="C35" i="15"/>
  <c r="D35" i="15"/>
  <c r="E35" i="15"/>
  <c r="F35" i="15"/>
  <c r="G35" i="15"/>
  <c r="H35" i="15"/>
  <c r="I35" i="15"/>
  <c r="J35" i="15"/>
  <c r="K35" i="15"/>
  <c r="L35" i="15"/>
  <c r="B36" i="15"/>
  <c r="C36" i="15"/>
  <c r="D36" i="15"/>
  <c r="E36" i="15"/>
  <c r="F36" i="15"/>
  <c r="G36" i="15"/>
  <c r="H36" i="15"/>
  <c r="I36" i="15"/>
  <c r="J36" i="15"/>
  <c r="K36" i="15"/>
  <c r="L36" i="15"/>
  <c r="B37" i="15"/>
  <c r="C37" i="15"/>
  <c r="D37" i="15"/>
  <c r="E37" i="15"/>
  <c r="F37" i="15"/>
  <c r="G37" i="15"/>
  <c r="H37" i="15"/>
  <c r="I37" i="15"/>
  <c r="J37" i="15"/>
  <c r="K37" i="15"/>
  <c r="B38" i="15"/>
  <c r="C38" i="15"/>
  <c r="D38" i="15"/>
  <c r="E38" i="15"/>
  <c r="F38" i="15"/>
  <c r="G38" i="15"/>
  <c r="H38" i="15"/>
  <c r="I38" i="15"/>
  <c r="J38" i="15"/>
  <c r="K38" i="15"/>
  <c r="L38" i="15"/>
  <c r="B39" i="15"/>
  <c r="C39" i="15"/>
  <c r="D39" i="15"/>
  <c r="E39" i="15"/>
  <c r="F39" i="15"/>
  <c r="G39" i="15"/>
  <c r="H39" i="15"/>
  <c r="I39" i="15"/>
  <c r="J39" i="15"/>
  <c r="K39" i="15"/>
  <c r="L39" i="15"/>
  <c r="B40" i="15"/>
  <c r="C40" i="15"/>
  <c r="D40" i="15"/>
  <c r="E40" i="15"/>
  <c r="F40" i="15"/>
  <c r="G40" i="15"/>
  <c r="H40" i="15"/>
  <c r="I40" i="15"/>
  <c r="J40" i="15"/>
  <c r="K40" i="15"/>
  <c r="L40" i="15"/>
  <c r="C12" i="15"/>
  <c r="D12" i="15"/>
  <c r="E12" i="15"/>
  <c r="F12" i="15"/>
  <c r="G12" i="15"/>
  <c r="H12" i="15"/>
  <c r="I12" i="15"/>
  <c r="J12" i="15"/>
  <c r="K12" i="15"/>
  <c r="L12" i="15"/>
  <c r="B12" i="15"/>
  <c r="B13" i="13"/>
  <c r="C13" i="13"/>
  <c r="D13" i="13"/>
  <c r="E13" i="13"/>
  <c r="F13" i="13"/>
  <c r="G13" i="13"/>
  <c r="H13" i="13"/>
  <c r="I13" i="13"/>
  <c r="J13" i="13"/>
  <c r="K13" i="13"/>
  <c r="L13" i="13"/>
  <c r="B14" i="13"/>
  <c r="C14" i="13"/>
  <c r="D14" i="13"/>
  <c r="E14" i="13"/>
  <c r="F14" i="13"/>
  <c r="G14" i="13"/>
  <c r="H14" i="13"/>
  <c r="I14" i="13"/>
  <c r="L12" i="3" s="1"/>
  <c r="J14" i="13"/>
  <c r="K14" i="13"/>
  <c r="L14" i="13"/>
  <c r="B15" i="13"/>
  <c r="C15" i="13"/>
  <c r="D15" i="13"/>
  <c r="E15" i="13"/>
  <c r="F15" i="13"/>
  <c r="G15" i="13"/>
  <c r="H15" i="13"/>
  <c r="I15" i="13"/>
  <c r="J15" i="13"/>
  <c r="K15" i="13"/>
  <c r="L15" i="13"/>
  <c r="B16" i="13"/>
  <c r="C16" i="13"/>
  <c r="D16" i="13"/>
  <c r="E16" i="13"/>
  <c r="F16" i="13"/>
  <c r="G16" i="13"/>
  <c r="H16" i="13"/>
  <c r="I16" i="13"/>
  <c r="J16" i="13"/>
  <c r="K16" i="13"/>
  <c r="L16" i="13"/>
  <c r="B17" i="13"/>
  <c r="C17" i="13"/>
  <c r="D17" i="13"/>
  <c r="E17" i="13"/>
  <c r="F17" i="13"/>
  <c r="G17" i="13"/>
  <c r="H17" i="13"/>
  <c r="I17" i="13"/>
  <c r="J17" i="13"/>
  <c r="K17" i="13"/>
  <c r="L17" i="13"/>
  <c r="B18" i="13"/>
  <c r="C18" i="13"/>
  <c r="D18" i="13"/>
  <c r="E18" i="13"/>
  <c r="F18" i="13"/>
  <c r="G18" i="13"/>
  <c r="H18" i="13"/>
  <c r="I18" i="13"/>
  <c r="J18" i="13"/>
  <c r="K18" i="13"/>
  <c r="L18" i="13"/>
  <c r="B19" i="13"/>
  <c r="C19" i="13"/>
  <c r="D19" i="13"/>
  <c r="E19" i="13"/>
  <c r="F19" i="13"/>
  <c r="G19" i="13"/>
  <c r="H19" i="13"/>
  <c r="I19" i="13"/>
  <c r="J19" i="13"/>
  <c r="K19" i="13"/>
  <c r="L19" i="13"/>
  <c r="B20" i="13"/>
  <c r="C20" i="13"/>
  <c r="D20" i="13"/>
  <c r="E20" i="13"/>
  <c r="F20" i="13"/>
  <c r="G20" i="13"/>
  <c r="H20" i="13"/>
  <c r="I20" i="13"/>
  <c r="J20" i="13"/>
  <c r="K20" i="13"/>
  <c r="L20" i="13"/>
  <c r="B21" i="13"/>
  <c r="C21" i="13"/>
  <c r="D21" i="13"/>
  <c r="E21" i="13"/>
  <c r="F21" i="13"/>
  <c r="G21" i="13"/>
  <c r="H21" i="13"/>
  <c r="I21" i="13"/>
  <c r="J21" i="13"/>
  <c r="K21" i="13"/>
  <c r="L21" i="13"/>
  <c r="B22" i="13"/>
  <c r="C22" i="13"/>
  <c r="D22" i="13"/>
  <c r="E22" i="13"/>
  <c r="F22" i="13"/>
  <c r="G22" i="13"/>
  <c r="H22" i="13"/>
  <c r="I22" i="13"/>
  <c r="J22" i="13"/>
  <c r="K22" i="13"/>
  <c r="L22" i="13"/>
  <c r="B23" i="13"/>
  <c r="C23" i="13"/>
  <c r="D23" i="13"/>
  <c r="E23" i="13"/>
  <c r="F23" i="13"/>
  <c r="G23" i="13"/>
  <c r="H23" i="13"/>
  <c r="I23" i="13"/>
  <c r="J23" i="13"/>
  <c r="K23" i="13"/>
  <c r="L23" i="13"/>
  <c r="B24" i="13"/>
  <c r="C24" i="13"/>
  <c r="D24" i="13"/>
  <c r="E24" i="13"/>
  <c r="F24" i="13"/>
  <c r="G24" i="13"/>
  <c r="H24" i="13"/>
  <c r="I24" i="13"/>
  <c r="J24" i="13"/>
  <c r="K24" i="13"/>
  <c r="L24" i="13"/>
  <c r="B25" i="13"/>
  <c r="C25" i="13"/>
  <c r="D25" i="13"/>
  <c r="E25" i="13"/>
  <c r="F25" i="13"/>
  <c r="G25" i="13"/>
  <c r="H25" i="13"/>
  <c r="I25" i="13"/>
  <c r="J25" i="13"/>
  <c r="K25" i="13"/>
  <c r="L25" i="13"/>
  <c r="B26" i="13"/>
  <c r="C26" i="13"/>
  <c r="D26" i="13"/>
  <c r="E26" i="13"/>
  <c r="F26" i="13"/>
  <c r="G26" i="13"/>
  <c r="H26" i="13"/>
  <c r="I26" i="13"/>
  <c r="J26" i="13"/>
  <c r="K26" i="13"/>
  <c r="L26" i="13"/>
  <c r="B27" i="13"/>
  <c r="C27" i="13"/>
  <c r="D27" i="13"/>
  <c r="E27" i="13"/>
  <c r="F27" i="13"/>
  <c r="G27" i="13"/>
  <c r="H27" i="13"/>
  <c r="I27" i="13"/>
  <c r="J27" i="13"/>
  <c r="K27" i="13"/>
  <c r="L27" i="13"/>
  <c r="B28" i="13"/>
  <c r="C28" i="13"/>
  <c r="D28" i="13"/>
  <c r="E28" i="13"/>
  <c r="F28" i="13"/>
  <c r="G28" i="13"/>
  <c r="H28" i="13"/>
  <c r="I28" i="13"/>
  <c r="J28" i="13"/>
  <c r="K28" i="13"/>
  <c r="L28" i="13"/>
  <c r="B29" i="13"/>
  <c r="C29" i="13"/>
  <c r="D29" i="13"/>
  <c r="E29" i="13"/>
  <c r="F29" i="13"/>
  <c r="G29" i="13"/>
  <c r="H29" i="13"/>
  <c r="I29" i="13"/>
  <c r="J29" i="13"/>
  <c r="K29" i="13"/>
  <c r="L29" i="13"/>
  <c r="B30" i="13"/>
  <c r="C30" i="13"/>
  <c r="D30" i="13"/>
  <c r="E30" i="13"/>
  <c r="F30" i="13"/>
  <c r="G30" i="13"/>
  <c r="H30" i="13"/>
  <c r="I30" i="13"/>
  <c r="J30" i="13"/>
  <c r="K30" i="13"/>
  <c r="L30" i="13"/>
  <c r="B31" i="13"/>
  <c r="C31" i="13"/>
  <c r="D31" i="13"/>
  <c r="E31" i="13"/>
  <c r="F31" i="13"/>
  <c r="G31" i="13"/>
  <c r="H31" i="13"/>
  <c r="I31" i="13"/>
  <c r="J31" i="13"/>
  <c r="K31" i="13"/>
  <c r="L31" i="13"/>
  <c r="B32" i="13"/>
  <c r="C32" i="13"/>
  <c r="D32" i="13"/>
  <c r="E32" i="13"/>
  <c r="F32" i="13"/>
  <c r="G32" i="13"/>
  <c r="H32" i="13"/>
  <c r="I32" i="13"/>
  <c r="J32" i="13"/>
  <c r="K32" i="13"/>
  <c r="L32" i="13"/>
  <c r="B33" i="13"/>
  <c r="C33" i="13"/>
  <c r="D33" i="13"/>
  <c r="E33" i="13"/>
  <c r="F33" i="13"/>
  <c r="G33" i="13"/>
  <c r="H33" i="13"/>
  <c r="I33" i="13"/>
  <c r="J33" i="13"/>
  <c r="K33" i="13"/>
  <c r="L33" i="13"/>
  <c r="B34" i="13"/>
  <c r="C34" i="13"/>
  <c r="D34" i="13"/>
  <c r="E34" i="13"/>
  <c r="F34" i="13"/>
  <c r="G34" i="13"/>
  <c r="H34" i="13"/>
  <c r="I34" i="13"/>
  <c r="J34" i="13"/>
  <c r="K34" i="13"/>
  <c r="L34" i="13"/>
  <c r="B35" i="13"/>
  <c r="C35" i="13"/>
  <c r="D35" i="13"/>
  <c r="E35" i="13"/>
  <c r="F35" i="13"/>
  <c r="G35" i="13"/>
  <c r="H35" i="13"/>
  <c r="I35" i="13"/>
  <c r="J35" i="13"/>
  <c r="K35" i="13"/>
  <c r="L35" i="13"/>
  <c r="B36" i="13"/>
  <c r="C36" i="13"/>
  <c r="D36" i="13"/>
  <c r="E36" i="13"/>
  <c r="F36" i="13"/>
  <c r="G36" i="13"/>
  <c r="H36" i="13"/>
  <c r="I36" i="13"/>
  <c r="J36" i="13"/>
  <c r="K36" i="13"/>
  <c r="L36" i="13"/>
  <c r="B37" i="13"/>
  <c r="C37" i="13"/>
  <c r="D37" i="13"/>
  <c r="E37" i="13"/>
  <c r="F37" i="13"/>
  <c r="G37" i="13"/>
  <c r="H37" i="13"/>
  <c r="I37" i="13"/>
  <c r="J37" i="13"/>
  <c r="K37" i="13"/>
  <c r="L37" i="13"/>
  <c r="B38" i="13"/>
  <c r="C38" i="13"/>
  <c r="D38" i="13"/>
  <c r="E38" i="13"/>
  <c r="F38" i="13"/>
  <c r="G38" i="13"/>
  <c r="H38" i="13"/>
  <c r="I38" i="13"/>
  <c r="J38" i="13"/>
  <c r="K38" i="13"/>
  <c r="L38" i="13"/>
  <c r="B39" i="13"/>
  <c r="C39" i="13"/>
  <c r="D39" i="13"/>
  <c r="E39" i="13"/>
  <c r="F39" i="13"/>
  <c r="G39" i="13"/>
  <c r="H39" i="13"/>
  <c r="I39" i="13"/>
  <c r="J39" i="13"/>
  <c r="K39" i="13"/>
  <c r="L39" i="13"/>
  <c r="B40" i="13"/>
  <c r="C40" i="13"/>
  <c r="D40" i="13"/>
  <c r="E40" i="13"/>
  <c r="F40" i="13"/>
  <c r="G40" i="13"/>
  <c r="H40" i="13"/>
  <c r="I40" i="13"/>
  <c r="J40" i="13"/>
  <c r="K40" i="13"/>
  <c r="L40" i="13"/>
  <c r="C12" i="13"/>
  <c r="D12" i="13"/>
  <c r="E12" i="13"/>
  <c r="F12" i="13"/>
  <c r="G12" i="13"/>
  <c r="H12" i="13"/>
  <c r="I12" i="13"/>
  <c r="J12" i="13"/>
  <c r="K12" i="13"/>
  <c r="L12" i="13"/>
  <c r="B12" i="13"/>
  <c r="L29" i="14"/>
  <c r="L30" i="14"/>
  <c r="L32" i="14"/>
  <c r="L33" i="14"/>
  <c r="L34" i="14"/>
  <c r="L35" i="14"/>
  <c r="L36" i="14"/>
  <c r="L37" i="14"/>
  <c r="L38" i="14"/>
  <c r="L39" i="14"/>
  <c r="L40" i="14"/>
  <c r="L28" i="14"/>
  <c r="B29" i="14"/>
  <c r="C29" i="14"/>
  <c r="D29" i="14"/>
  <c r="E29" i="14"/>
  <c r="F29" i="14"/>
  <c r="G29" i="14"/>
  <c r="H29" i="14"/>
  <c r="I29" i="14"/>
  <c r="J29" i="14"/>
  <c r="B30" i="14"/>
  <c r="C30" i="14"/>
  <c r="D30" i="14"/>
  <c r="E30" i="14"/>
  <c r="F30" i="14"/>
  <c r="G30" i="14"/>
  <c r="H30" i="14"/>
  <c r="I30" i="14"/>
  <c r="J30" i="14"/>
  <c r="B31" i="14"/>
  <c r="C31" i="14"/>
  <c r="D31" i="14"/>
  <c r="E31" i="14"/>
  <c r="F31" i="14"/>
  <c r="H31" i="14"/>
  <c r="I31" i="14"/>
  <c r="J31" i="14"/>
  <c r="B32" i="14"/>
  <c r="C32" i="14"/>
  <c r="D32" i="14"/>
  <c r="E32" i="14"/>
  <c r="F32" i="14"/>
  <c r="G32" i="14"/>
  <c r="H32" i="14"/>
  <c r="I32" i="14"/>
  <c r="J32" i="14"/>
  <c r="B33" i="14"/>
  <c r="C33" i="14"/>
  <c r="D33" i="14"/>
  <c r="E33" i="14"/>
  <c r="F33" i="14"/>
  <c r="G33" i="14"/>
  <c r="H33" i="14"/>
  <c r="I33" i="14"/>
  <c r="J33" i="14"/>
  <c r="B34" i="14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C36" i="14"/>
  <c r="D36" i="14"/>
  <c r="E36" i="14"/>
  <c r="F36" i="14"/>
  <c r="G36" i="14"/>
  <c r="H36" i="14"/>
  <c r="I36" i="14"/>
  <c r="J36" i="14"/>
  <c r="B37" i="14"/>
  <c r="C37" i="14"/>
  <c r="D37" i="14"/>
  <c r="E37" i="14"/>
  <c r="F37" i="14"/>
  <c r="G37" i="14"/>
  <c r="H37" i="14"/>
  <c r="I37" i="14"/>
  <c r="J37" i="14"/>
  <c r="B38" i="14"/>
  <c r="C38" i="14"/>
  <c r="D38" i="14"/>
  <c r="E38" i="14"/>
  <c r="F38" i="14"/>
  <c r="G38" i="14"/>
  <c r="H38" i="14"/>
  <c r="I38" i="14"/>
  <c r="J38" i="14"/>
  <c r="B39" i="14"/>
  <c r="C39" i="14"/>
  <c r="D39" i="14"/>
  <c r="E39" i="14"/>
  <c r="F39" i="14"/>
  <c r="G39" i="14"/>
  <c r="H39" i="14"/>
  <c r="I39" i="14"/>
  <c r="J39" i="14"/>
  <c r="B40" i="14"/>
  <c r="C40" i="14"/>
  <c r="D40" i="14"/>
  <c r="E40" i="14"/>
  <c r="F40" i="14"/>
  <c r="G40" i="14"/>
  <c r="H40" i="14"/>
  <c r="I40" i="14"/>
  <c r="J40" i="14"/>
  <c r="C28" i="14"/>
  <c r="D28" i="14"/>
  <c r="E28" i="14"/>
  <c r="F28" i="14"/>
  <c r="G28" i="14"/>
  <c r="H28" i="14"/>
  <c r="I28" i="14"/>
  <c r="J28" i="14"/>
  <c r="B28" i="14"/>
  <c r="L26" i="14"/>
  <c r="L25" i="14"/>
  <c r="L24" i="14"/>
  <c r="L23" i="14"/>
  <c r="L21" i="14"/>
  <c r="L20" i="14"/>
  <c r="L19" i="14"/>
  <c r="L18" i="14"/>
  <c r="L17" i="14"/>
  <c r="L16" i="14"/>
  <c r="L15" i="14"/>
  <c r="L14" i="14"/>
  <c r="L13" i="14"/>
  <c r="J26" i="14"/>
  <c r="I26" i="14"/>
  <c r="H26" i="14"/>
  <c r="G26" i="14"/>
  <c r="F26" i="14"/>
  <c r="E26" i="14"/>
  <c r="D26" i="14"/>
  <c r="C26" i="14"/>
  <c r="B26" i="14"/>
  <c r="J25" i="14"/>
  <c r="I25" i="14"/>
  <c r="H25" i="14"/>
  <c r="G25" i="14"/>
  <c r="F25" i="14"/>
  <c r="E25" i="14"/>
  <c r="D25" i="14"/>
  <c r="C25" i="14"/>
  <c r="B25" i="14"/>
  <c r="J24" i="14"/>
  <c r="I24" i="14"/>
  <c r="H24" i="14"/>
  <c r="G24" i="14"/>
  <c r="F24" i="14"/>
  <c r="E24" i="14"/>
  <c r="D24" i="14"/>
  <c r="C24" i="14"/>
  <c r="B24" i="14"/>
  <c r="J23" i="14"/>
  <c r="I23" i="14"/>
  <c r="H23" i="14"/>
  <c r="G23" i="14"/>
  <c r="F23" i="14"/>
  <c r="E23" i="14"/>
  <c r="D23" i="14"/>
  <c r="C23" i="14"/>
  <c r="B23" i="14"/>
  <c r="J22" i="14"/>
  <c r="I22" i="14"/>
  <c r="H22" i="14"/>
  <c r="F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J20" i="14"/>
  <c r="I20" i="14"/>
  <c r="H20" i="14"/>
  <c r="G20" i="14"/>
  <c r="F20" i="14"/>
  <c r="E20" i="14"/>
  <c r="D20" i="14"/>
  <c r="C20" i="14"/>
  <c r="B20" i="14"/>
  <c r="J19" i="14"/>
  <c r="I19" i="14"/>
  <c r="H19" i="14"/>
  <c r="G19" i="14"/>
  <c r="F19" i="14"/>
  <c r="E19" i="14"/>
  <c r="D19" i="14"/>
  <c r="C19" i="14"/>
  <c r="B19" i="14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J16" i="14"/>
  <c r="I16" i="14"/>
  <c r="H16" i="14"/>
  <c r="G16" i="14"/>
  <c r="F16" i="14"/>
  <c r="E16" i="14"/>
  <c r="D16" i="14"/>
  <c r="C16" i="14"/>
  <c r="B16" i="14"/>
  <c r="J15" i="14"/>
  <c r="I15" i="14"/>
  <c r="H15" i="14"/>
  <c r="G15" i="14"/>
  <c r="F15" i="14"/>
  <c r="E15" i="14"/>
  <c r="D15" i="14"/>
  <c r="C15" i="14"/>
  <c r="B15" i="14"/>
  <c r="J14" i="14"/>
  <c r="I14" i="14"/>
  <c r="H14" i="14"/>
  <c r="G14" i="14"/>
  <c r="F14" i="14"/>
  <c r="E14" i="14"/>
  <c r="D14" i="14"/>
  <c r="C14" i="14"/>
  <c r="B14" i="14"/>
  <c r="J13" i="14"/>
  <c r="I13" i="14"/>
  <c r="H13" i="14"/>
  <c r="G13" i="14"/>
  <c r="F13" i="14"/>
  <c r="E13" i="14"/>
  <c r="D13" i="14"/>
  <c r="C13" i="14"/>
  <c r="B13" i="14"/>
  <c r="C12" i="14"/>
  <c r="D12" i="14"/>
  <c r="E12" i="14"/>
  <c r="H12" i="14"/>
  <c r="I12" i="14"/>
  <c r="J12" i="14"/>
  <c r="B12" i="14"/>
  <c r="L39" i="2"/>
  <c r="L40" i="2"/>
  <c r="L38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B39" i="2"/>
  <c r="B40" i="2"/>
  <c r="B38" i="2"/>
  <c r="L34" i="2"/>
  <c r="L35" i="2"/>
  <c r="L36" i="2"/>
  <c r="L37" i="2"/>
  <c r="L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C33" i="2"/>
  <c r="D33" i="2"/>
  <c r="E33" i="2"/>
  <c r="F33" i="2"/>
  <c r="G33" i="2"/>
  <c r="H33" i="2"/>
  <c r="I33" i="2"/>
  <c r="J33" i="2"/>
  <c r="B33" i="2"/>
  <c r="L28" i="2"/>
  <c r="L29" i="2"/>
  <c r="L30" i="2"/>
  <c r="L31" i="2"/>
  <c r="J31" i="2"/>
  <c r="C31" i="2"/>
  <c r="D31" i="2"/>
  <c r="E31" i="2"/>
  <c r="F31" i="2"/>
  <c r="G31" i="2"/>
  <c r="H31" i="2"/>
  <c r="I31" i="2"/>
  <c r="B31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I28" i="2"/>
  <c r="J28" i="2"/>
  <c r="C28" i="2"/>
  <c r="D28" i="2"/>
  <c r="E28" i="2"/>
  <c r="F28" i="2"/>
  <c r="G28" i="2"/>
  <c r="H28" i="2"/>
  <c r="B28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C20" i="2"/>
  <c r="D20" i="2"/>
  <c r="E20" i="2"/>
  <c r="F20" i="2"/>
  <c r="G20" i="2"/>
  <c r="H20" i="2"/>
  <c r="I20" i="2"/>
  <c r="J20" i="2"/>
  <c r="B20" i="2"/>
  <c r="L18" i="2"/>
  <c r="L13" i="2"/>
  <c r="L14" i="2"/>
  <c r="L15" i="2"/>
  <c r="L16" i="2"/>
  <c r="L17" i="2"/>
  <c r="L12" i="2"/>
  <c r="C18" i="2"/>
  <c r="D18" i="2"/>
  <c r="E18" i="2"/>
  <c r="F18" i="2"/>
  <c r="G18" i="2"/>
  <c r="H18" i="2"/>
  <c r="I18" i="2"/>
  <c r="J18" i="2"/>
  <c r="B18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C12" i="2"/>
  <c r="D12" i="2"/>
  <c r="E12" i="2"/>
  <c r="F12" i="2"/>
  <c r="G12" i="2"/>
  <c r="H12" i="2"/>
  <c r="I12" i="2"/>
  <c r="J12" i="2"/>
  <c r="B12" i="2"/>
  <c r="L303" i="43"/>
  <c r="L243" i="43"/>
  <c r="K243" i="43"/>
  <c r="J243" i="43"/>
  <c r="I243" i="43"/>
  <c r="H243" i="43"/>
  <c r="L238" i="43"/>
  <c r="K238" i="43"/>
  <c r="J238" i="43"/>
  <c r="L225" i="43"/>
  <c r="K225" i="43"/>
  <c r="J225" i="43"/>
  <c r="L211" i="43"/>
  <c r="K211" i="43"/>
  <c r="J211" i="43"/>
  <c r="L187" i="43"/>
  <c r="K187" i="43"/>
  <c r="J187" i="43"/>
  <c r="L163" i="43"/>
  <c r="K163" i="43"/>
  <c r="J163" i="43"/>
  <c r="I163" i="43"/>
  <c r="H163" i="43"/>
  <c r="L83" i="43"/>
  <c r="K83" i="43"/>
  <c r="J83" i="43"/>
  <c r="I83" i="43"/>
  <c r="H83" i="43"/>
  <c r="K184" i="44" l="1"/>
  <c r="L12" i="16" s="1"/>
  <c r="F194" i="44"/>
  <c r="K362" i="7"/>
  <c r="J257" i="7"/>
  <c r="C362" i="7"/>
  <c r="F44" i="41"/>
  <c r="E44" i="41"/>
  <c r="D44" i="41"/>
  <c r="F43" i="41"/>
  <c r="E43" i="41"/>
  <c r="D43" i="41"/>
  <c r="G41" i="41"/>
  <c r="F41" i="41"/>
  <c r="E41" i="41"/>
  <c r="D41" i="41"/>
  <c r="C37" i="41"/>
  <c r="B37" i="41"/>
  <c r="L23" i="41" s="1"/>
  <c r="C33" i="41"/>
  <c r="B33" i="41"/>
  <c r="R21" i="41"/>
  <c r="Q21" i="41"/>
  <c r="F32" i="41"/>
  <c r="E32" i="41"/>
  <c r="C32" i="41"/>
  <c r="B32" i="41"/>
  <c r="Q20" i="41"/>
  <c r="F31" i="41"/>
  <c r="E31" i="41"/>
  <c r="D31" i="41"/>
  <c r="C31" i="41"/>
  <c r="B31" i="41"/>
  <c r="C30" i="41"/>
  <c r="B30" i="41"/>
  <c r="L19" i="41" s="1"/>
  <c r="C29" i="41"/>
  <c r="B29" i="41"/>
  <c r="C28" i="41"/>
  <c r="B28" i="41"/>
  <c r="AE22" i="41"/>
  <c r="AD22" i="41"/>
  <c r="V22" i="41"/>
  <c r="U22" i="41"/>
  <c r="AE21" i="41"/>
  <c r="AD21" i="41"/>
  <c r="V21" i="41"/>
  <c r="U21" i="41"/>
  <c r="AX20" i="41"/>
  <c r="AW20" i="41"/>
  <c r="AV20" i="41"/>
  <c r="AE20" i="41"/>
  <c r="AD20" i="41"/>
  <c r="W20" i="41"/>
  <c r="V20" i="41"/>
  <c r="U20" i="41"/>
  <c r="AX19" i="41"/>
  <c r="AW19" i="41"/>
  <c r="AO19" i="41" s="1"/>
  <c r="AV19" i="41"/>
  <c r="AE19" i="41"/>
  <c r="AD19" i="41"/>
  <c r="AD16" i="41" s="1"/>
  <c r="V19" i="41"/>
  <c r="U19" i="41"/>
  <c r="C19" i="41"/>
  <c r="B19" i="41"/>
  <c r="AW18" i="41"/>
  <c r="AV18" i="41"/>
  <c r="AE18" i="41"/>
  <c r="AD18" i="41"/>
  <c r="V18" i="41"/>
  <c r="U18" i="41"/>
  <c r="E18" i="41"/>
  <c r="O14" i="41" s="1"/>
  <c r="D18" i="41"/>
  <c r="C18" i="41"/>
  <c r="M14" i="41" s="1"/>
  <c r="B18" i="41"/>
  <c r="AX17" i="41"/>
  <c r="AW17" i="41"/>
  <c r="AV17" i="41"/>
  <c r="AE17" i="41"/>
  <c r="AD17" i="41"/>
  <c r="V17" i="41"/>
  <c r="V16" i="41" s="1"/>
  <c r="U17" i="41"/>
  <c r="D17" i="41"/>
  <c r="C17" i="41"/>
  <c r="B17" i="41"/>
  <c r="L13" i="41" s="1"/>
  <c r="AR16" i="41"/>
  <c r="AX16" i="41"/>
  <c r="AW16" i="41"/>
  <c r="AV16" i="41"/>
  <c r="AW15" i="41"/>
  <c r="AV15" i="41"/>
  <c r="AN15" i="41" s="1"/>
  <c r="AW14" i="41"/>
  <c r="AV14" i="41"/>
  <c r="AN14" i="41" s="1"/>
  <c r="D14" i="41"/>
  <c r="AW13" i="41"/>
  <c r="AV13" i="41"/>
  <c r="C13" i="41"/>
  <c r="B13" i="41"/>
  <c r="AX12" i="41"/>
  <c r="AW12" i="41"/>
  <c r="AV12" i="41"/>
  <c r="C12" i="41"/>
  <c r="B12" i="41"/>
  <c r="AX11" i="41"/>
  <c r="AW11" i="41"/>
  <c r="AV11" i="41"/>
  <c r="C11" i="41"/>
  <c r="B11" i="41"/>
  <c r="L9" i="41" s="1"/>
  <c r="AX10" i="41"/>
  <c r="AW10" i="41"/>
  <c r="AV10" i="41"/>
  <c r="C10" i="41"/>
  <c r="M8" i="41" s="1"/>
  <c r="B10" i="41"/>
  <c r="AW9" i="41"/>
  <c r="AV9" i="41"/>
  <c r="AW8" i="41"/>
  <c r="AV8" i="41"/>
  <c r="AW7" i="41"/>
  <c r="AV7" i="41"/>
  <c r="AE5" i="41"/>
  <c r="AD5" i="41"/>
  <c r="V5" i="41"/>
  <c r="U5" i="41"/>
  <c r="C5" i="41"/>
  <c r="B5" i="41"/>
  <c r="B3" i="41" s="1"/>
  <c r="AW4" i="41"/>
  <c r="AV4" i="41"/>
  <c r="AE4" i="41"/>
  <c r="AD4" i="41"/>
  <c r="C4" i="41"/>
  <c r="M4" i="41" s="1"/>
  <c r="B4" i="41"/>
  <c r="M23" i="41"/>
  <c r="M22" i="41"/>
  <c r="L22" i="41"/>
  <c r="P21" i="41"/>
  <c r="O21" i="41"/>
  <c r="M21" i="41"/>
  <c r="L21" i="41"/>
  <c r="BT20" i="41"/>
  <c r="BS20" i="41"/>
  <c r="BR20" i="41" s="1"/>
  <c r="BQ20" i="41"/>
  <c r="R20" i="41"/>
  <c r="P20" i="41"/>
  <c r="O20" i="41"/>
  <c r="N20" i="41"/>
  <c r="M20" i="41"/>
  <c r="L20" i="41"/>
  <c r="BT19" i="41"/>
  <c r="BS19" i="41"/>
  <c r="AN19" i="41"/>
  <c r="M19" i="41"/>
  <c r="BT18" i="41"/>
  <c r="BS18" i="41"/>
  <c r="AO18" i="41"/>
  <c r="S18" i="41"/>
  <c r="S19" i="41" s="1"/>
  <c r="S20" i="41" s="1"/>
  <c r="S21" i="41" s="1"/>
  <c r="S22" i="41" s="1"/>
  <c r="M18" i="41"/>
  <c r="L18" i="41"/>
  <c r="BT17" i="41"/>
  <c r="BS17" i="41"/>
  <c r="AN17" i="41"/>
  <c r="AP17" i="41"/>
  <c r="AO17" i="41"/>
  <c r="L17" i="41"/>
  <c r="BT16" i="41"/>
  <c r="BS16" i="41"/>
  <c r="AO16" i="41"/>
  <c r="BT15" i="41"/>
  <c r="BS15" i="41" s="1"/>
  <c r="BR15" i="41"/>
  <c r="AO15" i="41"/>
  <c r="M15" i="41"/>
  <c r="L15" i="41"/>
  <c r="BT14" i="41"/>
  <c r="BS14" i="41"/>
  <c r="AO14" i="41"/>
  <c r="N14" i="41"/>
  <c r="L14" i="41"/>
  <c r="N13" i="41"/>
  <c r="M13" i="41"/>
  <c r="L11" i="41"/>
  <c r="N12" i="41"/>
  <c r="M11" i="41"/>
  <c r="L10" i="41"/>
  <c r="S9" i="41"/>
  <c r="S10" i="41" s="1"/>
  <c r="S11" i="41" s="1"/>
  <c r="S12" i="41" s="1"/>
  <c r="S13" i="41" s="1"/>
  <c r="S14" i="41" s="1"/>
  <c r="S15" i="41" s="1"/>
  <c r="M9" i="41"/>
  <c r="L8" i="41"/>
  <c r="BT5" i="41"/>
  <c r="BR5" i="41" s="1"/>
  <c r="BS5" i="41"/>
  <c r="AX5" i="41"/>
  <c r="AE3" i="41"/>
  <c r="L5" i="41"/>
  <c r="M5" i="41"/>
  <c r="BT4" i="41"/>
  <c r="BS4" i="41" s="1"/>
  <c r="BR4" i="41"/>
  <c r="BP4" i="41" s="1"/>
  <c r="AD3" i="41"/>
  <c r="S4" i="41"/>
  <c r="S5" i="41" s="1"/>
  <c r="L4" i="41"/>
  <c r="E51" i="5"/>
  <c r="K194" i="44" l="1"/>
  <c r="L22" i="16" s="1"/>
  <c r="F22" i="16"/>
  <c r="B27" i="41"/>
  <c r="BQ4" i="41"/>
  <c r="L29" i="41"/>
  <c r="L3" i="41"/>
  <c r="M30" i="41"/>
  <c r="M3" i="41"/>
  <c r="AN18" i="41"/>
  <c r="C3" i="41"/>
  <c r="AV5" i="41"/>
  <c r="AN5" i="41" s="1"/>
  <c r="BQ5" i="41"/>
  <c r="M10" i="41"/>
  <c r="BQ15" i="41"/>
  <c r="AD29" i="41"/>
  <c r="L30" i="41"/>
  <c r="M29" i="41"/>
  <c r="AE30" i="41"/>
  <c r="AW5" i="41"/>
  <c r="AO5" i="41" s="1"/>
  <c r="BR19" i="41"/>
  <c r="AE29" i="41"/>
  <c r="BP5" i="41"/>
  <c r="BF5" i="41" s="1"/>
  <c r="BR14" i="41"/>
  <c r="AD30" i="41"/>
  <c r="U16" i="41"/>
  <c r="U43" i="41" s="1"/>
  <c r="AE16" i="41"/>
  <c r="AE42" i="41" s="1"/>
  <c r="AD43" i="41"/>
  <c r="BP20" i="41"/>
  <c r="BO20" i="41"/>
  <c r="AN16" i="41"/>
  <c r="BR16" i="41"/>
  <c r="BR17" i="41"/>
  <c r="L16" i="41"/>
  <c r="L46" i="41" s="1"/>
  <c r="M17" i="41"/>
  <c r="C27" i="41"/>
  <c r="V42" i="41"/>
  <c r="V44" i="41"/>
  <c r="AD45" i="41"/>
  <c r="V46" i="41"/>
  <c r="AD47" i="41"/>
  <c r="V43" i="41"/>
  <c r="AE47" i="41"/>
  <c r="AD42" i="41"/>
  <c r="AD44" i="41"/>
  <c r="V45" i="41"/>
  <c r="AD46" i="41"/>
  <c r="V47" i="41"/>
  <c r="B35" i="42"/>
  <c r="F42" i="42"/>
  <c r="G42" i="42" s="1"/>
  <c r="H42" i="42" s="1"/>
  <c r="I42" i="42" s="1"/>
  <c r="J42" i="42" s="1"/>
  <c r="K42" i="42" s="1"/>
  <c r="L42" i="42" s="1"/>
  <c r="M42" i="42" s="1"/>
  <c r="N42" i="42" s="1"/>
  <c r="O42" i="42" s="1"/>
  <c r="P42" i="42" s="1"/>
  <c r="Q42" i="42" s="1"/>
  <c r="R42" i="42" s="1"/>
  <c r="S42" i="42" s="1"/>
  <c r="T42" i="42" s="1"/>
  <c r="U42" i="42" s="1"/>
  <c r="V42" i="42" s="1"/>
  <c r="W42" i="42" s="1"/>
  <c r="X42" i="42" s="1"/>
  <c r="Y42" i="42" s="1"/>
  <c r="Z42" i="42" s="1"/>
  <c r="AA42" i="42" s="1"/>
  <c r="AB42" i="42" s="1"/>
  <c r="AC42" i="42" s="1"/>
  <c r="AD42" i="42" s="1"/>
  <c r="AE42" i="42" s="1"/>
  <c r="AF42" i="42" s="1"/>
  <c r="AG42" i="42" s="1"/>
  <c r="AH42" i="42" s="1"/>
  <c r="AI42" i="42" s="1"/>
  <c r="AJ42" i="42" s="1"/>
  <c r="AK42" i="42" s="1"/>
  <c r="E42" i="42"/>
  <c r="D42" i="42"/>
  <c r="C42" i="42"/>
  <c r="A41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18" i="42"/>
  <c r="A58" i="42" s="1"/>
  <c r="A17" i="42"/>
  <c r="A57" i="42" s="1"/>
  <c r="A16" i="42"/>
  <c r="A56" i="42" s="1"/>
  <c r="A15" i="42"/>
  <c r="A55" i="42" s="1"/>
  <c r="A14" i="42"/>
  <c r="A54" i="42" s="1"/>
  <c r="A13" i="42"/>
  <c r="A53" i="42" s="1"/>
  <c r="A12" i="42"/>
  <c r="A52" i="42" s="1"/>
  <c r="A11" i="42"/>
  <c r="A51" i="42" s="1"/>
  <c r="A10" i="42"/>
  <c r="A50" i="42" s="1"/>
  <c r="A9" i="42"/>
  <c r="A49" i="42" s="1"/>
  <c r="A8" i="42"/>
  <c r="A48" i="42" s="1"/>
  <c r="A7" i="42"/>
  <c r="A47" i="42" s="1"/>
  <c r="A6" i="42"/>
  <c r="A46" i="42" s="1"/>
  <c r="A5" i="42"/>
  <c r="A45" i="42" s="1"/>
  <c r="A4" i="42"/>
  <c r="A44" i="42" s="1"/>
  <c r="A3" i="42"/>
  <c r="A43" i="42" s="1"/>
  <c r="A2" i="42"/>
  <c r="A42" i="42" s="1"/>
  <c r="AK1" i="42"/>
  <c r="V1" i="42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J1" i="42" s="1"/>
  <c r="Q1" i="42"/>
  <c r="R1" i="42" s="1"/>
  <c r="S1" i="42" s="1"/>
  <c r="T1" i="42" s="1"/>
  <c r="U1" i="42" s="1"/>
  <c r="L1" i="42"/>
  <c r="M1" i="42" s="1"/>
  <c r="N1" i="42" s="1"/>
  <c r="O1" i="42" s="1"/>
  <c r="P1" i="42" s="1"/>
  <c r="G1" i="42"/>
  <c r="H1" i="42" s="1"/>
  <c r="I1" i="42" s="1"/>
  <c r="J1" i="42" s="1"/>
  <c r="K1" i="42" s="1"/>
  <c r="B1" i="42"/>
  <c r="C1" i="42" s="1"/>
  <c r="D1" i="42" s="1"/>
  <c r="E1" i="42" s="1"/>
  <c r="F1" i="42" s="1"/>
  <c r="E53" i="5"/>
  <c r="E52" i="5"/>
  <c r="C45" i="5" s="1"/>
  <c r="G45" i="5" s="1"/>
  <c r="V46" i="5"/>
  <c r="U46" i="5"/>
  <c r="T46" i="5"/>
  <c r="S46" i="5"/>
  <c r="V43" i="5"/>
  <c r="U43" i="5"/>
  <c r="T43" i="5"/>
  <c r="S43" i="5"/>
  <c r="W42" i="5"/>
  <c r="E42" i="5"/>
  <c r="AX4" i="41" s="1"/>
  <c r="W41" i="5"/>
  <c r="C41" i="5" s="1"/>
  <c r="G41" i="5" s="1"/>
  <c r="V39" i="5"/>
  <c r="U39" i="5"/>
  <c r="S39" i="5"/>
  <c r="C39" i="5" s="1"/>
  <c r="V38" i="5"/>
  <c r="V37" i="5" s="1"/>
  <c r="U38" i="5"/>
  <c r="T37" i="5"/>
  <c r="S37" i="5"/>
  <c r="E37" i="5"/>
  <c r="W37" i="5" s="1"/>
  <c r="H35" i="5"/>
  <c r="C34" i="5"/>
  <c r="C33" i="5"/>
  <c r="C32" i="5"/>
  <c r="E32" i="5" s="1"/>
  <c r="C30" i="5"/>
  <c r="W29" i="5"/>
  <c r="V29" i="5"/>
  <c r="U29" i="5"/>
  <c r="T29" i="5"/>
  <c r="S29" i="5"/>
  <c r="C29" i="5"/>
  <c r="E29" i="5" s="1"/>
  <c r="C28" i="5"/>
  <c r="E28" i="5" s="1"/>
  <c r="G28" i="5" s="1"/>
  <c r="K26" i="5"/>
  <c r="C26" i="5"/>
  <c r="E24" i="5"/>
  <c r="W23" i="5"/>
  <c r="V23" i="5"/>
  <c r="U23" i="5"/>
  <c r="T23" i="5"/>
  <c r="S23" i="5"/>
  <c r="K21" i="5"/>
  <c r="C21" i="5"/>
  <c r="G21" i="5" s="1"/>
  <c r="H20" i="5"/>
  <c r="C19" i="5"/>
  <c r="D12" i="41" s="1"/>
  <c r="N10" i="41" s="1"/>
  <c r="C18" i="5"/>
  <c r="D13" i="41" s="1"/>
  <c r="N11" i="41" s="1"/>
  <c r="C17" i="5"/>
  <c r="W13" i="5"/>
  <c r="V13" i="5"/>
  <c r="U13" i="5"/>
  <c r="T13" i="5"/>
  <c r="S13" i="5"/>
  <c r="I13" i="5"/>
  <c r="L12" i="5"/>
  <c r="K12" i="5"/>
  <c r="C12" i="5"/>
  <c r="C11" i="5"/>
  <c r="G11" i="5" s="1"/>
  <c r="C10" i="5"/>
  <c r="D10" i="41" s="1"/>
  <c r="N8" i="41" s="1"/>
  <c r="C9" i="5"/>
  <c r="C8" i="5"/>
  <c r="G8" i="5" s="1"/>
  <c r="E8" i="5" s="1"/>
  <c r="C7" i="5"/>
  <c r="G7" i="5" s="1"/>
  <c r="G44" i="5"/>
  <c r="G40" i="5"/>
  <c r="G36" i="5"/>
  <c r="E31" i="5"/>
  <c r="G31" i="5" s="1"/>
  <c r="E30" i="5"/>
  <c r="E27" i="5"/>
  <c r="G27" i="5" s="1"/>
  <c r="E26" i="5"/>
  <c r="G26" i="5" s="1"/>
  <c r="G23" i="5"/>
  <c r="G22" i="5"/>
  <c r="G13" i="5"/>
  <c r="E13" i="5" s="1"/>
  <c r="G9" i="5"/>
  <c r="E51" i="40"/>
  <c r="E49" i="40"/>
  <c r="P47" i="40"/>
  <c r="U46" i="40"/>
  <c r="G46" i="40"/>
  <c r="P48" i="40" s="1"/>
  <c r="C46" i="40"/>
  <c r="G45" i="40"/>
  <c r="E52" i="40" s="1"/>
  <c r="E53" i="40" s="1"/>
  <c r="P43" i="40" s="1"/>
  <c r="G44" i="40"/>
  <c r="G43" i="40"/>
  <c r="G42" i="40"/>
  <c r="P41" i="40" s="1"/>
  <c r="C42" i="40"/>
  <c r="E42" i="40" s="1"/>
  <c r="E48" i="40" s="1"/>
  <c r="W41" i="40"/>
  <c r="V41" i="40"/>
  <c r="U41" i="40"/>
  <c r="R41" i="40"/>
  <c r="G41" i="40"/>
  <c r="P40" i="40" s="1"/>
  <c r="W40" i="40"/>
  <c r="R40" i="40"/>
  <c r="G40" i="40"/>
  <c r="G39" i="40"/>
  <c r="U38" i="40"/>
  <c r="R37" i="40" s="1"/>
  <c r="G38" i="40"/>
  <c r="C37" i="40"/>
  <c r="G37" i="40" s="1"/>
  <c r="G36" i="40"/>
  <c r="H36" i="40" s="1"/>
  <c r="G32" i="40"/>
  <c r="E32" i="40"/>
  <c r="E31" i="40"/>
  <c r="G31" i="40" s="1"/>
  <c r="G30" i="40"/>
  <c r="E30" i="40"/>
  <c r="S29" i="40"/>
  <c r="E29" i="40"/>
  <c r="G29" i="40" s="1"/>
  <c r="G28" i="40"/>
  <c r="C27" i="40"/>
  <c r="G26" i="40"/>
  <c r="E24" i="40"/>
  <c r="G24" i="40" s="1"/>
  <c r="H21" i="40" s="1"/>
  <c r="J21" i="40" s="1"/>
  <c r="P23" i="40" s="1"/>
  <c r="C24" i="40"/>
  <c r="O23" i="40"/>
  <c r="N23" i="40"/>
  <c r="G23" i="40"/>
  <c r="G22" i="40"/>
  <c r="G21" i="40"/>
  <c r="D21" i="40"/>
  <c r="G19" i="40"/>
  <c r="C19" i="40"/>
  <c r="E19" i="40" s="1"/>
  <c r="G18" i="40"/>
  <c r="E18" i="40"/>
  <c r="C17" i="40"/>
  <c r="E16" i="40"/>
  <c r="C15" i="40"/>
  <c r="E14" i="40"/>
  <c r="W13" i="40"/>
  <c r="W5" i="40" s="1"/>
  <c r="W6" i="40" s="1"/>
  <c r="V13" i="40"/>
  <c r="U13" i="40"/>
  <c r="T13" i="40"/>
  <c r="R13" i="40"/>
  <c r="I13" i="40"/>
  <c r="E13" i="40"/>
  <c r="L12" i="40"/>
  <c r="C12" i="40"/>
  <c r="G11" i="40"/>
  <c r="C10" i="40"/>
  <c r="E10" i="40" s="1"/>
  <c r="AW6" i="41" s="1"/>
  <c r="G9" i="40"/>
  <c r="C9" i="40"/>
  <c r="C8" i="40"/>
  <c r="G8" i="40" s="1"/>
  <c r="G7" i="40"/>
  <c r="C7" i="40"/>
  <c r="S5" i="40"/>
  <c r="S6" i="40" s="1"/>
  <c r="E51" i="39"/>
  <c r="E49" i="39"/>
  <c r="P47" i="39"/>
  <c r="U46" i="39"/>
  <c r="G46" i="39"/>
  <c r="P48" i="39" s="1"/>
  <c r="C46" i="39"/>
  <c r="G45" i="39"/>
  <c r="E52" i="39" s="1"/>
  <c r="E53" i="39" s="1"/>
  <c r="P43" i="39" s="1"/>
  <c r="G44" i="39"/>
  <c r="G43" i="39"/>
  <c r="G42" i="39"/>
  <c r="C42" i="39"/>
  <c r="E42" i="39" s="1"/>
  <c r="E48" i="39" s="1"/>
  <c r="W41" i="39"/>
  <c r="V41" i="39"/>
  <c r="U41" i="39"/>
  <c r="R41" i="39"/>
  <c r="P41" i="39"/>
  <c r="G41" i="39"/>
  <c r="W40" i="39" s="1"/>
  <c r="R40" i="39" s="1"/>
  <c r="P40" i="39"/>
  <c r="G40" i="39"/>
  <c r="G39" i="39"/>
  <c r="U38" i="39"/>
  <c r="R37" i="39" s="1"/>
  <c r="G38" i="39"/>
  <c r="G37" i="39"/>
  <c r="C37" i="39"/>
  <c r="G36" i="39"/>
  <c r="H36" i="39" s="1"/>
  <c r="G32" i="39"/>
  <c r="E32" i="39"/>
  <c r="E31" i="39"/>
  <c r="G31" i="39" s="1"/>
  <c r="G30" i="39"/>
  <c r="E30" i="39"/>
  <c r="S29" i="39"/>
  <c r="E29" i="39"/>
  <c r="G29" i="39" s="1"/>
  <c r="G28" i="39"/>
  <c r="C27" i="39"/>
  <c r="G26" i="39"/>
  <c r="E24" i="39"/>
  <c r="C24" i="39"/>
  <c r="D21" i="39" s="1"/>
  <c r="N23" i="39"/>
  <c r="G23" i="39"/>
  <c r="G22" i="39"/>
  <c r="G21" i="39"/>
  <c r="G19" i="39"/>
  <c r="E19" i="39" s="1"/>
  <c r="C19" i="39"/>
  <c r="O23" i="39" s="1"/>
  <c r="G18" i="39"/>
  <c r="E18" i="39"/>
  <c r="G17" i="39"/>
  <c r="E17" i="39" s="1"/>
  <c r="C17" i="39"/>
  <c r="E16" i="39"/>
  <c r="C15" i="39"/>
  <c r="B14" i="41" s="1"/>
  <c r="E14" i="39"/>
  <c r="W13" i="39"/>
  <c r="W5" i="39" s="1"/>
  <c r="W6" i="39" s="1"/>
  <c r="V13" i="39"/>
  <c r="U13" i="39"/>
  <c r="T13" i="39"/>
  <c r="R13" i="39"/>
  <c r="I13" i="39"/>
  <c r="E13" i="39"/>
  <c r="L12" i="39"/>
  <c r="G12" i="39"/>
  <c r="E12" i="39" s="1"/>
  <c r="C12" i="39"/>
  <c r="G11" i="39"/>
  <c r="E10" i="39"/>
  <c r="C10" i="39"/>
  <c r="G9" i="39"/>
  <c r="C9" i="39"/>
  <c r="C8" i="39"/>
  <c r="G8" i="39" s="1"/>
  <c r="G7" i="39"/>
  <c r="C7" i="39"/>
  <c r="S5" i="39"/>
  <c r="S6" i="39" s="1"/>
  <c r="G39" i="5" l="1"/>
  <c r="D33" i="41"/>
  <c r="N22" i="41" s="1"/>
  <c r="C42" i="5"/>
  <c r="G42" i="5" s="1"/>
  <c r="P41" i="5" s="1"/>
  <c r="G18" i="5"/>
  <c r="E18" i="5" s="1"/>
  <c r="AX9" i="41" s="1"/>
  <c r="U5" i="5"/>
  <c r="W5" i="5"/>
  <c r="S5" i="5"/>
  <c r="R23" i="5"/>
  <c r="AX14" i="41"/>
  <c r="C43" i="5"/>
  <c r="G43" i="5" s="1"/>
  <c r="P43" i="5" s="1"/>
  <c r="G19" i="5"/>
  <c r="E19" i="5" s="1"/>
  <c r="AX8" i="41" s="1"/>
  <c r="G29" i="5"/>
  <c r="AX15" i="41"/>
  <c r="W5" i="41"/>
  <c r="BG5" i="41" s="1"/>
  <c r="D5" i="41"/>
  <c r="N5" i="41" s="1"/>
  <c r="AF5" i="41"/>
  <c r="E33" i="5"/>
  <c r="G33" i="5" s="1"/>
  <c r="P51" i="5"/>
  <c r="D32" i="41"/>
  <c r="N21" i="41" s="1"/>
  <c r="D30" i="41"/>
  <c r="N19" i="41" s="1"/>
  <c r="G30" i="5"/>
  <c r="AX18" i="41"/>
  <c r="G12" i="5"/>
  <c r="E12" i="5" s="1"/>
  <c r="AX13" i="41" s="1"/>
  <c r="D19" i="41"/>
  <c r="N15" i="41" s="1"/>
  <c r="R29" i="5"/>
  <c r="W23" i="41"/>
  <c r="R51" i="5"/>
  <c r="V5" i="5"/>
  <c r="T5" i="5"/>
  <c r="G17" i="5"/>
  <c r="D11" i="41"/>
  <c r="N9" i="41" s="1"/>
  <c r="C46" i="5"/>
  <c r="D37" i="41" s="1"/>
  <c r="N23" i="41" s="1"/>
  <c r="AF23" i="41"/>
  <c r="G10" i="39"/>
  <c r="H7" i="39" s="1"/>
  <c r="J7" i="39" s="1"/>
  <c r="AV6" i="41"/>
  <c r="E15" i="40"/>
  <c r="AW21" i="41" s="1"/>
  <c r="C14" i="41"/>
  <c r="L12" i="41"/>
  <c r="L7" i="41" s="1"/>
  <c r="L36" i="41" s="1"/>
  <c r="B9" i="41"/>
  <c r="B2" i="41" s="1"/>
  <c r="P46" i="39"/>
  <c r="T46" i="39" s="1"/>
  <c r="AD23" i="41" s="1"/>
  <c r="T43" i="40"/>
  <c r="R43" i="40" s="1"/>
  <c r="V4" i="41"/>
  <c r="B22" i="42" s="1"/>
  <c r="T43" i="39"/>
  <c r="R43" i="39" s="1"/>
  <c r="U4" i="41"/>
  <c r="L43" i="41"/>
  <c r="AE43" i="41"/>
  <c r="L47" i="41"/>
  <c r="AE45" i="41"/>
  <c r="L45" i="41"/>
  <c r="BQ17" i="41"/>
  <c r="U44" i="41"/>
  <c r="BO5" i="41"/>
  <c r="BE5" i="41" s="1"/>
  <c r="BO4" i="41"/>
  <c r="AE46" i="41"/>
  <c r="BQ19" i="41"/>
  <c r="U45" i="41"/>
  <c r="L44" i="41"/>
  <c r="BQ16" i="41"/>
  <c r="AE44" i="41"/>
  <c r="U42" i="41"/>
  <c r="M42" i="41"/>
  <c r="M16" i="41"/>
  <c r="BQ14" i="41"/>
  <c r="U46" i="41"/>
  <c r="U47" i="41"/>
  <c r="L42" i="41"/>
  <c r="BP15" i="41"/>
  <c r="BF15" i="41" s="1"/>
  <c r="BO15" i="41"/>
  <c r="BE15" i="41" s="1"/>
  <c r="D20" i="39"/>
  <c r="F20" i="39"/>
  <c r="E15" i="39"/>
  <c r="AV21" i="41" s="1"/>
  <c r="D7" i="40"/>
  <c r="B16" i="42"/>
  <c r="B23" i="42"/>
  <c r="R42" i="5"/>
  <c r="C24" i="5"/>
  <c r="G24" i="5" s="1"/>
  <c r="C38" i="5"/>
  <c r="D29" i="41" s="1"/>
  <c r="N18" i="41" s="1"/>
  <c r="E17" i="5"/>
  <c r="AX7" i="41" s="1"/>
  <c r="G32" i="5"/>
  <c r="D7" i="5"/>
  <c r="E10" i="5"/>
  <c r="AX6" i="41" s="1"/>
  <c r="R13" i="5"/>
  <c r="N23" i="5"/>
  <c r="O23" i="5"/>
  <c r="D26" i="5"/>
  <c r="E34" i="5"/>
  <c r="G34" i="5" s="1"/>
  <c r="H26" i="40"/>
  <c r="J26" i="40" s="1"/>
  <c r="P26" i="40" s="1"/>
  <c r="P25" i="40"/>
  <c r="V23" i="40"/>
  <c r="U23" i="40"/>
  <c r="T29" i="40"/>
  <c r="T23" i="40"/>
  <c r="G27" i="40"/>
  <c r="V29" i="40"/>
  <c r="P37" i="40"/>
  <c r="E8" i="40"/>
  <c r="D20" i="40"/>
  <c r="E27" i="40"/>
  <c r="E47" i="40" s="1"/>
  <c r="U29" i="40"/>
  <c r="P35" i="40"/>
  <c r="G10" i="40"/>
  <c r="G12" i="40"/>
  <c r="H20" i="40" s="1"/>
  <c r="G17" i="40"/>
  <c r="E17" i="40" s="1"/>
  <c r="D26" i="40"/>
  <c r="D36" i="40"/>
  <c r="P46" i="40"/>
  <c r="T46" i="40" s="1"/>
  <c r="AE23" i="41" s="1"/>
  <c r="C5" i="40"/>
  <c r="C6" i="40" s="1"/>
  <c r="G27" i="39"/>
  <c r="H26" i="39" s="1"/>
  <c r="J26" i="39" s="1"/>
  <c r="P26" i="39" s="1"/>
  <c r="P37" i="39"/>
  <c r="H20" i="39"/>
  <c r="D26" i="39"/>
  <c r="D36" i="39"/>
  <c r="E8" i="39"/>
  <c r="G24" i="39"/>
  <c r="H21" i="39" s="1"/>
  <c r="J21" i="39" s="1"/>
  <c r="P23" i="39" s="1"/>
  <c r="V29" i="39" s="1"/>
  <c r="E27" i="39"/>
  <c r="E47" i="39" s="1"/>
  <c r="C5" i="39"/>
  <c r="C6" i="39" s="1"/>
  <c r="D7" i="39"/>
  <c r="W4" i="41" l="1"/>
  <c r="BG4" i="41" s="1"/>
  <c r="N7" i="41"/>
  <c r="N34" i="41" s="1"/>
  <c r="D4" i="41"/>
  <c r="AF4" i="41"/>
  <c r="AF3" i="41" s="1"/>
  <c r="AF29" i="41" s="1"/>
  <c r="H21" i="5"/>
  <c r="J21" i="5" s="1"/>
  <c r="P23" i="5" s="1"/>
  <c r="W17" i="41" s="1"/>
  <c r="BG14" i="41" s="1"/>
  <c r="D9" i="41"/>
  <c r="AP20" i="41"/>
  <c r="B21" i="42"/>
  <c r="B2" i="42"/>
  <c r="AP5" i="41"/>
  <c r="B4" i="42"/>
  <c r="D28" i="41"/>
  <c r="B3" i="42"/>
  <c r="B34" i="42"/>
  <c r="AP16" i="41"/>
  <c r="W21" i="41"/>
  <c r="R5" i="5"/>
  <c r="B15" i="42"/>
  <c r="G46" i="5"/>
  <c r="P46" i="5" s="1"/>
  <c r="AX21" i="41"/>
  <c r="L40" i="41"/>
  <c r="L35" i="41"/>
  <c r="L37" i="41"/>
  <c r="T5" i="40"/>
  <c r="T6" i="40" s="1"/>
  <c r="B38" i="41"/>
  <c r="B40" i="41"/>
  <c r="U3" i="41"/>
  <c r="U29" i="41" s="1"/>
  <c r="AN4" i="41"/>
  <c r="AD12" i="41"/>
  <c r="U11" i="41"/>
  <c r="U8" i="41"/>
  <c r="U15" i="41"/>
  <c r="U14" i="41"/>
  <c r="AD11" i="41"/>
  <c r="U10" i="41"/>
  <c r="AN8" i="41" s="1"/>
  <c r="AD8" i="41"/>
  <c r="AD15" i="41"/>
  <c r="AD14" i="41"/>
  <c r="U13" i="41"/>
  <c r="AD10" i="41"/>
  <c r="U9" i="41"/>
  <c r="AD13" i="41"/>
  <c r="U12" i="41"/>
  <c r="AD9" i="41"/>
  <c r="F7" i="39"/>
  <c r="R46" i="40"/>
  <c r="V23" i="41"/>
  <c r="L33" i="41"/>
  <c r="L34" i="41"/>
  <c r="BF4" i="41"/>
  <c r="V3" i="41"/>
  <c r="AO4" i="41"/>
  <c r="V15" i="41"/>
  <c r="V14" i="41"/>
  <c r="AE11" i="41"/>
  <c r="V10" i="41"/>
  <c r="AE8" i="41"/>
  <c r="AE15" i="41"/>
  <c r="AE14" i="41"/>
  <c r="V13" i="41"/>
  <c r="AO11" i="41" s="1"/>
  <c r="AE10" i="41"/>
  <c r="V9" i="41"/>
  <c r="AE13" i="41"/>
  <c r="V12" i="41"/>
  <c r="AE9" i="41"/>
  <c r="AE12" i="41"/>
  <c r="V11" i="41"/>
  <c r="V8" i="41"/>
  <c r="L2" i="41"/>
  <c r="L24" i="41" s="1"/>
  <c r="L39" i="41"/>
  <c r="L38" i="41"/>
  <c r="R46" i="39"/>
  <c r="U23" i="41"/>
  <c r="M12" i="41"/>
  <c r="C9" i="41"/>
  <c r="C2" i="41" s="1"/>
  <c r="C38" i="41" s="1"/>
  <c r="BP19" i="41"/>
  <c r="BF19" i="41" s="1"/>
  <c r="BO19" i="41"/>
  <c r="BE19" i="41" s="1"/>
  <c r="BP17" i="41"/>
  <c r="BF17" i="41" s="1"/>
  <c r="BO17" i="41"/>
  <c r="BE17" i="41" s="1"/>
  <c r="M44" i="41"/>
  <c r="M43" i="41"/>
  <c r="M47" i="41"/>
  <c r="M46" i="41"/>
  <c r="M45" i="41"/>
  <c r="BP16" i="41"/>
  <c r="BO16" i="41"/>
  <c r="BP14" i="41"/>
  <c r="BO14" i="41"/>
  <c r="BE14" i="41" s="1"/>
  <c r="BE4" i="41"/>
  <c r="H7" i="40"/>
  <c r="J7" i="40" s="1"/>
  <c r="K12" i="40" s="1"/>
  <c r="BP6" i="41" s="1"/>
  <c r="F7" i="5"/>
  <c r="G38" i="5"/>
  <c r="W22" i="41" s="1"/>
  <c r="H26" i="5"/>
  <c r="J26" i="5" s="1"/>
  <c r="D21" i="5"/>
  <c r="C5" i="5"/>
  <c r="D47" i="41" s="1"/>
  <c r="G37" i="5"/>
  <c r="W18" i="41" s="1"/>
  <c r="D36" i="5"/>
  <c r="G10" i="5"/>
  <c r="X35" i="40"/>
  <c r="U5" i="40"/>
  <c r="V6" i="40" s="1"/>
  <c r="R29" i="40"/>
  <c r="F20" i="40"/>
  <c r="V5" i="40"/>
  <c r="E12" i="40"/>
  <c r="F7" i="40" s="1"/>
  <c r="R23" i="40"/>
  <c r="P35" i="39"/>
  <c r="P25" i="39"/>
  <c r="V23" i="39"/>
  <c r="V5" i="39" s="1"/>
  <c r="T23" i="39"/>
  <c r="U23" i="39"/>
  <c r="T29" i="39"/>
  <c r="U29" i="39"/>
  <c r="K12" i="39"/>
  <c r="BO6" i="41" s="1"/>
  <c r="AP19" i="41" l="1"/>
  <c r="B18" i="42"/>
  <c r="B37" i="42"/>
  <c r="B44" i="42"/>
  <c r="AP4" i="41"/>
  <c r="N38" i="41"/>
  <c r="N37" i="41"/>
  <c r="W3" i="41"/>
  <c r="W30" i="41" s="1"/>
  <c r="N40" i="41"/>
  <c r="N4" i="41"/>
  <c r="N3" i="41" s="1"/>
  <c r="D3" i="41"/>
  <c r="B43" i="42"/>
  <c r="N35" i="41"/>
  <c r="N36" i="41"/>
  <c r="N39" i="41"/>
  <c r="N33" i="41"/>
  <c r="W16" i="41"/>
  <c r="W43" i="41" s="1"/>
  <c r="B33" i="42"/>
  <c r="BG15" i="41"/>
  <c r="B14" i="42"/>
  <c r="AP15" i="41"/>
  <c r="B13" i="42"/>
  <c r="AP14" i="41"/>
  <c r="B32" i="42"/>
  <c r="AF18" i="41"/>
  <c r="B17" i="42"/>
  <c r="B36" i="42"/>
  <c r="AP18" i="41"/>
  <c r="P26" i="5"/>
  <c r="AF20" i="41"/>
  <c r="AF22" i="41"/>
  <c r="AF19" i="41"/>
  <c r="AF17" i="41"/>
  <c r="N17" i="41"/>
  <c r="D27" i="41"/>
  <c r="D2" i="41" s="1"/>
  <c r="AF21" i="41"/>
  <c r="AF30" i="41"/>
  <c r="H7" i="5"/>
  <c r="J7" i="5" s="1"/>
  <c r="P7" i="5" s="1"/>
  <c r="AF15" i="41"/>
  <c r="BQ13" i="41"/>
  <c r="AF13" i="41"/>
  <c r="AF12" i="41"/>
  <c r="AF11" i="41"/>
  <c r="AF10" i="41"/>
  <c r="BQ8" i="41"/>
  <c r="AF8" i="41"/>
  <c r="W15" i="41"/>
  <c r="AF14" i="41"/>
  <c r="W13" i="41"/>
  <c r="BQ12" i="41"/>
  <c r="W14" i="41"/>
  <c r="BQ9" i="41"/>
  <c r="AF9" i="41"/>
  <c r="BQ7" i="41"/>
  <c r="BQ6" i="41"/>
  <c r="W12" i="41"/>
  <c r="BQ11" i="41"/>
  <c r="BG11" i="41" s="1"/>
  <c r="W11" i="41"/>
  <c r="BQ10" i="41"/>
  <c r="W10" i="41"/>
  <c r="W8" i="41"/>
  <c r="W9" i="41"/>
  <c r="P7" i="39"/>
  <c r="P5" i="39" s="1"/>
  <c r="P6" i="39" s="1"/>
  <c r="BF6" i="41"/>
  <c r="U7" i="41"/>
  <c r="U35" i="41" s="1"/>
  <c r="AO10" i="41"/>
  <c r="AN20" i="41"/>
  <c r="BE20" i="41"/>
  <c r="AO7" i="41"/>
  <c r="AO12" i="41"/>
  <c r="AN10" i="41"/>
  <c r="AN11" i="41"/>
  <c r="M7" i="41"/>
  <c r="M37" i="41" s="1"/>
  <c r="AO6" i="41"/>
  <c r="V7" i="41"/>
  <c r="V38" i="41" s="1"/>
  <c r="AE7" i="41"/>
  <c r="AE40" i="41" s="1"/>
  <c r="AO13" i="41"/>
  <c r="AN9" i="41"/>
  <c r="U30" i="41"/>
  <c r="BP10" i="41"/>
  <c r="BF10" i="41" s="1"/>
  <c r="BP13" i="41"/>
  <c r="BF13" i="41" s="1"/>
  <c r="BP9" i="41"/>
  <c r="BF9" i="41" s="1"/>
  <c r="BP7" i="41"/>
  <c r="BF7" i="41" s="1"/>
  <c r="BP12" i="41"/>
  <c r="BF12" i="41" s="1"/>
  <c r="BP11" i="41"/>
  <c r="BF11" i="41" s="1"/>
  <c r="BP8" i="41"/>
  <c r="BF8" i="41" s="1"/>
  <c r="AO9" i="41"/>
  <c r="AO8" i="41"/>
  <c r="BE6" i="41"/>
  <c r="AN7" i="41"/>
  <c r="AN12" i="41"/>
  <c r="BO11" i="41"/>
  <c r="BE11" i="41" s="1"/>
  <c r="BO8" i="41"/>
  <c r="BE8" i="41" s="1"/>
  <c r="BO10" i="41"/>
  <c r="BE10" i="41" s="1"/>
  <c r="BO13" i="41"/>
  <c r="BE13" i="41" s="1"/>
  <c r="BO9" i="41"/>
  <c r="BE9" i="41" s="1"/>
  <c r="BO7" i="41"/>
  <c r="BE7" i="41" s="1"/>
  <c r="BO12" i="41"/>
  <c r="BE12" i="41" s="1"/>
  <c r="AN6" i="41"/>
  <c r="V30" i="41"/>
  <c r="V29" i="41"/>
  <c r="AO20" i="41"/>
  <c r="BF20" i="41"/>
  <c r="AD7" i="41"/>
  <c r="AD2" i="41" s="1"/>
  <c r="AN13" i="41"/>
  <c r="BF14" i="41"/>
  <c r="K20" i="39"/>
  <c r="K20" i="40"/>
  <c r="P37" i="5"/>
  <c r="H36" i="5"/>
  <c r="N38" i="40"/>
  <c r="R5" i="40"/>
  <c r="R6" i="40" s="1"/>
  <c r="P7" i="40"/>
  <c r="T5" i="39"/>
  <c r="T6" i="39" s="1"/>
  <c r="R23" i="39"/>
  <c r="R29" i="39"/>
  <c r="X35" i="39"/>
  <c r="U5" i="39"/>
  <c r="V6" i="39" s="1"/>
  <c r="U39" i="41" l="1"/>
  <c r="U36" i="41"/>
  <c r="U33" i="41"/>
  <c r="P20" i="39"/>
  <c r="AE37" i="41"/>
  <c r="W29" i="41"/>
  <c r="N29" i="41"/>
  <c r="N30" i="41"/>
  <c r="B54" i="42"/>
  <c r="D46" i="41"/>
  <c r="D40" i="41"/>
  <c r="D38" i="41"/>
  <c r="P5" i="5"/>
  <c r="B53" i="42"/>
  <c r="B56" i="42"/>
  <c r="B58" i="42"/>
  <c r="BG10" i="41"/>
  <c r="N16" i="41"/>
  <c r="N42" i="41" s="1"/>
  <c r="W46" i="41"/>
  <c r="AF16" i="41"/>
  <c r="AF47" i="41" s="1"/>
  <c r="W47" i="41"/>
  <c r="W45" i="41"/>
  <c r="W44" i="41"/>
  <c r="B57" i="42"/>
  <c r="W42" i="41"/>
  <c r="B55" i="42"/>
  <c r="BG12" i="41"/>
  <c r="AP12" i="41"/>
  <c r="B30" i="42"/>
  <c r="B11" i="42"/>
  <c r="AP13" i="41"/>
  <c r="B31" i="42"/>
  <c r="B12" i="42"/>
  <c r="BQ21" i="41"/>
  <c r="BG6" i="41"/>
  <c r="AP7" i="41"/>
  <c r="B6" i="42"/>
  <c r="B25" i="42"/>
  <c r="AP9" i="41"/>
  <c r="B8" i="42"/>
  <c r="B27" i="42"/>
  <c r="BH7" i="41"/>
  <c r="BG7" i="41"/>
  <c r="AF7" i="41"/>
  <c r="AF36" i="41" s="1"/>
  <c r="W7" i="41"/>
  <c r="W2" i="41" s="1"/>
  <c r="W24" i="41" s="1"/>
  <c r="B24" i="42"/>
  <c r="B5" i="42"/>
  <c r="AP6" i="41"/>
  <c r="AP11" i="41"/>
  <c r="B10" i="42"/>
  <c r="B29" i="42"/>
  <c r="BG8" i="41"/>
  <c r="AP8" i="41"/>
  <c r="B26" i="42"/>
  <c r="B7" i="42"/>
  <c r="AP10" i="41"/>
  <c r="B9" i="42"/>
  <c r="B28" i="42"/>
  <c r="BG9" i="41"/>
  <c r="BG13" i="41"/>
  <c r="V36" i="41"/>
  <c r="U37" i="41"/>
  <c r="V2" i="41"/>
  <c r="U40" i="41"/>
  <c r="AE36" i="41"/>
  <c r="AE33" i="41"/>
  <c r="AE39" i="41"/>
  <c r="V35" i="41"/>
  <c r="U2" i="41"/>
  <c r="AE34" i="41"/>
  <c r="AE38" i="41"/>
  <c r="U34" i="41"/>
  <c r="V40" i="41"/>
  <c r="V33" i="41"/>
  <c r="V24" i="41"/>
  <c r="U38" i="41"/>
  <c r="V39" i="41"/>
  <c r="AD33" i="41"/>
  <c r="AD35" i="41"/>
  <c r="AD37" i="41"/>
  <c r="AD36" i="41"/>
  <c r="M33" i="41"/>
  <c r="M39" i="41"/>
  <c r="M40" i="41"/>
  <c r="M38" i="41"/>
  <c r="M34" i="41"/>
  <c r="M36" i="41"/>
  <c r="M35" i="41"/>
  <c r="M2" i="41"/>
  <c r="M24" i="41" s="1"/>
  <c r="AD38" i="41"/>
  <c r="BP21" i="41"/>
  <c r="AD40" i="41"/>
  <c r="BO21" i="41"/>
  <c r="AD34" i="41"/>
  <c r="AD39" i="41"/>
  <c r="AE35" i="41"/>
  <c r="AE2" i="41"/>
  <c r="V34" i="41"/>
  <c r="V37" i="41"/>
  <c r="P20" i="40"/>
  <c r="P5" i="40"/>
  <c r="P6" i="40" s="1"/>
  <c r="R5" i="39"/>
  <c r="R6" i="39" s="1"/>
  <c r="N38" i="39"/>
  <c r="W37" i="41" l="1"/>
  <c r="W35" i="41"/>
  <c r="AF34" i="41"/>
  <c r="AF39" i="41"/>
  <c r="AF46" i="41"/>
  <c r="AF42" i="41"/>
  <c r="W38" i="41"/>
  <c r="W34" i="41"/>
  <c r="W36" i="41"/>
  <c r="AF43" i="41"/>
  <c r="W33" i="41"/>
  <c r="B47" i="42"/>
  <c r="AF37" i="41"/>
  <c r="AF38" i="41"/>
  <c r="AF33" i="41"/>
  <c r="W40" i="41"/>
  <c r="N46" i="41"/>
  <c r="N44" i="41"/>
  <c r="N2" i="41"/>
  <c r="N24" i="41" s="1"/>
  <c r="N47" i="41"/>
  <c r="N45" i="41"/>
  <c r="N43" i="41"/>
  <c r="AF44" i="41"/>
  <c r="AF45" i="41"/>
  <c r="B50" i="42"/>
  <c r="B45" i="42"/>
  <c r="B52" i="42"/>
  <c r="B51" i="42"/>
  <c r="B49" i="42"/>
  <c r="AF35" i="41"/>
  <c r="AF2" i="41"/>
  <c r="AF24" i="41" s="1"/>
  <c r="B48" i="42"/>
  <c r="B46" i="42"/>
  <c r="AF40" i="41"/>
  <c r="W39" i="41"/>
  <c r="U24" i="41"/>
  <c r="G13" i="4" l="1"/>
  <c r="E13" i="4" s="1"/>
  <c r="G13" i="3"/>
  <c r="E13" i="3" s="1"/>
  <c r="Q15" i="41"/>
  <c r="C12" i="3"/>
  <c r="F19" i="41" s="1"/>
  <c r="P15" i="41" s="1"/>
  <c r="C12" i="4"/>
  <c r="G55" i="44" s="1"/>
  <c r="E19" i="41" l="1"/>
  <c r="O15" i="41" s="1"/>
  <c r="R10" i="41"/>
  <c r="Q10" i="41"/>
  <c r="E24" i="4"/>
  <c r="E24" i="3"/>
  <c r="C19" i="3"/>
  <c r="F12" i="41" s="1"/>
  <c r="P10" i="41" s="1"/>
  <c r="G65" i="44" l="1"/>
  <c r="K55" i="44"/>
  <c r="L12" i="14" s="1"/>
  <c r="G12" i="14"/>
  <c r="C34" i="3"/>
  <c r="C33" i="3"/>
  <c r="C32" i="3"/>
  <c r="C29" i="3"/>
  <c r="C26" i="3"/>
  <c r="E27" i="4"/>
  <c r="E31" i="4"/>
  <c r="K26" i="4"/>
  <c r="C34" i="4"/>
  <c r="E34" i="4" s="1"/>
  <c r="C33" i="4"/>
  <c r="C32" i="4"/>
  <c r="E32" i="4" s="1"/>
  <c r="C30" i="4"/>
  <c r="E29" i="4" s="1"/>
  <c r="E28" i="4"/>
  <c r="C26" i="4"/>
  <c r="E26" i="4" s="1"/>
  <c r="I85" i="15"/>
  <c r="I129" i="13"/>
  <c r="G73" i="44" l="1"/>
  <c r="G31" i="14" s="1"/>
  <c r="K65" i="44"/>
  <c r="K73" i="44" s="1"/>
  <c r="L31" i="14" s="1"/>
  <c r="G28" i="4"/>
  <c r="G22" i="14"/>
  <c r="E33" i="4"/>
  <c r="E30" i="4"/>
  <c r="L22" i="14" l="1"/>
  <c r="R8" i="41"/>
  <c r="R11" i="41"/>
  <c r="Q11" i="41"/>
  <c r="Q14" i="41"/>
  <c r="H35" i="3"/>
  <c r="H20" i="3"/>
  <c r="E53" i="3"/>
  <c r="C45" i="3"/>
  <c r="C24" i="3" s="1"/>
  <c r="E51" i="3"/>
  <c r="V46" i="3"/>
  <c r="U46" i="3"/>
  <c r="T46" i="3"/>
  <c r="S46" i="3"/>
  <c r="V43" i="3"/>
  <c r="U43" i="3"/>
  <c r="T43" i="3"/>
  <c r="S43" i="3"/>
  <c r="W42" i="3"/>
  <c r="C42" i="3" s="1"/>
  <c r="E43" i="3"/>
  <c r="W41" i="3"/>
  <c r="G41" i="3" s="1"/>
  <c r="S39" i="3"/>
  <c r="V38" i="3"/>
  <c r="T37" i="3"/>
  <c r="E37" i="3"/>
  <c r="W37" i="3" s="1"/>
  <c r="G32" i="3"/>
  <c r="W29" i="3"/>
  <c r="V29" i="3"/>
  <c r="U29" i="3"/>
  <c r="T29" i="3"/>
  <c r="S29" i="3"/>
  <c r="G28" i="3"/>
  <c r="K26" i="3"/>
  <c r="W23" i="3"/>
  <c r="V23" i="3"/>
  <c r="U23" i="3"/>
  <c r="T23" i="3"/>
  <c r="S23" i="3"/>
  <c r="K21" i="3"/>
  <c r="C21" i="3"/>
  <c r="G19" i="3"/>
  <c r="C18" i="3"/>
  <c r="C17" i="3"/>
  <c r="F11" i="41" s="1"/>
  <c r="W13" i="3"/>
  <c r="V13" i="3"/>
  <c r="U13" i="3"/>
  <c r="T13" i="3"/>
  <c r="S13" i="3"/>
  <c r="K12" i="3"/>
  <c r="G12" i="3"/>
  <c r="E12" i="3" s="1"/>
  <c r="C11" i="3"/>
  <c r="G11" i="3" s="1"/>
  <c r="C10" i="3"/>
  <c r="C9" i="3"/>
  <c r="C8" i="3"/>
  <c r="C7" i="3"/>
  <c r="G44" i="3"/>
  <c r="G40" i="3"/>
  <c r="G36" i="3"/>
  <c r="G31" i="3"/>
  <c r="G29" i="3"/>
  <c r="G23" i="3"/>
  <c r="G22" i="3"/>
  <c r="O23" i="3"/>
  <c r="H35" i="4"/>
  <c r="H20" i="4"/>
  <c r="E53" i="4"/>
  <c r="C45" i="4"/>
  <c r="C24" i="4" s="1"/>
  <c r="E51" i="4"/>
  <c r="V46" i="4"/>
  <c r="U46" i="4"/>
  <c r="T46" i="4"/>
  <c r="S46" i="4"/>
  <c r="V43" i="4"/>
  <c r="U43" i="4"/>
  <c r="T43" i="4"/>
  <c r="S43" i="4"/>
  <c r="W42" i="4"/>
  <c r="E43" i="4"/>
  <c r="W41" i="4"/>
  <c r="C41" i="4" s="1"/>
  <c r="G41" i="4" s="1"/>
  <c r="S39" i="4"/>
  <c r="V38" i="4"/>
  <c r="V37" i="4" s="1"/>
  <c r="T37" i="4"/>
  <c r="S37" i="4"/>
  <c r="E37" i="4"/>
  <c r="N23" i="4"/>
  <c r="W29" i="4"/>
  <c r="V29" i="4"/>
  <c r="U29" i="4"/>
  <c r="T29" i="4"/>
  <c r="S29" i="4"/>
  <c r="W23" i="4"/>
  <c r="V23" i="4"/>
  <c r="U23" i="4"/>
  <c r="T23" i="4"/>
  <c r="S23" i="4"/>
  <c r="K21" i="4"/>
  <c r="C21" i="4"/>
  <c r="C19" i="4"/>
  <c r="E12" i="41" s="1"/>
  <c r="O10" i="41" s="1"/>
  <c r="C18" i="4"/>
  <c r="E13" i="41" s="1"/>
  <c r="O11" i="41" s="1"/>
  <c r="C17" i="4"/>
  <c r="E11" i="41" s="1"/>
  <c r="W13" i="4"/>
  <c r="V13" i="4"/>
  <c r="U13" i="4"/>
  <c r="T13" i="4"/>
  <c r="S13" i="4"/>
  <c r="I13" i="4"/>
  <c r="K12" i="4"/>
  <c r="G12" i="4"/>
  <c r="C11" i="4"/>
  <c r="G11" i="4" s="1"/>
  <c r="C10" i="4"/>
  <c r="E10" i="4" s="1"/>
  <c r="C9" i="4"/>
  <c r="C7" i="4"/>
  <c r="E14" i="41" s="1"/>
  <c r="O12" i="41" s="1"/>
  <c r="G44" i="4"/>
  <c r="G40" i="4"/>
  <c r="G36" i="4"/>
  <c r="G31" i="4"/>
  <c r="G29" i="4"/>
  <c r="G23" i="4"/>
  <c r="G22" i="4"/>
  <c r="I41" i="16"/>
  <c r="I173" i="14"/>
  <c r="R14" i="41" l="1"/>
  <c r="R13" i="41"/>
  <c r="R12" i="41"/>
  <c r="Q13" i="41"/>
  <c r="Q12" i="41"/>
  <c r="E8" i="3"/>
  <c r="F18" i="41"/>
  <c r="P14" i="41" s="1"/>
  <c r="G7" i="3"/>
  <c r="F14" i="41"/>
  <c r="P12" i="41" s="1"/>
  <c r="G9" i="3"/>
  <c r="F17" i="41"/>
  <c r="P13" i="41" s="1"/>
  <c r="G9" i="4"/>
  <c r="E17" i="41"/>
  <c r="O13" i="41" s="1"/>
  <c r="Q17" i="41"/>
  <c r="X23" i="41"/>
  <c r="AQ20" i="41" s="1"/>
  <c r="R15" i="41"/>
  <c r="AK2" i="42"/>
  <c r="H2" i="42" s="1"/>
  <c r="I2" i="42" s="1"/>
  <c r="J2" i="42" s="1"/>
  <c r="K2" i="42" s="1"/>
  <c r="L2" i="42" s="1"/>
  <c r="M2" i="42" s="1"/>
  <c r="N2" i="42" s="1"/>
  <c r="O2" i="42" s="1"/>
  <c r="P2" i="42" s="1"/>
  <c r="Q2" i="42" s="1"/>
  <c r="R2" i="42" s="1"/>
  <c r="S2" i="42" s="1"/>
  <c r="T2" i="42" s="1"/>
  <c r="U2" i="42" s="1"/>
  <c r="V2" i="42" s="1"/>
  <c r="W2" i="42" s="1"/>
  <c r="X2" i="42" s="1"/>
  <c r="Y2" i="42" s="1"/>
  <c r="Z2" i="42" s="1"/>
  <c r="AA2" i="42" s="1"/>
  <c r="AB2" i="42" s="1"/>
  <c r="AC2" i="42" s="1"/>
  <c r="AD2" i="42" s="1"/>
  <c r="AE2" i="42" s="1"/>
  <c r="AF2" i="42" s="1"/>
  <c r="AG2" i="42" s="1"/>
  <c r="AH2" i="42" s="1"/>
  <c r="AI2" i="42" s="1"/>
  <c r="AJ2" i="42" s="1"/>
  <c r="Q9" i="41"/>
  <c r="AR20" i="41"/>
  <c r="AR5" i="41"/>
  <c r="Q5" i="41"/>
  <c r="G18" i="3"/>
  <c r="E18" i="3" s="1"/>
  <c r="F13" i="41"/>
  <c r="P11" i="41" s="1"/>
  <c r="G24" i="3"/>
  <c r="F28" i="41"/>
  <c r="F4" i="41"/>
  <c r="AH5" i="41"/>
  <c r="F5" i="41"/>
  <c r="P5" i="41" s="1"/>
  <c r="Y5" i="41"/>
  <c r="Y23" i="41"/>
  <c r="AH23" i="41"/>
  <c r="G45" i="3"/>
  <c r="E10" i="3"/>
  <c r="G10" i="3" s="1"/>
  <c r="F10" i="41"/>
  <c r="AG23" i="41"/>
  <c r="R13" i="4"/>
  <c r="AG5" i="41"/>
  <c r="E5" i="41"/>
  <c r="O5" i="41" s="1"/>
  <c r="X5" i="41"/>
  <c r="G24" i="4"/>
  <c r="E10" i="41"/>
  <c r="D7" i="4"/>
  <c r="R23" i="4"/>
  <c r="R29" i="4"/>
  <c r="W37" i="4"/>
  <c r="W5" i="4" s="1"/>
  <c r="V5" i="4"/>
  <c r="Q18" i="41"/>
  <c r="C38" i="3"/>
  <c r="G42" i="3"/>
  <c r="C39" i="3"/>
  <c r="S37" i="3"/>
  <c r="C39" i="4"/>
  <c r="G39" i="4" s="1"/>
  <c r="C38" i="4"/>
  <c r="G38" i="4" s="1"/>
  <c r="U5" i="4"/>
  <c r="G17" i="4"/>
  <c r="O23" i="4"/>
  <c r="G19" i="4"/>
  <c r="E19" i="4" s="1"/>
  <c r="E37" i="41"/>
  <c r="O23" i="41" s="1"/>
  <c r="G18" i="4"/>
  <c r="E18" i="4" s="1"/>
  <c r="G17" i="3"/>
  <c r="E17" i="3" s="1"/>
  <c r="U5" i="3"/>
  <c r="R51" i="3"/>
  <c r="R13" i="3"/>
  <c r="D21" i="3"/>
  <c r="S5" i="4"/>
  <c r="G42" i="4"/>
  <c r="R51" i="4"/>
  <c r="D7" i="3"/>
  <c r="V37" i="3"/>
  <c r="V5" i="3" s="1"/>
  <c r="R23" i="3"/>
  <c r="R29" i="3"/>
  <c r="N23" i="3"/>
  <c r="G34" i="3"/>
  <c r="T5" i="3"/>
  <c r="W5" i="3"/>
  <c r="G21" i="3"/>
  <c r="G26" i="3"/>
  <c r="G27" i="3"/>
  <c r="G30" i="3"/>
  <c r="G33" i="3"/>
  <c r="E19" i="3"/>
  <c r="D26" i="3"/>
  <c r="T5" i="4"/>
  <c r="G21" i="4"/>
  <c r="G26" i="4"/>
  <c r="G27" i="4"/>
  <c r="G30" i="4"/>
  <c r="G32" i="4"/>
  <c r="G33" i="4"/>
  <c r="G34" i="4"/>
  <c r="E12" i="4"/>
  <c r="D26" i="4"/>
  <c r="R22" i="41" l="1"/>
  <c r="AR18" i="41"/>
  <c r="G39" i="3"/>
  <c r="Y21" i="41" s="1"/>
  <c r="F29" i="41"/>
  <c r="P18" i="41" s="1"/>
  <c r="Q22" i="41"/>
  <c r="F33" i="41"/>
  <c r="P22" i="41" s="1"/>
  <c r="AK16" i="42"/>
  <c r="H16" i="42" s="1"/>
  <c r="I16" i="42" s="1"/>
  <c r="J16" i="42" s="1"/>
  <c r="K16" i="42" s="1"/>
  <c r="L16" i="42" s="1"/>
  <c r="M16" i="42" s="1"/>
  <c r="N16" i="42" s="1"/>
  <c r="O16" i="42" s="1"/>
  <c r="P16" i="42" s="1"/>
  <c r="Q16" i="42" s="1"/>
  <c r="R16" i="42" s="1"/>
  <c r="S16" i="42" s="1"/>
  <c r="T16" i="42" s="1"/>
  <c r="U16" i="42" s="1"/>
  <c r="V16" i="42" s="1"/>
  <c r="W16" i="42" s="1"/>
  <c r="X16" i="42" s="1"/>
  <c r="Y16" i="42" s="1"/>
  <c r="Z16" i="42" s="1"/>
  <c r="AA16" i="42" s="1"/>
  <c r="AB16" i="42" s="1"/>
  <c r="AC16" i="42" s="1"/>
  <c r="AD16" i="42" s="1"/>
  <c r="AE16" i="42" s="1"/>
  <c r="AF16" i="42" s="1"/>
  <c r="AG16" i="42" s="1"/>
  <c r="AH16" i="42" s="1"/>
  <c r="AI16" i="42" s="1"/>
  <c r="AJ16" i="42" s="1"/>
  <c r="AR4" i="41"/>
  <c r="G2" i="42"/>
  <c r="AR19" i="41"/>
  <c r="Y20" i="41"/>
  <c r="F30" i="41"/>
  <c r="P19" i="41" s="1"/>
  <c r="BJ17" i="41"/>
  <c r="R23" i="41"/>
  <c r="R5" i="41"/>
  <c r="H9" i="41"/>
  <c r="R19" i="41"/>
  <c r="AR17" i="41"/>
  <c r="Q8" i="41"/>
  <c r="G9" i="41"/>
  <c r="I9" i="41" s="1"/>
  <c r="Q4" i="41"/>
  <c r="Q3" i="41" s="1"/>
  <c r="Q29" i="41" s="1"/>
  <c r="G3" i="41"/>
  <c r="I3" i="41" s="1"/>
  <c r="AR14" i="41"/>
  <c r="Q23" i="41"/>
  <c r="P4" i="41"/>
  <c r="P3" i="41" s="1"/>
  <c r="F3" i="41"/>
  <c r="H21" i="3"/>
  <c r="J21" i="3" s="1"/>
  <c r="P23" i="3" s="1"/>
  <c r="G46" i="3"/>
  <c r="P46" i="3" s="1"/>
  <c r="F37" i="41"/>
  <c r="P23" i="41" s="1"/>
  <c r="P17" i="41"/>
  <c r="Y9" i="41"/>
  <c r="AH11" i="41"/>
  <c r="Y11" i="41"/>
  <c r="AH9" i="41"/>
  <c r="AH15" i="41"/>
  <c r="AH14" i="41"/>
  <c r="Y14" i="41"/>
  <c r="AH12" i="41"/>
  <c r="Y10" i="41"/>
  <c r="Y13" i="41"/>
  <c r="Y8" i="41"/>
  <c r="Y15" i="41"/>
  <c r="Y12" i="41"/>
  <c r="AH10" i="41"/>
  <c r="AH13" i="41"/>
  <c r="AH8" i="41"/>
  <c r="Y17" i="41"/>
  <c r="P8" i="41"/>
  <c r="F9" i="41"/>
  <c r="X20" i="41"/>
  <c r="BG18" i="41" s="1"/>
  <c r="E30" i="41"/>
  <c r="O19" i="41" s="1"/>
  <c r="E28" i="41"/>
  <c r="O17" i="41" s="1"/>
  <c r="R5" i="4"/>
  <c r="P41" i="4"/>
  <c r="G43" i="4"/>
  <c r="P43" i="4" s="1"/>
  <c r="X4" i="41" s="1"/>
  <c r="E17" i="4"/>
  <c r="G46" i="4"/>
  <c r="P46" i="4" s="1"/>
  <c r="BH5" i="41"/>
  <c r="AQ5" i="41"/>
  <c r="G4" i="42"/>
  <c r="X10" i="41"/>
  <c r="C2" i="42"/>
  <c r="D2" i="42" s="1"/>
  <c r="E2" i="42" s="1"/>
  <c r="F2" i="42" s="1"/>
  <c r="E9" i="41"/>
  <c r="O8" i="41"/>
  <c r="O7" i="41" s="1"/>
  <c r="X17" i="41"/>
  <c r="X22" i="41"/>
  <c r="X21" i="41"/>
  <c r="E29" i="41"/>
  <c r="E33" i="41"/>
  <c r="O22" i="41" s="1"/>
  <c r="G43" i="3"/>
  <c r="P43" i="3" s="1"/>
  <c r="Y4" i="41" s="1"/>
  <c r="P41" i="3"/>
  <c r="R42" i="3"/>
  <c r="R5" i="3" s="1"/>
  <c r="S5" i="3"/>
  <c r="G38" i="3"/>
  <c r="Y22" i="41" s="1"/>
  <c r="BJ19" i="41"/>
  <c r="F7" i="3"/>
  <c r="H7" i="3"/>
  <c r="H26" i="3"/>
  <c r="J26" i="3" s="1"/>
  <c r="AH19" i="41" s="1"/>
  <c r="H26" i="4"/>
  <c r="J26" i="4" s="1"/>
  <c r="AG21" i="41" s="1"/>
  <c r="BG17" i="41" l="1"/>
  <c r="AQ16" i="41"/>
  <c r="BH17" i="41"/>
  <c r="BI17" i="41"/>
  <c r="AK17" i="42"/>
  <c r="H17" i="42" s="1"/>
  <c r="I17" i="42" s="1"/>
  <c r="J17" i="42" s="1"/>
  <c r="K17" i="42" s="1"/>
  <c r="L17" i="42" s="1"/>
  <c r="M17" i="42" s="1"/>
  <c r="N17" i="42" s="1"/>
  <c r="O17" i="42" s="1"/>
  <c r="P17" i="42" s="1"/>
  <c r="Q17" i="42" s="1"/>
  <c r="R17" i="42" s="1"/>
  <c r="S17" i="42" s="1"/>
  <c r="T17" i="42" s="1"/>
  <c r="U17" i="42" s="1"/>
  <c r="V17" i="42" s="1"/>
  <c r="W17" i="42" s="1"/>
  <c r="X17" i="42" s="1"/>
  <c r="Y17" i="42" s="1"/>
  <c r="Z17" i="42" s="1"/>
  <c r="AA17" i="42" s="1"/>
  <c r="AB17" i="42" s="1"/>
  <c r="AC17" i="42" s="1"/>
  <c r="AD17" i="42" s="1"/>
  <c r="AE17" i="42" s="1"/>
  <c r="AF17" i="42" s="1"/>
  <c r="AG17" i="42" s="1"/>
  <c r="AH17" i="42" s="1"/>
  <c r="AI17" i="42" s="1"/>
  <c r="AJ17" i="42" s="1"/>
  <c r="BI20" i="41"/>
  <c r="G16" i="42"/>
  <c r="AI3" i="41"/>
  <c r="AK3" i="41" s="1"/>
  <c r="BI19" i="41"/>
  <c r="AQ17" i="41"/>
  <c r="BJ18" i="41"/>
  <c r="BJ10" i="41"/>
  <c r="BH18" i="41"/>
  <c r="BH19" i="41"/>
  <c r="AH4" i="41"/>
  <c r="AH3" i="41" s="1"/>
  <c r="AG8" i="41"/>
  <c r="AK4" i="42"/>
  <c r="H4" i="42" s="1"/>
  <c r="I4" i="42" s="1"/>
  <c r="J4" i="42" s="1"/>
  <c r="K4" i="42" s="1"/>
  <c r="L4" i="42" s="1"/>
  <c r="M4" i="42" s="1"/>
  <c r="N4" i="42" s="1"/>
  <c r="O4" i="42" s="1"/>
  <c r="P4" i="42" s="1"/>
  <c r="Q4" i="42" s="1"/>
  <c r="R4" i="42" s="1"/>
  <c r="S4" i="42" s="1"/>
  <c r="T4" i="42" s="1"/>
  <c r="U4" i="42" s="1"/>
  <c r="V4" i="42" s="1"/>
  <c r="W4" i="42" s="1"/>
  <c r="X4" i="42" s="1"/>
  <c r="Y4" i="42" s="1"/>
  <c r="Z4" i="42" s="1"/>
  <c r="AA4" i="42" s="1"/>
  <c r="AB4" i="42" s="1"/>
  <c r="AC4" i="42" s="1"/>
  <c r="AD4" i="42" s="1"/>
  <c r="AE4" i="42" s="1"/>
  <c r="AF4" i="42" s="1"/>
  <c r="AG4" i="42" s="1"/>
  <c r="AH4" i="42" s="1"/>
  <c r="AI4" i="42" s="1"/>
  <c r="AJ4" i="42" s="1"/>
  <c r="R17" i="41"/>
  <c r="AK10" i="42"/>
  <c r="H10" i="42" s="1"/>
  <c r="I10" i="42" s="1"/>
  <c r="J10" i="42" s="1"/>
  <c r="K10" i="42" s="1"/>
  <c r="L10" i="42" s="1"/>
  <c r="M10" i="42" s="1"/>
  <c r="N10" i="42" s="1"/>
  <c r="O10" i="42" s="1"/>
  <c r="P10" i="42" s="1"/>
  <c r="Q10" i="42" s="1"/>
  <c r="R10" i="42" s="1"/>
  <c r="S10" i="42" s="1"/>
  <c r="T10" i="42" s="1"/>
  <c r="U10" i="42" s="1"/>
  <c r="V10" i="42" s="1"/>
  <c r="W10" i="42" s="1"/>
  <c r="X10" i="42" s="1"/>
  <c r="Y10" i="42" s="1"/>
  <c r="Z10" i="42" s="1"/>
  <c r="AA10" i="42" s="1"/>
  <c r="AB10" i="42" s="1"/>
  <c r="AC10" i="42" s="1"/>
  <c r="AD10" i="42" s="1"/>
  <c r="AE10" i="42" s="1"/>
  <c r="AF10" i="42" s="1"/>
  <c r="AG10" i="42" s="1"/>
  <c r="AH10" i="42" s="1"/>
  <c r="AI10" i="42" s="1"/>
  <c r="AJ10" i="42" s="1"/>
  <c r="AK13" i="42"/>
  <c r="H13" i="42" s="1"/>
  <c r="I13" i="42" s="1"/>
  <c r="J13" i="42" s="1"/>
  <c r="K13" i="42" s="1"/>
  <c r="L13" i="42" s="1"/>
  <c r="M13" i="42" s="1"/>
  <c r="N13" i="42" s="1"/>
  <c r="O13" i="42" s="1"/>
  <c r="P13" i="42" s="1"/>
  <c r="Q13" i="42" s="1"/>
  <c r="R13" i="42" s="1"/>
  <c r="S13" i="42" s="1"/>
  <c r="T13" i="42" s="1"/>
  <c r="U13" i="42" s="1"/>
  <c r="V13" i="42" s="1"/>
  <c r="W13" i="42" s="1"/>
  <c r="X13" i="42" s="1"/>
  <c r="Y13" i="42" s="1"/>
  <c r="Z13" i="42" s="1"/>
  <c r="AA13" i="42" s="1"/>
  <c r="AB13" i="42" s="1"/>
  <c r="AC13" i="42" s="1"/>
  <c r="AD13" i="42" s="1"/>
  <c r="AE13" i="42" s="1"/>
  <c r="AF13" i="42" s="1"/>
  <c r="AG13" i="42" s="1"/>
  <c r="AH13" i="42" s="1"/>
  <c r="AI13" i="42" s="1"/>
  <c r="AJ13" i="42" s="1"/>
  <c r="BJ15" i="41"/>
  <c r="R18" i="41"/>
  <c r="BJ6" i="41"/>
  <c r="AA3" i="41"/>
  <c r="AA30" i="41" s="1"/>
  <c r="AK3" i="42"/>
  <c r="H3" i="42" s="1"/>
  <c r="I3" i="42" s="1"/>
  <c r="J3" i="42" s="1"/>
  <c r="K3" i="42" s="1"/>
  <c r="L3" i="42" s="1"/>
  <c r="M3" i="42" s="1"/>
  <c r="N3" i="42" s="1"/>
  <c r="O3" i="42" s="1"/>
  <c r="P3" i="42" s="1"/>
  <c r="Q3" i="42" s="1"/>
  <c r="R3" i="42" s="1"/>
  <c r="S3" i="42" s="1"/>
  <c r="T3" i="42" s="1"/>
  <c r="U3" i="42" s="1"/>
  <c r="V3" i="42" s="1"/>
  <c r="W3" i="42" s="1"/>
  <c r="X3" i="42" s="1"/>
  <c r="Y3" i="42" s="1"/>
  <c r="Z3" i="42" s="1"/>
  <c r="AA3" i="42" s="1"/>
  <c r="AB3" i="42" s="1"/>
  <c r="AC3" i="42" s="1"/>
  <c r="AD3" i="42" s="1"/>
  <c r="AE3" i="42" s="1"/>
  <c r="AF3" i="42" s="1"/>
  <c r="AG3" i="42" s="1"/>
  <c r="AH3" i="42" s="1"/>
  <c r="AI3" i="42" s="1"/>
  <c r="AJ3" i="42" s="1"/>
  <c r="AK5" i="42"/>
  <c r="H5" i="42" s="1"/>
  <c r="I5" i="42" s="1"/>
  <c r="J5" i="42" s="1"/>
  <c r="K5" i="42" s="1"/>
  <c r="L5" i="42" s="1"/>
  <c r="M5" i="42" s="1"/>
  <c r="N5" i="42" s="1"/>
  <c r="O5" i="42" s="1"/>
  <c r="P5" i="42" s="1"/>
  <c r="Q5" i="42" s="1"/>
  <c r="R5" i="42" s="1"/>
  <c r="S5" i="42" s="1"/>
  <c r="T5" i="42" s="1"/>
  <c r="U5" i="42" s="1"/>
  <c r="V5" i="42" s="1"/>
  <c r="W5" i="42" s="1"/>
  <c r="X5" i="42" s="1"/>
  <c r="Y5" i="42" s="1"/>
  <c r="Z5" i="42" s="1"/>
  <c r="AA5" i="42" s="1"/>
  <c r="AB5" i="42" s="1"/>
  <c r="AC5" i="42" s="1"/>
  <c r="AD5" i="42" s="1"/>
  <c r="AE5" i="42" s="1"/>
  <c r="AF5" i="42" s="1"/>
  <c r="AG5" i="42" s="1"/>
  <c r="AH5" i="42" s="1"/>
  <c r="AI5" i="42" s="1"/>
  <c r="AJ5" i="42" s="1"/>
  <c r="AA7" i="41"/>
  <c r="AA37" i="41" s="1"/>
  <c r="AK7" i="42"/>
  <c r="H7" i="42" s="1"/>
  <c r="I7" i="42" s="1"/>
  <c r="J7" i="42" s="1"/>
  <c r="K7" i="42" s="1"/>
  <c r="L7" i="42" s="1"/>
  <c r="M7" i="42" s="1"/>
  <c r="N7" i="42" s="1"/>
  <c r="O7" i="42" s="1"/>
  <c r="P7" i="42" s="1"/>
  <c r="Q7" i="42" s="1"/>
  <c r="R7" i="42" s="1"/>
  <c r="S7" i="42" s="1"/>
  <c r="T7" i="42" s="1"/>
  <c r="U7" i="42" s="1"/>
  <c r="V7" i="42" s="1"/>
  <c r="W7" i="42" s="1"/>
  <c r="X7" i="42" s="1"/>
  <c r="Y7" i="42" s="1"/>
  <c r="Z7" i="42" s="1"/>
  <c r="AA7" i="42" s="1"/>
  <c r="AB7" i="42" s="1"/>
  <c r="AC7" i="42" s="1"/>
  <c r="AD7" i="42" s="1"/>
  <c r="AE7" i="42" s="1"/>
  <c r="AF7" i="42" s="1"/>
  <c r="AG7" i="42" s="1"/>
  <c r="AH7" i="42" s="1"/>
  <c r="AI7" i="42" s="1"/>
  <c r="AJ7" i="42" s="1"/>
  <c r="AK11" i="42"/>
  <c r="H11" i="42" s="1"/>
  <c r="I11" i="42" s="1"/>
  <c r="J11" i="42" s="1"/>
  <c r="K11" i="42" s="1"/>
  <c r="L11" i="42" s="1"/>
  <c r="M11" i="42" s="1"/>
  <c r="N11" i="42" s="1"/>
  <c r="O11" i="42" s="1"/>
  <c r="P11" i="42" s="1"/>
  <c r="Q11" i="42" s="1"/>
  <c r="R11" i="42" s="1"/>
  <c r="S11" i="42" s="1"/>
  <c r="T11" i="42" s="1"/>
  <c r="U11" i="42" s="1"/>
  <c r="V11" i="42" s="1"/>
  <c r="W11" i="42" s="1"/>
  <c r="X11" i="42" s="1"/>
  <c r="Y11" i="42" s="1"/>
  <c r="Z11" i="42" s="1"/>
  <c r="AA11" i="42" s="1"/>
  <c r="AB11" i="42" s="1"/>
  <c r="AC11" i="42" s="1"/>
  <c r="AD11" i="42" s="1"/>
  <c r="AE11" i="42" s="1"/>
  <c r="AF11" i="42" s="1"/>
  <c r="AG11" i="42" s="1"/>
  <c r="AH11" i="42" s="1"/>
  <c r="AI11" i="42" s="1"/>
  <c r="AJ11" i="42" s="1"/>
  <c r="AK8" i="42"/>
  <c r="H8" i="42" s="1"/>
  <c r="I8" i="42" s="1"/>
  <c r="J8" i="42" s="1"/>
  <c r="K8" i="42" s="1"/>
  <c r="L8" i="42" s="1"/>
  <c r="M8" i="42" s="1"/>
  <c r="N8" i="42" s="1"/>
  <c r="O8" i="42" s="1"/>
  <c r="P8" i="42" s="1"/>
  <c r="Q8" i="42" s="1"/>
  <c r="R8" i="42" s="1"/>
  <c r="S8" i="42" s="1"/>
  <c r="T8" i="42" s="1"/>
  <c r="U8" i="42" s="1"/>
  <c r="V8" i="42" s="1"/>
  <c r="W8" i="42" s="1"/>
  <c r="X8" i="42" s="1"/>
  <c r="Y8" i="42" s="1"/>
  <c r="Z8" i="42" s="1"/>
  <c r="AA8" i="42" s="1"/>
  <c r="AB8" i="42" s="1"/>
  <c r="AC8" i="42" s="1"/>
  <c r="AD8" i="42" s="1"/>
  <c r="AE8" i="42" s="1"/>
  <c r="AF8" i="42" s="1"/>
  <c r="AG8" i="42" s="1"/>
  <c r="AH8" i="42" s="1"/>
  <c r="AI8" i="42" s="1"/>
  <c r="AJ8" i="42" s="1"/>
  <c r="H3" i="41"/>
  <c r="AK9" i="42"/>
  <c r="H9" i="42" s="1"/>
  <c r="I9" i="42" s="1"/>
  <c r="J9" i="42" s="1"/>
  <c r="K9" i="42" s="1"/>
  <c r="L9" i="42" s="1"/>
  <c r="M9" i="42" s="1"/>
  <c r="N9" i="42" s="1"/>
  <c r="O9" i="42" s="1"/>
  <c r="P9" i="42" s="1"/>
  <c r="Q9" i="42" s="1"/>
  <c r="R9" i="42" s="1"/>
  <c r="S9" i="42" s="1"/>
  <c r="T9" i="42" s="1"/>
  <c r="U9" i="42" s="1"/>
  <c r="V9" i="42" s="1"/>
  <c r="W9" i="42" s="1"/>
  <c r="X9" i="42" s="1"/>
  <c r="Y9" i="42" s="1"/>
  <c r="Z9" i="42" s="1"/>
  <c r="AA9" i="42" s="1"/>
  <c r="AB9" i="42" s="1"/>
  <c r="AC9" i="42" s="1"/>
  <c r="AD9" i="42" s="1"/>
  <c r="AE9" i="42" s="1"/>
  <c r="AF9" i="42" s="1"/>
  <c r="AG9" i="42" s="1"/>
  <c r="AH9" i="42" s="1"/>
  <c r="AI9" i="42" s="1"/>
  <c r="AJ9" i="42" s="1"/>
  <c r="AJ7" i="41"/>
  <c r="AK12" i="42"/>
  <c r="H12" i="42" s="1"/>
  <c r="I12" i="42" s="1"/>
  <c r="J12" i="42" s="1"/>
  <c r="K12" i="42" s="1"/>
  <c r="L12" i="42" s="1"/>
  <c r="M12" i="42" s="1"/>
  <c r="N12" i="42" s="1"/>
  <c r="O12" i="42" s="1"/>
  <c r="P12" i="42" s="1"/>
  <c r="Q12" i="42" s="1"/>
  <c r="R12" i="42" s="1"/>
  <c r="S12" i="42" s="1"/>
  <c r="T12" i="42" s="1"/>
  <c r="U12" i="42" s="1"/>
  <c r="V12" i="42" s="1"/>
  <c r="W12" i="42" s="1"/>
  <c r="X12" i="42" s="1"/>
  <c r="Y12" i="42" s="1"/>
  <c r="Z12" i="42" s="1"/>
  <c r="AA12" i="42" s="1"/>
  <c r="AB12" i="42" s="1"/>
  <c r="AC12" i="42" s="1"/>
  <c r="AD12" i="42" s="1"/>
  <c r="AE12" i="42" s="1"/>
  <c r="AF12" i="42" s="1"/>
  <c r="AG12" i="42" s="1"/>
  <c r="AH12" i="42" s="1"/>
  <c r="AI12" i="42" s="1"/>
  <c r="AJ12" i="42" s="1"/>
  <c r="AK6" i="42"/>
  <c r="H6" i="42" s="1"/>
  <c r="I6" i="42" s="1"/>
  <c r="J6" i="42" s="1"/>
  <c r="K6" i="42" s="1"/>
  <c r="L6" i="42" s="1"/>
  <c r="M6" i="42" s="1"/>
  <c r="N6" i="42" s="1"/>
  <c r="O6" i="42" s="1"/>
  <c r="P6" i="42" s="1"/>
  <c r="Q6" i="42" s="1"/>
  <c r="R6" i="42" s="1"/>
  <c r="S6" i="42" s="1"/>
  <c r="T6" i="42" s="1"/>
  <c r="U6" i="42" s="1"/>
  <c r="V6" i="42" s="1"/>
  <c r="W6" i="42" s="1"/>
  <c r="X6" i="42" s="1"/>
  <c r="Y6" i="42" s="1"/>
  <c r="Z6" i="42" s="1"/>
  <c r="AA6" i="42" s="1"/>
  <c r="AB6" i="42" s="1"/>
  <c r="AC6" i="42" s="1"/>
  <c r="AD6" i="42" s="1"/>
  <c r="AE6" i="42" s="1"/>
  <c r="AF6" i="42" s="1"/>
  <c r="AG6" i="42" s="1"/>
  <c r="AH6" i="42" s="1"/>
  <c r="AI6" i="42" s="1"/>
  <c r="AJ6" i="42" s="1"/>
  <c r="R7" i="41"/>
  <c r="BJ12" i="41"/>
  <c r="AK18" i="42"/>
  <c r="H18" i="42" s="1"/>
  <c r="I18" i="42" s="1"/>
  <c r="J18" i="42" s="1"/>
  <c r="K18" i="42" s="1"/>
  <c r="L18" i="42" s="1"/>
  <c r="M18" i="42" s="1"/>
  <c r="N18" i="42" s="1"/>
  <c r="O18" i="42" s="1"/>
  <c r="P18" i="42" s="1"/>
  <c r="Q18" i="42" s="1"/>
  <c r="R18" i="42" s="1"/>
  <c r="S18" i="42" s="1"/>
  <c r="T18" i="42" s="1"/>
  <c r="U18" i="42" s="1"/>
  <c r="V18" i="42" s="1"/>
  <c r="W18" i="42" s="1"/>
  <c r="X18" i="42" s="1"/>
  <c r="Y18" i="42" s="1"/>
  <c r="Z18" i="42" s="1"/>
  <c r="AA18" i="42" s="1"/>
  <c r="AB18" i="42" s="1"/>
  <c r="AC18" i="42" s="1"/>
  <c r="AD18" i="42" s="1"/>
  <c r="AE18" i="42" s="1"/>
  <c r="AF18" i="42" s="1"/>
  <c r="AG18" i="42" s="1"/>
  <c r="AH18" i="42" s="1"/>
  <c r="AI18" i="42" s="1"/>
  <c r="AJ18" i="42" s="1"/>
  <c r="BJ20" i="41"/>
  <c r="AK15" i="42"/>
  <c r="H15" i="42" s="1"/>
  <c r="I15" i="42" s="1"/>
  <c r="J15" i="42" s="1"/>
  <c r="K15" i="42" s="1"/>
  <c r="L15" i="42" s="1"/>
  <c r="M15" i="42" s="1"/>
  <c r="N15" i="42" s="1"/>
  <c r="O15" i="42" s="1"/>
  <c r="P15" i="42" s="1"/>
  <c r="Q15" i="42" s="1"/>
  <c r="R15" i="42" s="1"/>
  <c r="S15" i="42" s="1"/>
  <c r="T15" i="42" s="1"/>
  <c r="U15" i="42" s="1"/>
  <c r="V15" i="42" s="1"/>
  <c r="W15" i="42" s="1"/>
  <c r="X15" i="42" s="1"/>
  <c r="Y15" i="42" s="1"/>
  <c r="Z15" i="42" s="1"/>
  <c r="AA15" i="42" s="1"/>
  <c r="AB15" i="42" s="1"/>
  <c r="AC15" i="42" s="1"/>
  <c r="AD15" i="42" s="1"/>
  <c r="AE15" i="42" s="1"/>
  <c r="AF15" i="42" s="1"/>
  <c r="AG15" i="42" s="1"/>
  <c r="AH15" i="42" s="1"/>
  <c r="AI15" i="42" s="1"/>
  <c r="AJ15" i="42" s="1"/>
  <c r="AJ3" i="41"/>
  <c r="AL3" i="41" s="1"/>
  <c r="BI15" i="41"/>
  <c r="BI18" i="41"/>
  <c r="Q16" i="41"/>
  <c r="Q42" i="41" s="1"/>
  <c r="Z3" i="41"/>
  <c r="Z29" i="41" s="1"/>
  <c r="AR10" i="41"/>
  <c r="AR9" i="41"/>
  <c r="Q7" i="41"/>
  <c r="Q33" i="41" s="1"/>
  <c r="AR13" i="41"/>
  <c r="AR11" i="41"/>
  <c r="AR6" i="41"/>
  <c r="AR12" i="41"/>
  <c r="Q30" i="41"/>
  <c r="AR8" i="41"/>
  <c r="Y3" i="41"/>
  <c r="Y29" i="41" s="1"/>
  <c r="P26" i="3"/>
  <c r="AH20" i="41"/>
  <c r="AH22" i="41"/>
  <c r="AH21" i="41"/>
  <c r="P7" i="41"/>
  <c r="BH20" i="41"/>
  <c r="AH7" i="41"/>
  <c r="AH36" i="41" s="1"/>
  <c r="P16" i="41"/>
  <c r="P42" i="41" s="1"/>
  <c r="AH17" i="41"/>
  <c r="Y7" i="41"/>
  <c r="Y37" i="41" s="1"/>
  <c r="F27" i="41"/>
  <c r="F2" i="41" s="1"/>
  <c r="P29" i="41"/>
  <c r="P30" i="41"/>
  <c r="AG14" i="41"/>
  <c r="X15" i="41"/>
  <c r="AQ13" i="41" s="1"/>
  <c r="E4" i="41"/>
  <c r="O4" i="41" s="1"/>
  <c r="O3" i="41" s="1"/>
  <c r="AG4" i="41"/>
  <c r="AG3" i="41" s="1"/>
  <c r="AG30" i="41" s="1"/>
  <c r="G7" i="42"/>
  <c r="G13" i="42"/>
  <c r="BH14" i="41"/>
  <c r="AQ14" i="41"/>
  <c r="BR6" i="41"/>
  <c r="BR10" i="41"/>
  <c r="BR11" i="41"/>
  <c r="BR13" i="41"/>
  <c r="BR12" i="41"/>
  <c r="BR8" i="41"/>
  <c r="BH8" i="41" s="1"/>
  <c r="BR9" i="41"/>
  <c r="BR7" i="41"/>
  <c r="AG10" i="41"/>
  <c r="X11" i="41"/>
  <c r="X12" i="41"/>
  <c r="AG15" i="41"/>
  <c r="AY21" i="41"/>
  <c r="C4" i="42"/>
  <c r="BH4" i="41"/>
  <c r="X3" i="41"/>
  <c r="X30" i="41" s="1"/>
  <c r="G3" i="42"/>
  <c r="G44" i="42" s="1"/>
  <c r="AQ4" i="41"/>
  <c r="P26" i="4"/>
  <c r="AG20" i="41"/>
  <c r="H7" i="4"/>
  <c r="J7" i="4" s="1"/>
  <c r="P7" i="4" s="1"/>
  <c r="AG22" i="41"/>
  <c r="AG11" i="41"/>
  <c r="X13" i="41"/>
  <c r="AG13" i="41"/>
  <c r="X9" i="41"/>
  <c r="O33" i="41"/>
  <c r="O37" i="41"/>
  <c r="O38" i="41"/>
  <c r="O39" i="41"/>
  <c r="O40" i="41"/>
  <c r="O35" i="41"/>
  <c r="O34" i="41"/>
  <c r="O36" i="41"/>
  <c r="G15" i="42"/>
  <c r="F7" i="4"/>
  <c r="AG12" i="41"/>
  <c r="X8" i="41"/>
  <c r="X14" i="41"/>
  <c r="AG9" i="41"/>
  <c r="AG19" i="41"/>
  <c r="AQ8" i="41"/>
  <c r="AQ18" i="41"/>
  <c r="G17" i="42"/>
  <c r="BG19" i="41"/>
  <c r="E27" i="41"/>
  <c r="O18" i="41"/>
  <c r="AQ19" i="41"/>
  <c r="BG20" i="41"/>
  <c r="G18" i="42"/>
  <c r="G37" i="4"/>
  <c r="J7" i="3"/>
  <c r="P7" i="3" s="1"/>
  <c r="AJ34" i="41" l="1"/>
  <c r="AL7" i="41"/>
  <c r="G2" i="41"/>
  <c r="AS9" i="41"/>
  <c r="BJ7" i="41"/>
  <c r="Q43" i="42"/>
  <c r="Q44" i="42"/>
  <c r="Q45" i="41"/>
  <c r="C16" i="42"/>
  <c r="D16" i="42" s="1"/>
  <c r="E16" i="42" s="1"/>
  <c r="F16" i="42" s="1"/>
  <c r="AA40" i="41"/>
  <c r="AK43" i="42"/>
  <c r="AA34" i="41"/>
  <c r="AK46" i="42"/>
  <c r="Y35" i="41"/>
  <c r="Q2" i="41"/>
  <c r="Q24" i="41" s="1"/>
  <c r="G12" i="42"/>
  <c r="C12" i="42" s="1"/>
  <c r="V43" i="42"/>
  <c r="V44" i="42"/>
  <c r="BI12" i="41"/>
  <c r="E3" i="41"/>
  <c r="E2" i="41" s="1"/>
  <c r="Q43" i="41"/>
  <c r="AH40" i="41"/>
  <c r="P43" i="41"/>
  <c r="AH37" i="41"/>
  <c r="AH35" i="41"/>
  <c r="AH34" i="41"/>
  <c r="AH33" i="41"/>
  <c r="AH38" i="41"/>
  <c r="AS15" i="41"/>
  <c r="R37" i="41"/>
  <c r="R38" i="41"/>
  <c r="R33" i="41"/>
  <c r="R39" i="41"/>
  <c r="R35" i="41"/>
  <c r="R36" i="41"/>
  <c r="R40" i="41"/>
  <c r="AK52" i="42"/>
  <c r="AK49" i="42"/>
  <c r="AJ39" i="41"/>
  <c r="AK51" i="42"/>
  <c r="BJ5" i="41"/>
  <c r="AA29" i="41"/>
  <c r="AA38" i="41"/>
  <c r="AJ30" i="41"/>
  <c r="R3" i="41"/>
  <c r="R30" i="41" s="1"/>
  <c r="AK47" i="42"/>
  <c r="AJ29" i="41"/>
  <c r="AJ33" i="41"/>
  <c r="AJ35" i="41"/>
  <c r="AA36" i="41"/>
  <c r="AA35" i="41"/>
  <c r="AK45" i="42"/>
  <c r="R16" i="41"/>
  <c r="AK50" i="42"/>
  <c r="AJ40" i="41"/>
  <c r="AK48" i="42"/>
  <c r="AJ37" i="41"/>
  <c r="R34" i="41"/>
  <c r="AJ36" i="41"/>
  <c r="AA39" i="41"/>
  <c r="AA33" i="41"/>
  <c r="AJ38" i="41"/>
  <c r="AK44" i="42"/>
  <c r="AI30" i="41"/>
  <c r="BI11" i="41"/>
  <c r="Q47" i="41"/>
  <c r="BI8" i="41"/>
  <c r="BI6" i="41"/>
  <c r="AI7" i="41"/>
  <c r="AK7" i="41" s="1"/>
  <c r="Z7" i="41"/>
  <c r="BI5" i="41" s="1"/>
  <c r="Z30" i="41"/>
  <c r="BI13" i="41"/>
  <c r="AI16" i="41"/>
  <c r="AK16" i="41" s="1"/>
  <c r="AR15" i="41"/>
  <c r="Q46" i="41"/>
  <c r="Q44" i="41"/>
  <c r="AI29" i="41"/>
  <c r="Q38" i="41"/>
  <c r="Q39" i="41"/>
  <c r="Q37" i="41"/>
  <c r="Q40" i="41"/>
  <c r="Q35" i="41"/>
  <c r="Q36" i="41"/>
  <c r="Q34" i="41"/>
  <c r="BI10" i="41"/>
  <c r="W43" i="42"/>
  <c r="P39" i="41"/>
  <c r="P37" i="41"/>
  <c r="P38" i="41"/>
  <c r="P40" i="41"/>
  <c r="P35" i="41"/>
  <c r="P34" i="41"/>
  <c r="P36" i="41"/>
  <c r="L46" i="42"/>
  <c r="P2" i="41"/>
  <c r="Y36" i="41"/>
  <c r="L45" i="42"/>
  <c r="L52" i="42"/>
  <c r="AH39" i="41"/>
  <c r="L51" i="42"/>
  <c r="AH30" i="41"/>
  <c r="L49" i="42"/>
  <c r="Y39" i="41"/>
  <c r="Y33" i="41"/>
  <c r="P46" i="41"/>
  <c r="P45" i="41"/>
  <c r="P47" i="41"/>
  <c r="P44" i="41"/>
  <c r="Y40" i="41"/>
  <c r="P33" i="41"/>
  <c r="AH29" i="41"/>
  <c r="L50" i="42"/>
  <c r="Y30" i="41"/>
  <c r="Y34" i="41"/>
  <c r="L47" i="42"/>
  <c r="Y38" i="41"/>
  <c r="F40" i="41"/>
  <c r="F46" i="41"/>
  <c r="L48" i="42"/>
  <c r="BH13" i="41"/>
  <c r="X29" i="41"/>
  <c r="AG29" i="41"/>
  <c r="BH12" i="41"/>
  <c r="BH6" i="41"/>
  <c r="BH10" i="41"/>
  <c r="G8" i="42"/>
  <c r="AQ9" i="41"/>
  <c r="C13" i="42"/>
  <c r="D13" i="42" s="1"/>
  <c r="E13" i="42" s="1"/>
  <c r="F13" i="42" s="1"/>
  <c r="G6" i="42"/>
  <c r="G43" i="42"/>
  <c r="C3" i="42"/>
  <c r="O29" i="41"/>
  <c r="O30" i="41"/>
  <c r="AQ12" i="41"/>
  <c r="G11" i="42"/>
  <c r="BR21" i="41"/>
  <c r="BI7" i="41"/>
  <c r="AQ7" i="41"/>
  <c r="AR7" i="41" s="1"/>
  <c r="X7" i="41"/>
  <c r="X38" i="41" s="1"/>
  <c r="G5" i="42"/>
  <c r="AQ6" i="41"/>
  <c r="C15" i="42"/>
  <c r="D15" i="42" s="1"/>
  <c r="E15" i="42" s="1"/>
  <c r="F15" i="42" s="1"/>
  <c r="BH11" i="41"/>
  <c r="AQ11" i="41"/>
  <c r="G10" i="42"/>
  <c r="D4" i="42"/>
  <c r="E4" i="42" s="1"/>
  <c r="AQ10" i="41"/>
  <c r="G9" i="42"/>
  <c r="BH9" i="41"/>
  <c r="BI9" i="41"/>
  <c r="C7" i="42"/>
  <c r="AG7" i="41"/>
  <c r="C17" i="42"/>
  <c r="P37" i="4"/>
  <c r="AG18" i="41"/>
  <c r="X18" i="41"/>
  <c r="C18" i="42"/>
  <c r="O16" i="41"/>
  <c r="R44" i="42"/>
  <c r="R43" i="42"/>
  <c r="L44" i="42"/>
  <c r="L43" i="42"/>
  <c r="G37" i="3"/>
  <c r="H2" i="41" l="1"/>
  <c r="H38" i="41" s="1"/>
  <c r="G46" i="41"/>
  <c r="I2" i="41"/>
  <c r="G38" i="41"/>
  <c r="G40" i="41"/>
  <c r="AI39" i="41"/>
  <c r="AI2" i="41"/>
  <c r="AK2" i="41" s="1"/>
  <c r="AS7" i="41"/>
  <c r="H40" i="41"/>
  <c r="R29" i="41"/>
  <c r="AI37" i="41"/>
  <c r="W44" i="42"/>
  <c r="AI46" i="41"/>
  <c r="AI47" i="41"/>
  <c r="Z34" i="41"/>
  <c r="Z40" i="41"/>
  <c r="AI34" i="41"/>
  <c r="Z38" i="41"/>
  <c r="E46" i="41"/>
  <c r="E40" i="41"/>
  <c r="H46" i="41"/>
  <c r="R46" i="41"/>
  <c r="R47" i="41"/>
  <c r="R45" i="41"/>
  <c r="R44" i="41"/>
  <c r="R43" i="41"/>
  <c r="BJ16" i="41"/>
  <c r="AK14" i="42"/>
  <c r="AA16" i="41"/>
  <c r="R42" i="41"/>
  <c r="R2" i="41"/>
  <c r="R24" i="41" s="1"/>
  <c r="Q48" i="42"/>
  <c r="Q45" i="42"/>
  <c r="AI44" i="41"/>
  <c r="AI38" i="41"/>
  <c r="AI35" i="41"/>
  <c r="Q47" i="42"/>
  <c r="Q46" i="42"/>
  <c r="AI33" i="41"/>
  <c r="Z36" i="41"/>
  <c r="Z39" i="41"/>
  <c r="Q50" i="42"/>
  <c r="Z35" i="41"/>
  <c r="X43" i="42"/>
  <c r="BI16" i="41"/>
  <c r="Q49" i="42"/>
  <c r="Q52" i="42"/>
  <c r="X44" i="42"/>
  <c r="Q51" i="42"/>
  <c r="AI36" i="41"/>
  <c r="AI43" i="41"/>
  <c r="Z37" i="41"/>
  <c r="Z33" i="41"/>
  <c r="AI42" i="41"/>
  <c r="AI45" i="41"/>
  <c r="AI40" i="41"/>
  <c r="Y18" i="41"/>
  <c r="AH18" i="41"/>
  <c r="AG33" i="41"/>
  <c r="AG39" i="41"/>
  <c r="X40" i="41"/>
  <c r="X35" i="41"/>
  <c r="AG40" i="41"/>
  <c r="D3" i="42"/>
  <c r="C43" i="42"/>
  <c r="AG34" i="41"/>
  <c r="C8" i="42"/>
  <c r="G48" i="42"/>
  <c r="C44" i="42"/>
  <c r="AG38" i="41"/>
  <c r="AG35" i="41"/>
  <c r="X36" i="41"/>
  <c r="G47" i="42"/>
  <c r="X37" i="41"/>
  <c r="F4" i="42"/>
  <c r="C5" i="42"/>
  <c r="G45" i="42"/>
  <c r="D12" i="42"/>
  <c r="C11" i="42"/>
  <c r="G51" i="42"/>
  <c r="C6" i="42"/>
  <c r="G46" i="42"/>
  <c r="AG36" i="41"/>
  <c r="D7" i="42"/>
  <c r="C9" i="42"/>
  <c r="G49" i="42"/>
  <c r="C10" i="42"/>
  <c r="D10" i="42" s="1"/>
  <c r="G50" i="42"/>
  <c r="X33" i="41"/>
  <c r="G52" i="42"/>
  <c r="X39" i="41"/>
  <c r="X34" i="41"/>
  <c r="AG37" i="41"/>
  <c r="O46" i="41"/>
  <c r="O42" i="41"/>
  <c r="O45" i="41"/>
  <c r="O44" i="41"/>
  <c r="O2" i="41"/>
  <c r="O47" i="41"/>
  <c r="D18" i="42"/>
  <c r="O43" i="41"/>
  <c r="AQ15" i="41"/>
  <c r="X16" i="41"/>
  <c r="X43" i="41" s="1"/>
  <c r="G14" i="42"/>
  <c r="BH15" i="41"/>
  <c r="BG16" i="41"/>
  <c r="D17" i="42"/>
  <c r="S44" i="42"/>
  <c r="S43" i="42"/>
  <c r="H43" i="42"/>
  <c r="H44" i="42"/>
  <c r="M44" i="42"/>
  <c r="M43" i="42"/>
  <c r="C5" i="3"/>
  <c r="D36" i="3"/>
  <c r="H14" i="42" l="1"/>
  <c r="I14" i="42" s="1"/>
  <c r="J14" i="42" s="1"/>
  <c r="K14" i="42" s="1"/>
  <c r="L14" i="42" s="1"/>
  <c r="M14" i="42" s="1"/>
  <c r="N14" i="42" s="1"/>
  <c r="O14" i="42" s="1"/>
  <c r="P14" i="42" s="1"/>
  <c r="Q14" i="42" s="1"/>
  <c r="R14" i="42" s="1"/>
  <c r="S14" i="42" s="1"/>
  <c r="T14" i="42" s="1"/>
  <c r="U14" i="42" s="1"/>
  <c r="V14" i="42" s="1"/>
  <c r="W14" i="42" s="1"/>
  <c r="X14" i="42" s="1"/>
  <c r="Y14" i="42" s="1"/>
  <c r="Z14" i="42" s="1"/>
  <c r="AA14" i="42" s="1"/>
  <c r="AB14" i="42" s="1"/>
  <c r="AC14" i="42" s="1"/>
  <c r="AD14" i="42" s="1"/>
  <c r="AE14" i="42" s="1"/>
  <c r="AF14" i="42" s="1"/>
  <c r="AG14" i="42" s="1"/>
  <c r="AH14" i="42" s="1"/>
  <c r="AI14" i="42" s="1"/>
  <c r="AJ14" i="42" s="1"/>
  <c r="AI24" i="41"/>
  <c r="Z43" i="41"/>
  <c r="M49" i="42"/>
  <c r="R48" i="42"/>
  <c r="M52" i="42"/>
  <c r="M50" i="42"/>
  <c r="M48" i="42"/>
  <c r="M47" i="42"/>
  <c r="BJ14" i="41"/>
  <c r="AA46" i="41"/>
  <c r="AA45" i="41"/>
  <c r="AA42" i="41"/>
  <c r="AA47" i="41"/>
  <c r="AA44" i="41"/>
  <c r="AA2" i="41"/>
  <c r="AA24" i="41" s="1"/>
  <c r="AK54" i="42"/>
  <c r="AK57" i="42"/>
  <c r="AK55" i="42"/>
  <c r="AK56" i="42"/>
  <c r="AK58" i="42"/>
  <c r="AK53" i="42"/>
  <c r="AJ44" i="41"/>
  <c r="AJ42" i="41"/>
  <c r="AJ47" i="41"/>
  <c r="AJ46" i="41"/>
  <c r="AJ2" i="41"/>
  <c r="AJ45" i="41"/>
  <c r="AA43" i="41"/>
  <c r="AJ43" i="41"/>
  <c r="M46" i="42"/>
  <c r="M45" i="42"/>
  <c r="Y44" i="42"/>
  <c r="R51" i="42"/>
  <c r="BI14" i="41"/>
  <c r="Z47" i="41"/>
  <c r="Z44" i="41"/>
  <c r="Z46" i="41"/>
  <c r="Z42" i="41"/>
  <c r="Z45" i="41"/>
  <c r="Z2" i="41"/>
  <c r="Z24" i="41" s="1"/>
  <c r="R46" i="42"/>
  <c r="M51" i="42"/>
  <c r="N49" i="42"/>
  <c r="R52" i="42"/>
  <c r="Q58" i="42"/>
  <c r="Q55" i="42"/>
  <c r="Q53" i="42"/>
  <c r="Q56" i="42"/>
  <c r="R50" i="42"/>
  <c r="R47" i="42"/>
  <c r="Y43" i="42"/>
  <c r="R45" i="42"/>
  <c r="R49" i="42"/>
  <c r="AH16" i="41"/>
  <c r="AH43" i="41" s="1"/>
  <c r="F47" i="41"/>
  <c r="F38" i="41"/>
  <c r="P24" i="41"/>
  <c r="BH16" i="41"/>
  <c r="Y16" i="41"/>
  <c r="Y43" i="41" s="1"/>
  <c r="E7" i="42"/>
  <c r="H46" i="42"/>
  <c r="E12" i="42"/>
  <c r="H45" i="42"/>
  <c r="D8" i="42"/>
  <c r="C48" i="42"/>
  <c r="D44" i="42"/>
  <c r="D43" i="42"/>
  <c r="E3" i="42"/>
  <c r="D9" i="42"/>
  <c r="C49" i="42"/>
  <c r="C52" i="42"/>
  <c r="H48" i="42"/>
  <c r="E10" i="42"/>
  <c r="H49" i="42"/>
  <c r="D11" i="42"/>
  <c r="C51" i="42"/>
  <c r="H47" i="42"/>
  <c r="H52" i="42"/>
  <c r="H50" i="42"/>
  <c r="C47" i="42"/>
  <c r="C50" i="42"/>
  <c r="D6" i="42"/>
  <c r="C46" i="42"/>
  <c r="H51" i="42"/>
  <c r="D5" i="42"/>
  <c r="C45" i="42"/>
  <c r="E17" i="42"/>
  <c r="G55" i="42"/>
  <c r="C14" i="42"/>
  <c r="G53" i="42"/>
  <c r="G54" i="42"/>
  <c r="G56" i="42"/>
  <c r="G58" i="42"/>
  <c r="G57" i="42"/>
  <c r="E18" i="42"/>
  <c r="X45" i="41"/>
  <c r="X44" i="41"/>
  <c r="X2" i="41"/>
  <c r="X24" i="41" s="1"/>
  <c r="X42" i="41"/>
  <c r="X47" i="41"/>
  <c r="X46" i="41"/>
  <c r="T44" i="42"/>
  <c r="T43" i="42"/>
  <c r="N43" i="42"/>
  <c r="N44" i="42"/>
  <c r="I44" i="42"/>
  <c r="I43" i="42"/>
  <c r="H36" i="3"/>
  <c r="P37" i="3"/>
  <c r="P5" i="3" s="1"/>
  <c r="D21" i="4"/>
  <c r="H21" i="4"/>
  <c r="J21" i="4" s="1"/>
  <c r="P23" i="4" s="1"/>
  <c r="Q57" i="42" l="1"/>
  <c r="Q54" i="42"/>
  <c r="AJ24" i="41"/>
  <c r="AL2" i="41"/>
  <c r="S48" i="42"/>
  <c r="N45" i="42"/>
  <c r="N52" i="42"/>
  <c r="N48" i="42"/>
  <c r="N51" i="42"/>
  <c r="O51" i="42"/>
  <c r="N50" i="42"/>
  <c r="N46" i="42"/>
  <c r="N47" i="42"/>
  <c r="I47" i="42"/>
  <c r="S52" i="42"/>
  <c r="S45" i="42"/>
  <c r="Z43" i="42"/>
  <c r="S47" i="42"/>
  <c r="Z44" i="42"/>
  <c r="S49" i="42"/>
  <c r="R54" i="42"/>
  <c r="R55" i="42"/>
  <c r="R53" i="42"/>
  <c r="R56" i="42"/>
  <c r="R57" i="42"/>
  <c r="R58" i="42"/>
  <c r="S46" i="42"/>
  <c r="S50" i="42"/>
  <c r="S51" i="42"/>
  <c r="L54" i="42"/>
  <c r="L57" i="42"/>
  <c r="L58" i="42"/>
  <c r="L53" i="42"/>
  <c r="L56" i="42"/>
  <c r="L55" i="42"/>
  <c r="AH44" i="41"/>
  <c r="AH45" i="41"/>
  <c r="AH47" i="41"/>
  <c r="AH2" i="41"/>
  <c r="AH24" i="41" s="1"/>
  <c r="AH42" i="41"/>
  <c r="AH46" i="41"/>
  <c r="Y46" i="41"/>
  <c r="Y45" i="41"/>
  <c r="Y47" i="41"/>
  <c r="Y42" i="41"/>
  <c r="Y44" i="41"/>
  <c r="Y2" i="41"/>
  <c r="Y24" i="41" s="1"/>
  <c r="I50" i="42"/>
  <c r="I48" i="42"/>
  <c r="E5" i="42"/>
  <c r="D45" i="42"/>
  <c r="E6" i="42"/>
  <c r="D46" i="42"/>
  <c r="D50" i="42"/>
  <c r="I45" i="42"/>
  <c r="I46" i="42"/>
  <c r="I52" i="42"/>
  <c r="E11" i="42"/>
  <c r="D51" i="42"/>
  <c r="F10" i="42"/>
  <c r="E9" i="42"/>
  <c r="D49" i="42"/>
  <c r="D52" i="42"/>
  <c r="D47" i="42"/>
  <c r="I51" i="42"/>
  <c r="I49" i="42"/>
  <c r="F3" i="42"/>
  <c r="E43" i="42"/>
  <c r="E44" i="42"/>
  <c r="E8" i="42"/>
  <c r="D48" i="42"/>
  <c r="F12" i="42"/>
  <c r="F7" i="42"/>
  <c r="F18" i="42"/>
  <c r="D14" i="42"/>
  <c r="C53" i="42"/>
  <c r="C54" i="42"/>
  <c r="C56" i="42"/>
  <c r="C55" i="42"/>
  <c r="C57" i="42"/>
  <c r="C58" i="42"/>
  <c r="H55" i="42"/>
  <c r="H54" i="42"/>
  <c r="H56" i="42"/>
  <c r="H53" i="42"/>
  <c r="H58" i="42"/>
  <c r="H57" i="42"/>
  <c r="F17" i="42"/>
  <c r="U43" i="42"/>
  <c r="U44" i="42"/>
  <c r="J44" i="42"/>
  <c r="J43" i="42"/>
  <c r="O43" i="42"/>
  <c r="O44" i="42"/>
  <c r="P5" i="4"/>
  <c r="T48" i="42" l="1"/>
  <c r="P45" i="42"/>
  <c r="O49" i="42"/>
  <c r="O46" i="42"/>
  <c r="O52" i="42"/>
  <c r="O48" i="42"/>
  <c r="O50" i="42"/>
  <c r="O45" i="42"/>
  <c r="O47" i="42"/>
  <c r="T50" i="42"/>
  <c r="S54" i="42"/>
  <c r="S55" i="42"/>
  <c r="S58" i="42"/>
  <c r="S56" i="42"/>
  <c r="S53" i="42"/>
  <c r="S57" i="42"/>
  <c r="AA44" i="42"/>
  <c r="AA43" i="42"/>
  <c r="T46" i="42"/>
  <c r="T51" i="42"/>
  <c r="T49" i="42"/>
  <c r="T47" i="42"/>
  <c r="T45" i="42"/>
  <c r="T52" i="42"/>
  <c r="M58" i="42"/>
  <c r="M57" i="42"/>
  <c r="M54" i="42"/>
  <c r="M55" i="42"/>
  <c r="M56" i="42"/>
  <c r="M53" i="42"/>
  <c r="P52" i="42"/>
  <c r="E48" i="42"/>
  <c r="F8" i="42"/>
  <c r="F9" i="42"/>
  <c r="E49" i="42"/>
  <c r="J45" i="42"/>
  <c r="J49" i="42"/>
  <c r="J47" i="42"/>
  <c r="E50" i="42"/>
  <c r="F5" i="42"/>
  <c r="E45" i="42"/>
  <c r="E52" i="42"/>
  <c r="J46" i="42"/>
  <c r="E47" i="42"/>
  <c r="F43" i="42"/>
  <c r="F44" i="42"/>
  <c r="J52" i="42"/>
  <c r="J51" i="42"/>
  <c r="F11" i="42"/>
  <c r="E51" i="42"/>
  <c r="E46" i="42"/>
  <c r="F6" i="42"/>
  <c r="J48" i="42"/>
  <c r="J50" i="42"/>
  <c r="E14" i="42"/>
  <c r="D53" i="42"/>
  <c r="D56" i="42"/>
  <c r="D54" i="42"/>
  <c r="D55" i="42"/>
  <c r="D57" i="42"/>
  <c r="D58" i="42"/>
  <c r="I54" i="42"/>
  <c r="I53" i="42"/>
  <c r="I55" i="42"/>
  <c r="I56" i="42"/>
  <c r="I58" i="42"/>
  <c r="I57" i="42"/>
  <c r="P44" i="42"/>
  <c r="P43" i="42"/>
  <c r="K43" i="42"/>
  <c r="K44" i="42"/>
  <c r="D36" i="4"/>
  <c r="C5" i="4"/>
  <c r="G45" i="4"/>
  <c r="P47" i="42" l="1"/>
  <c r="P49" i="42"/>
  <c r="P51" i="42"/>
  <c r="P46" i="42"/>
  <c r="P50" i="42"/>
  <c r="P48" i="42"/>
  <c r="K50" i="42"/>
  <c r="U52" i="42"/>
  <c r="U47" i="42"/>
  <c r="T54" i="42"/>
  <c r="T55" i="42"/>
  <c r="T58" i="42"/>
  <c r="T53" i="42"/>
  <c r="T57" i="42"/>
  <c r="T56" i="42"/>
  <c r="U50" i="42"/>
  <c r="U46" i="42"/>
  <c r="AB44" i="42"/>
  <c r="U45" i="42"/>
  <c r="U49" i="42"/>
  <c r="U51" i="42"/>
  <c r="U48" i="42"/>
  <c r="AB43" i="42"/>
  <c r="N56" i="42"/>
  <c r="N57" i="42"/>
  <c r="N54" i="42"/>
  <c r="N53" i="42"/>
  <c r="N55" i="42"/>
  <c r="N58" i="42"/>
  <c r="F49" i="42"/>
  <c r="K46" i="42"/>
  <c r="K51" i="42"/>
  <c r="K45" i="42"/>
  <c r="F47" i="42"/>
  <c r="K52" i="42"/>
  <c r="H36" i="4"/>
  <c r="AG17" i="41"/>
  <c r="K48" i="42"/>
  <c r="F51" i="42"/>
  <c r="K47" i="42"/>
  <c r="F52" i="42"/>
  <c r="F50" i="42"/>
  <c r="F48" i="42"/>
  <c r="F46" i="42"/>
  <c r="K49" i="42"/>
  <c r="F45" i="42"/>
  <c r="E47" i="41"/>
  <c r="E38" i="41"/>
  <c r="O24" i="41"/>
  <c r="J56" i="42"/>
  <c r="J55" i="42"/>
  <c r="J53" i="42"/>
  <c r="J54" i="42"/>
  <c r="J58" i="42"/>
  <c r="J57" i="42"/>
  <c r="E55" i="42"/>
  <c r="E56" i="42"/>
  <c r="E53" i="42"/>
  <c r="E54" i="42"/>
  <c r="F14" i="42"/>
  <c r="E57" i="42"/>
  <c r="E58" i="42"/>
  <c r="V48" i="42" l="1"/>
  <c r="V51" i="42"/>
  <c r="V45" i="42"/>
  <c r="AC44" i="42"/>
  <c r="V46" i="42"/>
  <c r="AC43" i="42"/>
  <c r="U54" i="42"/>
  <c r="U58" i="42"/>
  <c r="U55" i="42"/>
  <c r="U53" i="42"/>
  <c r="U57" i="42"/>
  <c r="U56" i="42"/>
  <c r="V47" i="42"/>
  <c r="V49" i="42"/>
  <c r="V50" i="42"/>
  <c r="V52" i="42"/>
  <c r="O54" i="42"/>
  <c r="O56" i="42"/>
  <c r="O58" i="42"/>
  <c r="O53" i="42"/>
  <c r="O57" i="42"/>
  <c r="O55" i="42"/>
  <c r="AG16" i="41"/>
  <c r="AG42" i="41" s="1"/>
  <c r="K53" i="42"/>
  <c r="K54" i="42"/>
  <c r="K55" i="42"/>
  <c r="K56" i="42"/>
  <c r="K58" i="42"/>
  <c r="K57" i="42"/>
  <c r="F54" i="42"/>
  <c r="F56" i="42"/>
  <c r="F55" i="42"/>
  <c r="F53" i="42"/>
  <c r="F58" i="42"/>
  <c r="F57" i="42"/>
  <c r="W52" i="42" l="1"/>
  <c r="W46" i="42"/>
  <c r="W45" i="42"/>
  <c r="W48" i="42"/>
  <c r="W49" i="42"/>
  <c r="V54" i="42"/>
  <c r="V58" i="42"/>
  <c r="V55" i="42"/>
  <c r="V57" i="42"/>
  <c r="V56" i="42"/>
  <c r="V53" i="42"/>
  <c r="AD43" i="42"/>
  <c r="AD44" i="42"/>
  <c r="W51" i="42"/>
  <c r="W50" i="42"/>
  <c r="W47" i="42"/>
  <c r="P54" i="42"/>
  <c r="P58" i="42"/>
  <c r="P57" i="42"/>
  <c r="P53" i="42"/>
  <c r="P56" i="42"/>
  <c r="P55" i="42"/>
  <c r="AG44" i="41"/>
  <c r="AG46" i="41"/>
  <c r="AG43" i="41"/>
  <c r="AG45" i="41"/>
  <c r="AG47" i="41"/>
  <c r="AG2" i="41"/>
  <c r="AG24" i="41" s="1"/>
  <c r="X48" i="42" l="1"/>
  <c r="X47" i="42"/>
  <c r="X51" i="42"/>
  <c r="AE43" i="42"/>
  <c r="X46" i="42"/>
  <c r="X50" i="42"/>
  <c r="AE44" i="42"/>
  <c r="W54" i="42"/>
  <c r="W58" i="42"/>
  <c r="W55" i="42"/>
  <c r="W56" i="42"/>
  <c r="W57" i="42"/>
  <c r="W53" i="42"/>
  <c r="X49" i="42"/>
  <c r="X45" i="42"/>
  <c r="X52" i="42"/>
  <c r="Y48" i="42" l="1"/>
  <c r="X54" i="42"/>
  <c r="X58" i="42"/>
  <c r="X55" i="42"/>
  <c r="X53" i="42"/>
  <c r="X56" i="42"/>
  <c r="X57" i="42"/>
  <c r="Y52" i="42"/>
  <c r="Y45" i="42"/>
  <c r="AF44" i="42"/>
  <c r="AF43" i="42"/>
  <c r="Y49" i="42"/>
  <c r="Y50" i="42"/>
  <c r="Y46" i="42"/>
  <c r="Y51" i="42"/>
  <c r="Y47" i="42"/>
  <c r="Z48" i="42" l="1"/>
  <c r="Z50" i="42"/>
  <c r="Z46" i="42"/>
  <c r="Z49" i="42"/>
  <c r="AG44" i="42"/>
  <c r="Z52" i="42"/>
  <c r="Z51" i="42"/>
  <c r="AG43" i="42"/>
  <c r="Z45" i="42"/>
  <c r="Z47" i="42"/>
  <c r="Y54" i="42"/>
  <c r="Y55" i="42"/>
  <c r="Y53" i="42"/>
  <c r="Y57" i="42"/>
  <c r="Y58" i="42"/>
  <c r="Y56" i="42"/>
  <c r="AA48" i="42" l="1"/>
  <c r="Z54" i="42"/>
  <c r="Z55" i="42"/>
  <c r="Z58" i="42"/>
  <c r="Z53" i="42"/>
  <c r="Z56" i="42"/>
  <c r="Z57" i="42"/>
  <c r="AA52" i="42"/>
  <c r="AA49" i="42"/>
  <c r="AA47" i="42"/>
  <c r="AA51" i="42"/>
  <c r="AH44" i="42"/>
  <c r="AA46" i="42"/>
  <c r="AA45" i="42"/>
  <c r="AH43" i="42"/>
  <c r="AA50" i="42"/>
  <c r="AB48" i="42" l="1"/>
  <c r="AB49" i="42"/>
  <c r="AB52" i="42"/>
  <c r="AB45" i="42"/>
  <c r="AB51" i="42"/>
  <c r="AB47" i="42"/>
  <c r="AB50" i="42"/>
  <c r="AI43" i="42"/>
  <c r="AB46" i="42"/>
  <c r="AJ44" i="42"/>
  <c r="AI44" i="42"/>
  <c r="AA54" i="42"/>
  <c r="AA57" i="42"/>
  <c r="AA55" i="42"/>
  <c r="AA53" i="42"/>
  <c r="AA58" i="42"/>
  <c r="AA56" i="42"/>
  <c r="AJ43" i="42" l="1"/>
  <c r="AC46" i="42"/>
  <c r="AC50" i="42"/>
  <c r="AC47" i="42"/>
  <c r="AC51" i="42"/>
  <c r="AC45" i="42"/>
  <c r="AC52" i="42"/>
  <c r="AC48" i="42"/>
  <c r="AC49" i="42"/>
  <c r="AB54" i="42"/>
  <c r="AB55" i="42"/>
  <c r="AB58" i="42"/>
  <c r="AB53" i="42"/>
  <c r="AB57" i="42"/>
  <c r="AB56" i="42"/>
  <c r="AD48" i="42" l="1"/>
  <c r="AD49" i="42"/>
  <c r="AD45" i="42"/>
  <c r="AD47" i="42"/>
  <c r="AD46" i="42"/>
  <c r="AC54" i="42"/>
  <c r="AC55" i="42"/>
  <c r="AC53" i="42"/>
  <c r="AC57" i="42"/>
  <c r="AC56" i="42"/>
  <c r="AC58" i="42"/>
  <c r="AD52" i="42"/>
  <c r="AD51" i="42"/>
  <c r="AD50" i="42"/>
  <c r="AE48" i="42" l="1"/>
  <c r="AD54" i="42"/>
  <c r="AD58" i="42"/>
  <c r="AD55" i="42"/>
  <c r="AD53" i="42"/>
  <c r="AD56" i="42"/>
  <c r="AD57" i="42"/>
  <c r="AE47" i="42"/>
  <c r="AE49" i="42"/>
  <c r="AE51" i="42"/>
  <c r="AE46" i="42"/>
  <c r="AE45" i="42"/>
  <c r="AE50" i="42"/>
  <c r="AE52" i="42"/>
  <c r="AF48" i="42" l="1"/>
  <c r="AF52" i="42"/>
  <c r="AF45" i="42"/>
  <c r="AE54" i="42"/>
  <c r="AE58" i="42"/>
  <c r="AE53" i="42"/>
  <c r="AE57" i="42"/>
  <c r="AE56" i="42"/>
  <c r="AE55" i="42"/>
  <c r="AF50" i="42"/>
  <c r="AF46" i="42"/>
  <c r="AF51" i="42"/>
  <c r="AF49" i="42"/>
  <c r="AF47" i="42"/>
  <c r="AG48" i="42" l="1"/>
  <c r="AG49" i="42"/>
  <c r="AG46" i="42"/>
  <c r="AG50" i="42"/>
  <c r="AG47" i="42"/>
  <c r="AG51" i="42"/>
  <c r="AF54" i="42"/>
  <c r="AF55" i="42"/>
  <c r="AF53" i="42"/>
  <c r="AF57" i="42"/>
  <c r="AF56" i="42"/>
  <c r="AF58" i="42"/>
  <c r="AG45" i="42"/>
  <c r="AG52" i="42"/>
  <c r="AH48" i="42" l="1"/>
  <c r="AH45" i="42"/>
  <c r="AG54" i="42"/>
  <c r="AG55" i="42"/>
  <c r="AG58" i="42"/>
  <c r="AG53" i="42"/>
  <c r="AG57" i="42"/>
  <c r="AG56" i="42"/>
  <c r="AH51" i="42"/>
  <c r="AH46" i="42"/>
  <c r="AH52" i="42"/>
  <c r="AH47" i="42"/>
  <c r="AH50" i="42"/>
  <c r="AH49" i="42"/>
  <c r="AI48" i="42" l="1"/>
  <c r="AI49" i="42"/>
  <c r="AI50" i="42"/>
  <c r="AI47" i="42"/>
  <c r="AI46" i="42"/>
  <c r="AH54" i="42"/>
  <c r="AH55" i="42"/>
  <c r="AH53" i="42"/>
  <c r="AH56" i="42"/>
  <c r="AH57" i="42"/>
  <c r="AH58" i="42"/>
  <c r="AI51" i="42"/>
  <c r="AI52" i="42"/>
  <c r="AI45" i="42"/>
  <c r="AJ45" i="42" l="1"/>
  <c r="AJ52" i="42"/>
  <c r="AJ46" i="42"/>
  <c r="AJ47" i="42"/>
  <c r="AJ51" i="42"/>
  <c r="AI54" i="42"/>
  <c r="AI58" i="42"/>
  <c r="AI55" i="42"/>
  <c r="AI53" i="42"/>
  <c r="AI56" i="42"/>
  <c r="AI57" i="42"/>
  <c r="AJ48" i="42"/>
  <c r="AJ50" i="42"/>
  <c r="AJ49" i="42"/>
  <c r="AJ54" i="42" l="1"/>
  <c r="AJ58" i="42"/>
  <c r="AJ55" i="42"/>
  <c r="AJ53" i="42"/>
  <c r="AJ57" i="42"/>
  <c r="AJ56" i="42"/>
</calcChain>
</file>

<file path=xl/comments1.xml><?xml version="1.0" encoding="utf-8"?>
<comments xmlns="http://schemas.openxmlformats.org/spreadsheetml/2006/main">
  <authors>
    <author>MEUNIER Laurent</author>
    <author>CALLONNEC Gaël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énergétiques incluses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Ecart lié aux im
portations de biocarburants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AC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C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>
  <authors>
    <author>Frédéric PINTO DA ROCHA</author>
    <author>CALLONNEC Gaël</author>
    <author>Gaël CALLONNEC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Attention pour la cogé, il faudra affectefr un facteur de répartition avec la chaleur quand on aura les données.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Les importations ont été ajoutées ici. Correct ?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Inclus électricité des soutes internationales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Elec seule à partir de biomasse + élec cogénérée à partir de biomasse.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Puits CO2 inclus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nat + biogaz, yc usage direct pour bouclage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Conso de biomasse pour chaleur seule + prod chaleur cogénérée par biomasse + 1/2 pertes biomasse pour élec/chal cogénérée
=Bilan_E_2050_Mtep!S15+Bilan_E_2050_Mtep!T15+Bilan_E_2050_Mtep!AF16+Bilan_E_2050_Mtep!AF20/2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Elec seule à partir de gaz + Elec cogénérée à partir de biogaz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+ biogaz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Power-to-gas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Ancienne formule: =-Bilan_E_2050_Mtep!R21+Bilan_E_2050_Mtep!R11-Bilan_E_2050_Mtep!R33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Ancienne formule: =Bilan_E_2050_Mtep!R32+Bilan_E_2050_Mtep!R24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Comprend les usages non énergétiques, car le gaz passe par le réseau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Corrigé de ce qui part en soutes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Usages int. + Autres transfo + Prod H2 + Raffinage + biocarb + Inclus gaz et biogaz non énergétique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En accord avec la balance mais pourquoi on inclut le gaz des raffineries en chaleur fatale ?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UIOM + CSR</t>
        </r>
      </text>
    </comment>
    <comment ref="C28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
Non nécessaire pr le moment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Corrigé pour ne pas inclure la chaleur directe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Biogaz issu cogé : prod chaleur cogé + 1/2 pertes biogaz cogé élec/chal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Il y avait des valeurs dans l'ancienne version...</t>
        </r>
      </text>
    </comment>
    <comment ref="C40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complet… Il y avait des valeurs dans l'ancienne version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Calculé comme dans la version précédente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+ h2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Charbon des puits technos inclus ici</t>
        </r>
      </text>
    </comment>
    <comment ref="C49" authorId="2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3.xml><?xml version="1.0" encoding="utf-8"?>
<comments xmlns="http://schemas.openxmlformats.org/spreadsheetml/2006/main">
  <authors>
    <author>Frédéric PINTO DA ROCHA</author>
    <author>CALLONNEC Gaël</author>
    <author>Gaël CALLONNEC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Attention pour la cogé, il faudra affectefr un facteur de répartition avec la chaleur quand on aura les données.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Les importations ont été ajoutées ici. Correct ?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Inclus électricité des soutes internationales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Elec seule à partir de biomasse + élec cogénérée à partir de biomasse.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Puits CO2 inclus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nat + biogaz, yc usage direct pour bouclage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Conso de biomasse pour chaleur seule + prod chaleur cogénérée par biomasse + 1/2 pertes biomasse pour élec/chal cogénérée
=Bilan_E_2050_Mtep!S15+Bilan_E_2050_Mtep!T15+Bilan_E_2050_Mtep!AF16+Bilan_E_2050_Mtep!AF20/2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Elec seule à partir de gaz + Elec cogénérée à partir de biogaz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+ biogaz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Power-to-gas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Ancienne formule: =-Bilan_E_2050_Mtep!R21+Bilan_E_2050_Mtep!R11-Bilan_E_2050_Mtep!R33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Ancienne formule: =Bilan_E_2050_Mtep!R32+Bilan_E_2050_Mtep!R24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Comprend les usages non énergétiques, car le gaz passe par le réseau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Corrigé de ce qui part en soutes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Usages int. + Autres transfo + Prod H2 + Raffinage + biocarb + Inclus gaz et biogaz non énergétique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En accord avec la balance mais pourquoi on inclut le gaz des raffineries en chaleur fatale ?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UIOM + CSR</t>
        </r>
      </text>
    </comment>
    <comment ref="C28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
Non nécessaire pr le moment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Corrigé pour ne pas inclure la chaleur directe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Biogaz issu cogé : prod chaleur cogé + 1/2 pertes biogaz cogé élec/chal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Il y avait des valeurs dans l'ancienne version...</t>
        </r>
      </text>
    </comment>
    <comment ref="C40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complet… Il y avait des valeurs dans l'ancienne version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Calculé comme dans la version précédente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+ h2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Charbon des puits technos inclus ici</t>
        </r>
      </text>
    </comment>
    <comment ref="C49" authorId="2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4.xml><?xml version="1.0" encoding="utf-8"?>
<comments xmlns="http://schemas.openxmlformats.org/spreadsheetml/2006/main">
  <authors>
    <author>CALLONNEC Gaël</author>
    <author>Gaël CALLONNEC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5.xml><?xml version="1.0" encoding="utf-8"?>
<comments xmlns="http://schemas.openxmlformats.org/spreadsheetml/2006/main">
  <authors>
    <author>CALLONNEC Gaël</author>
    <author>Gaël CALLONNEC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4.8 = trafic aérien international
2.5 = soutes maritimes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4.8=aérien international
2.5= soutes maritimes
1.23 = combustibles à double usage estimé par le CITEPA
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11.9 = 13.68 Mtep de conso finale non énergétique moins les 1.77 de combustibles à doubleusage estimé par le citepa
1.23 = charbon à double usage estimé par le citepa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répartition voir p49 tableau retrospectif bilan énergie pour 2010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6.xml><?xml version="1.0" encoding="utf-8"?>
<comments xmlns="http://schemas.openxmlformats.org/spreadsheetml/2006/main">
  <authors>
    <author>CALLONNEC Gaël</author>
    <author>Gaël CALLONNEC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4.8 = trafic aérien international
2.5 = soutes maritimes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4.8=aérien international
2.5= soutes maritimes
1.23 = combustibles à double usage estimé par le CITEPA
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11.9 = 13.68 Mtep de conso finale non énergétique moins les 1.77 de combustibles à doubleusage estimé par le citepa
1.23 = charbon à double usage estimé par le citepa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répartition voir p49 tableau retrospectif bilan énergie pour 2010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7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8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sharedStrings.xml><?xml version="1.0" encoding="utf-8"?>
<sst xmlns="http://schemas.openxmlformats.org/spreadsheetml/2006/main" count="3441" uniqueCount="421">
  <si>
    <t>Production énergie pour injection réseau</t>
  </si>
  <si>
    <t>Flux réseaux</t>
  </si>
  <si>
    <t>Bilan primaire</t>
  </si>
  <si>
    <t>Utilisation</t>
  </si>
  <si>
    <t>Injections</t>
  </si>
  <si>
    <t>Soutirages</t>
  </si>
  <si>
    <t>Usage interne</t>
  </si>
  <si>
    <t>Production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</si>
  <si>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</si>
  <si>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</si>
  <si>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</si>
  <si>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</si>
  <si>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</si>
  <si>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</si>
  <si>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</si>
  <si>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</si>
  <si>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 (hors combsustibles 2usages)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</si>
  <si>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</si>
  <si>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</si>
  <si>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</si>
  <si>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</si>
  <si>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</si>
  <si>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</si>
  <si>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</si>
  <si>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</si>
  <si>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</si>
  <si>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</si>
  <si>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fioul</t>
  </si>
  <si>
    <t>charbon</t>
  </si>
  <si>
    <t>Réseau de gaz</t>
  </si>
  <si>
    <t>BtG</t>
  </si>
  <si>
    <t>Hydrogène</t>
  </si>
  <si>
    <t>Gaz naturel</t>
  </si>
  <si>
    <t>Solaire thermique</t>
  </si>
  <si>
    <t>Usage direct</t>
  </si>
  <si>
    <t>Chaleur PAC géothermiques</t>
  </si>
  <si>
    <t>Chaleur PAC aérothermiques</t>
  </si>
  <si>
    <t>Biocarburants liquides</t>
  </si>
  <si>
    <t>Ess/Dies/Jet</t>
  </si>
  <si>
    <t>Autres PP</t>
  </si>
  <si>
    <t>Déchets</t>
  </si>
  <si>
    <t>gaz</t>
  </si>
  <si>
    <t>Charbon</t>
  </si>
  <si>
    <t xml:space="preserve">dont combustibles à double usage </t>
  </si>
  <si>
    <t xml:space="preserve">charbon </t>
  </si>
  <si>
    <t>Projections France AME AMS 2018</t>
  </si>
  <si>
    <t xml:space="preserve">Scenario: </t>
  </si>
  <si>
    <t>AMS</t>
  </si>
  <si>
    <t>Version :</t>
  </si>
  <si>
    <t>Date :</t>
  </si>
  <si>
    <t>Bilans énergétiques (format SDES)</t>
  </si>
  <si>
    <t>Mtep</t>
  </si>
  <si>
    <t>Pétrole brut</t>
  </si>
  <si>
    <t>Produits pétroliers raffinés</t>
  </si>
  <si>
    <t>Gaz</t>
  </si>
  <si>
    <t>EnR électriques</t>
  </si>
  <si>
    <t>EnR thermiques et déchets</t>
  </si>
  <si>
    <t>Électricité</t>
  </si>
  <si>
    <t>Chaleur vendue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</si>
  <si>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</si>
  <si>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</si>
  <si>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</si>
  <si>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</si>
  <si>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</si>
  <si>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</si>
  <si>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</si>
  <si>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Transferts</t>
  </si>
  <si>
    <t>Écart statistique</t>
  </si>
  <si>
    <t>Production d'électricité seule</t>
  </si>
  <si>
    <t>Production d'électricité et de chaleur cogénérées</t>
  </si>
  <si>
    <t>Production de chaleur seule</t>
  </si>
  <si>
    <t>Injections de biométhane</t>
  </si>
  <si>
    <t>Raffinage de pétrole</t>
  </si>
  <si>
    <t>Production d'hydrogène</t>
  </si>
  <si>
    <t>Autres transformations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</si>
  <si>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</si>
  <si>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</si>
  <si>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</si>
  <si>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</si>
  <si>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</si>
  <si>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</si>
  <si>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</si>
  <si>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</si>
  <si>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Consommation finale énergétique</t>
  </si>
  <si>
    <t>Consommation finale non énergétique</t>
  </si>
  <si>
    <t>Consommation finale</t>
  </si>
  <si>
    <t>Bilan 2020</t>
  </si>
  <si>
    <t>Bilan 2025</t>
  </si>
  <si>
    <t>Bilan 2030</t>
  </si>
  <si>
    <t>Bilan 2050</t>
  </si>
  <si>
    <t>Conso finale   (entrée ThreeME)</t>
  </si>
  <si>
    <t>Agr</t>
  </si>
  <si>
    <t>Ind</t>
  </si>
  <si>
    <t>Rés</t>
  </si>
  <si>
    <t>Ter</t>
  </si>
  <si>
    <t>Tra</t>
  </si>
  <si>
    <t>1 - Demande d'énergie finale de l'industrie</t>
  </si>
  <si>
    <t>1.1 Ensemble des branches, usages énergétiques</t>
  </si>
  <si>
    <t>2000-2015</t>
  </si>
  <si>
    <t>2015-2020</t>
  </si>
  <si>
    <t>2020-2025</t>
  </si>
  <si>
    <t>2025-2030</t>
  </si>
  <si>
    <t>2030-2050</t>
  </si>
  <si>
    <t>Combustible liquide</t>
  </si>
  <si>
    <t>Electricité</t>
  </si>
  <si>
    <t>Réseau de chaleur</t>
  </si>
  <si>
    <t>Biomasse, déchets</t>
  </si>
  <si>
    <t>1.2 Ensemble des branches, usages non énergétiques</t>
  </si>
  <si>
    <t>Pétrole</t>
  </si>
  <si>
    <t>H2</t>
  </si>
  <si>
    <t>1.3 Total énergie, par branche</t>
  </si>
  <si>
    <t>métaux-primaires</t>
  </si>
  <si>
    <t xml:space="preserve">      sidérurgie</t>
  </si>
  <si>
    <t xml:space="preserve">      aluminium</t>
  </si>
  <si>
    <t>chimie</t>
  </si>
  <si>
    <t xml:space="preserve">       ammoniac</t>
  </si>
  <si>
    <t xml:space="preserve">       pétrochimie base</t>
  </si>
  <si>
    <t xml:space="preserve">        chlore</t>
  </si>
  <si>
    <t>non_metalliques</t>
  </si>
  <si>
    <t xml:space="preserve">        ciment</t>
  </si>
  <si>
    <t xml:space="preserve">         verre</t>
  </si>
  <si>
    <t>iaa</t>
  </si>
  <si>
    <t xml:space="preserve">        sucre</t>
  </si>
  <si>
    <t>équipement</t>
  </si>
  <si>
    <t>autres</t>
  </si>
  <si>
    <t xml:space="preserve">         papier-pâtes</t>
  </si>
  <si>
    <t>Total IGCE</t>
  </si>
  <si>
    <t>1.4 Electricité, par branche</t>
  </si>
  <si>
    <t>TWh</t>
  </si>
  <si>
    <t>1.5 Combustibles, par branche</t>
  </si>
  <si>
    <t>1.6 Indicateurs</t>
  </si>
  <si>
    <t>Intensité énergétique de la VA (kep/€2005)</t>
  </si>
  <si>
    <t>2 - Demande d'énergie finale du résidentiel</t>
  </si>
  <si>
    <t>2.1 Demande d'énergie finale par énergie</t>
  </si>
  <si>
    <t>Biomasse</t>
  </si>
  <si>
    <t>Solaire</t>
  </si>
  <si>
    <t>Chaleur environnement</t>
  </si>
  <si>
    <t>2.2 Demande d'énergie finale par usage</t>
  </si>
  <si>
    <t>Chauffage</t>
  </si>
  <si>
    <t>Eau chaude</t>
  </si>
  <si>
    <t>Cuisson</t>
  </si>
  <si>
    <t>Eclairage</t>
  </si>
  <si>
    <t>Electricité specifique</t>
  </si>
  <si>
    <t>Climatisation</t>
  </si>
  <si>
    <t>2.3 Usages thermiques</t>
  </si>
  <si>
    <t>2.4 Chauffage</t>
  </si>
  <si>
    <t>2.5 Eau chaude</t>
  </si>
  <si>
    <t>2.6 Cuisson</t>
  </si>
  <si>
    <t>2.7 Indicateurs</t>
  </si>
  <si>
    <t>Logements</t>
  </si>
  <si>
    <t>Energie/capita (tep)</t>
  </si>
  <si>
    <t>Electricité/capita (kWh)</t>
  </si>
  <si>
    <t>Intensité énergétique de la consommation privée des ménages (kep/€2005)</t>
  </si>
  <si>
    <t>3 - Demande d'énergie finale du tertiaire</t>
  </si>
  <si>
    <t>3.1 Demande d'énergie finale par énergie</t>
  </si>
  <si>
    <t>3.2 Demande d'énergie finale par usage</t>
  </si>
  <si>
    <t>Autres usages thermiques</t>
  </si>
  <si>
    <t>3.3 Usages thermiques</t>
  </si>
  <si>
    <t>3.4 Chauffage</t>
  </si>
  <si>
    <t>3.5 Autres usages thermiques</t>
  </si>
  <si>
    <t>3.6 Indicateurs</t>
  </si>
  <si>
    <t>Intensité énergétique de la VA (ktep/€2005)</t>
  </si>
  <si>
    <t>Employés (millions)</t>
  </si>
  <si>
    <t>Energie/employé (tep)</t>
  </si>
  <si>
    <t>Electricité/employé (kWh)</t>
  </si>
  <si>
    <t>4 - Demande d'énergie finale des transports</t>
  </si>
  <si>
    <t>4.1 Trafics</t>
  </si>
  <si>
    <t>Passagers (Gpkm)</t>
  </si>
  <si>
    <t xml:space="preserve">  Voitures</t>
  </si>
  <si>
    <t xml:space="preserve">  Bus et autocars</t>
  </si>
  <si>
    <t xml:space="preserve">  Ferroviaire</t>
  </si>
  <si>
    <t xml:space="preserve">  Aérien domestique</t>
  </si>
  <si>
    <t>Marchandises Gtkm)</t>
  </si>
  <si>
    <t xml:space="preserve">  Camions et VUL</t>
  </si>
  <si>
    <t xml:space="preserve">  Fluvial</t>
  </si>
  <si>
    <t xml:space="preserve">  Voitures   Gvkm</t>
  </si>
  <si>
    <t>4.2 Demande d'énergie finale par énergie</t>
  </si>
  <si>
    <t>Essence (yc carb. subst.)</t>
  </si>
  <si>
    <t>Gazole (yc carb. subs)</t>
  </si>
  <si>
    <t>Carburéacteurs</t>
  </si>
  <si>
    <t>GPL</t>
  </si>
  <si>
    <t>GNV</t>
  </si>
  <si>
    <t>4.3 Demande d'énergie finale par infrastructure</t>
  </si>
  <si>
    <t>Routier</t>
  </si>
  <si>
    <t>Ferroviaire</t>
  </si>
  <si>
    <t>Fluvial</t>
  </si>
  <si>
    <t>Aérien domestique</t>
  </si>
  <si>
    <t>4.4 Transports routiers</t>
  </si>
  <si>
    <t>Voitures particulières</t>
  </si>
  <si>
    <t>Camions et VUL</t>
  </si>
  <si>
    <t>Bus et autocars</t>
  </si>
  <si>
    <t>2 roues</t>
  </si>
  <si>
    <t>Essence</t>
  </si>
  <si>
    <t xml:space="preserve">Total </t>
  </si>
  <si>
    <t>4.5 Indicateurs</t>
  </si>
  <si>
    <t>Parcs VP (Millions)</t>
  </si>
  <si>
    <t>Intensité énergétique du PIB (kep/€2005)</t>
  </si>
  <si>
    <t>5 - Demande d'énergie finale de l'agriculture</t>
  </si>
  <si>
    <t>5.1 Demande d'énergie finale par énergie</t>
  </si>
  <si>
    <t>6 - Demande d'énergie finale de l'ensemble des secteurs</t>
  </si>
  <si>
    <t>6.1 Demande d'énergie finale par énergie</t>
  </si>
  <si>
    <t>Carburant liquide</t>
  </si>
  <si>
    <t>Combustible gazeux</t>
  </si>
  <si>
    <t>Carburant gazeux</t>
  </si>
  <si>
    <t>6.2 Demande d'énergie finale par secteur</t>
  </si>
  <si>
    <t>6.3 Indicateurs</t>
  </si>
  <si>
    <t>Intensité électrique du PIB (kWh/k€2005)</t>
  </si>
  <si>
    <t>PAC/CET</t>
  </si>
  <si>
    <t>Pétrole/GPL</t>
  </si>
  <si>
    <t>Renouvelables thermiques</t>
  </si>
  <si>
    <t>Chaleur Environnement</t>
  </si>
  <si>
    <t>Total hors chaleur environnement</t>
  </si>
  <si>
    <t>ECS</t>
  </si>
  <si>
    <t>Electricité spécifique</t>
  </si>
  <si>
    <t>Autres consos (hors elec spé)</t>
  </si>
  <si>
    <t>Total modèle</t>
  </si>
  <si>
    <t>Autres (hors CEREN)</t>
  </si>
  <si>
    <t>Total (hors PAC)</t>
  </si>
  <si>
    <t>Mix approx</t>
  </si>
  <si>
    <t>Bilan de l'Energie 2015 (Sorties de modèles)</t>
  </si>
  <si>
    <t>Consommation finale énergétique (corrigée du climat)</t>
  </si>
  <si>
    <t>Corrections brutes</t>
  </si>
  <si>
    <t>Résultats modélisation MENFIS</t>
  </si>
  <si>
    <t>Tableau 1 : Consommations de chauffage (TWh) 2015</t>
  </si>
  <si>
    <t>Fioul</t>
  </si>
  <si>
    <t>Electricité joule</t>
  </si>
  <si>
    <t>Electricité PAC (hors ENR)</t>
  </si>
  <si>
    <t>Chauffage urbain et autre</t>
  </si>
  <si>
    <t>ENR PAC</t>
  </si>
  <si>
    <t>Nouveau total</t>
  </si>
  <si>
    <t>Consommation chauffage</t>
  </si>
  <si>
    <t>MI ex</t>
  </si>
  <si>
    <t>MI ne</t>
  </si>
  <si>
    <t>LC ex</t>
  </si>
  <si>
    <t>LC ne</t>
  </si>
  <si>
    <t>Tableau 1 : Consommations de chauffage (TWh) 2020</t>
  </si>
  <si>
    <t>Tableau 1 : Consommations de chauffage (TWh) 2025</t>
  </si>
  <si>
    <t>Tableau 1 : Consommations de chauffage (TWh) 2030</t>
  </si>
  <si>
    <t>Tableau 1 : Consommations de chauffage (TWh) 2040</t>
  </si>
  <si>
    <t>Tableau 1 : Consommations de chauffage (TWh) 2050</t>
  </si>
  <si>
    <t>Résultats hors modèles</t>
  </si>
  <si>
    <t>CET</t>
  </si>
  <si>
    <t>RCU</t>
  </si>
  <si>
    <t>Autres</t>
  </si>
  <si>
    <t>Consommations par vecteur (TWh)</t>
  </si>
  <si>
    <t>Consommation totale (TWh)</t>
  </si>
  <si>
    <t>PAC</t>
  </si>
  <si>
    <t>Consommation totale</t>
  </si>
  <si>
    <t>Mix énergétique des réseaux de chaleur</t>
  </si>
  <si>
    <t>Cogénération</t>
  </si>
  <si>
    <t>Combustibles solides décarbonés : biomasse + déchets</t>
  </si>
  <si>
    <t>Combustibles liquides décarbonés</t>
  </si>
  <si>
    <t>Combustibles gazeux décarbonés</t>
  </si>
  <si>
    <t>Chaleur de récupération industrielle</t>
  </si>
  <si>
    <t>Chaleur renouvelable (géothermie)</t>
  </si>
  <si>
    <t>Production totale (TWh)</t>
  </si>
  <si>
    <t>Mix énergétique de la production d’électricité</t>
  </si>
  <si>
    <t>Hydraulique</t>
  </si>
  <si>
    <t>Éolien</t>
  </si>
  <si>
    <t>Bioénergies</t>
  </si>
  <si>
    <t>Non-énergétique ?</t>
  </si>
  <si>
    <t xml:space="preserve">la différence va dans le non-énergétique. </t>
  </si>
  <si>
    <t>Gaz réseau</t>
  </si>
  <si>
    <t xml:space="preserve">Pertes </t>
  </si>
  <si>
    <t>auto-consommation</t>
  </si>
  <si>
    <t>Conso fin.nat.</t>
  </si>
  <si>
    <t>PhiY_ener</t>
  </si>
  <si>
    <t>Total primaire, export et conso non énergétique incluses</t>
  </si>
  <si>
    <t>Total final hors conso non énergétique</t>
  </si>
  <si>
    <t>Total final  conso non énergétique incluses</t>
  </si>
  <si>
    <t>Produits pétroliers et biocarburants</t>
  </si>
  <si>
    <t>Q_Mtep_int_uses</t>
  </si>
  <si>
    <t>Q_Mtep_losses_losses</t>
  </si>
  <si>
    <t>QMtep_losses_losses</t>
  </si>
  <si>
    <t>Produits pétroliers</t>
  </si>
  <si>
    <t>alpha_int_uses_2201</t>
  </si>
  <si>
    <t>Q_Mtep_int_uses_2201</t>
  </si>
  <si>
    <t>Alpha_losses_2201</t>
  </si>
  <si>
    <t>QMtep_losses_2201</t>
  </si>
  <si>
    <t>Biocarburants liquides et gazeux</t>
  </si>
  <si>
    <t>alpha_int_uses_2202</t>
  </si>
  <si>
    <t>Q_Mtep_int_uses_2202</t>
  </si>
  <si>
    <t>Alpha_losses_2202</t>
  </si>
  <si>
    <t>QMtep_losses_2202</t>
  </si>
  <si>
    <t xml:space="preserve">Biocarburants liquides </t>
  </si>
  <si>
    <t>alpha_int_uses_2301</t>
  </si>
  <si>
    <t>Q_Mtep_int_uses_2301</t>
  </si>
  <si>
    <t>Alpha_losses_2301</t>
  </si>
  <si>
    <t>QMtep_losses_2301</t>
  </si>
  <si>
    <t>Biocarburants gazeux</t>
  </si>
  <si>
    <t>alpha_int_uses_2302</t>
  </si>
  <si>
    <t>Q_Mtep_int_uses_2302</t>
  </si>
  <si>
    <t>Alpha_losses_2302</t>
  </si>
  <si>
    <t>QMtep_losses_2302</t>
  </si>
  <si>
    <t>alpha_int_uses_2303</t>
  </si>
  <si>
    <t>Q_Mtep_int_uses_2303</t>
  </si>
  <si>
    <t>Alpha_losses_2303</t>
  </si>
  <si>
    <t>QMtep_losses_2303</t>
  </si>
  <si>
    <t>alpha_int_uses_2304</t>
  </si>
  <si>
    <t>Q_Mtep_int_uses_2304</t>
  </si>
  <si>
    <t>Alpha_losses_2304</t>
  </si>
  <si>
    <t>QMtep_losses_2304</t>
  </si>
  <si>
    <t>alpha_int_uses_2305</t>
  </si>
  <si>
    <t>Q_Mtep_int_uses_2305</t>
  </si>
  <si>
    <t>Alpha_losses_2305</t>
  </si>
  <si>
    <t>QMtep_losses_2305</t>
  </si>
  <si>
    <t>alpha_int_uses_2306</t>
  </si>
  <si>
    <t>Q_Mtep_int_uses_2306</t>
  </si>
  <si>
    <t>Alpha_losses_2306</t>
  </si>
  <si>
    <t>QMtep_losses_2306</t>
  </si>
  <si>
    <t>Eolien &amp; énergie marine</t>
  </si>
  <si>
    <t>alpha_int_uses_2307</t>
  </si>
  <si>
    <t>Q_Mtep_int_uses_2307</t>
  </si>
  <si>
    <t>Alpha_losses_2307</t>
  </si>
  <si>
    <t>QMtep_losses_2307</t>
  </si>
  <si>
    <t>Photovoltaïque</t>
  </si>
  <si>
    <t>alpha_int_uses_2308</t>
  </si>
  <si>
    <t>Q_Mtep_int_uses_2308</t>
  </si>
  <si>
    <t>Alpha_losses_2308</t>
  </si>
  <si>
    <t>QMtep_losses_2308</t>
  </si>
  <si>
    <t>alpha_int_uses_2401</t>
  </si>
  <si>
    <t>Q_Mtep_int_uses_2401</t>
  </si>
  <si>
    <t>Alpha_losses_2401</t>
  </si>
  <si>
    <t>QMtep_losses_2401</t>
  </si>
  <si>
    <t>Autres (méthanisation, UIOM, bois, géothermie, énergie fatale)</t>
  </si>
  <si>
    <t>Autres (méthanisation, UIOM, bois, géothermie, énergie fatale, PAC aérothermique)</t>
  </si>
  <si>
    <t>alpha_int_uses_2402</t>
  </si>
  <si>
    <t>Q_Mtep_int_uses_2402</t>
  </si>
  <si>
    <t>Alpha_losses_2402</t>
  </si>
  <si>
    <t>QMtep_losses_2402</t>
  </si>
  <si>
    <t>Gaz et chaleur</t>
  </si>
  <si>
    <t>alpha_int_uses_2403</t>
  </si>
  <si>
    <t>Q_Mtep_int_uses_2403</t>
  </si>
  <si>
    <t>Alpha_losses_2403</t>
  </si>
  <si>
    <t>QMtep_losses_2403</t>
  </si>
  <si>
    <t>Gaz naturel (réseau de gaz et de chaleur)</t>
  </si>
  <si>
    <t>alpha_int_uses_2404</t>
  </si>
  <si>
    <t>Q_Mtep_int_uses_2404</t>
  </si>
  <si>
    <t>Alpha_losses_2404</t>
  </si>
  <si>
    <t>QMtep_losses_2404</t>
  </si>
  <si>
    <t>Bois énergie direct et réseau chaleur</t>
  </si>
  <si>
    <t>alpha_int_uses_2405</t>
  </si>
  <si>
    <t>Q_Mtep_int_uses_2405</t>
  </si>
  <si>
    <t>Alpha_losses_2405</t>
  </si>
  <si>
    <t>QMtep_losses_2405</t>
  </si>
  <si>
    <t>Biogaz, biométhane, BtG et H2 direct et réseau de chaleur</t>
  </si>
  <si>
    <t>alpha_int_uses_2406</t>
  </si>
  <si>
    <t>Q_Mtep_int_uses_2406</t>
  </si>
  <si>
    <t>Alpha_losses_2406</t>
  </si>
  <si>
    <t>QMtep_losses_2406</t>
  </si>
  <si>
    <t>UIOM et déchets directs</t>
  </si>
  <si>
    <t>alpha_int_uses_21</t>
  </si>
  <si>
    <t>Q_Mtep_int_uses_21</t>
  </si>
  <si>
    <t>Alpha_losses_21</t>
  </si>
  <si>
    <t>QMtep_losses_21</t>
  </si>
  <si>
    <t>Géothermie et PAC géothermique</t>
  </si>
  <si>
    <t>Géothermie et  PAC géothermique</t>
  </si>
  <si>
    <t>Bois</t>
  </si>
  <si>
    <t>Autres (solaire thermique, chaleur fatale)</t>
  </si>
  <si>
    <t>Autres (solaire thermique, chaleur fatale, pac AEROTHERMIQUE)</t>
  </si>
  <si>
    <t xml:space="preserve">Géothermie </t>
  </si>
  <si>
    <t>Energie fatale</t>
  </si>
  <si>
    <t>Biométhane</t>
  </si>
  <si>
    <t xml:space="preserve">Production énergétique en pourcentage de la production énergétique primaire de chaque vecteur </t>
  </si>
  <si>
    <t>Production énergétique en pourcentage de la production énergétique finale de chaque vecteur (hors consommation non énergétique)</t>
  </si>
  <si>
    <t>Production énergétique en pourcentage de la production énergétique finale de chaque vecteur ( conso non énergétique incluses)</t>
  </si>
  <si>
    <t>Bois énergie (direct et réseau chaleur)</t>
  </si>
  <si>
    <t>Biogaz, biométhane, BtG direct et réseau de chaleur</t>
  </si>
  <si>
    <t>Autres (solaire thermique, chaleur fatale, PAC aéro)</t>
  </si>
  <si>
    <t>Centrale au fioul</t>
  </si>
  <si>
    <t>Centrale au gaz naturel</t>
  </si>
  <si>
    <t>PAC aérothermiques</t>
  </si>
  <si>
    <t>Centrale au charbon</t>
  </si>
  <si>
    <t>Vérification</t>
  </si>
  <si>
    <t>Conso hors usages énergétiques</t>
  </si>
  <si>
    <t>Matière pour production biocarburants liquides</t>
  </si>
  <si>
    <t>Chaleur fatale - réseau chaleur</t>
  </si>
  <si>
    <t>Chaleur fatale -  élec</t>
  </si>
  <si>
    <t>Total calculé onglet flux</t>
  </si>
  <si>
    <t>Source bilan AMS2</t>
  </si>
  <si>
    <t xml:space="preserve">Primaire </t>
  </si>
  <si>
    <t>Projections France AME AMS 2017</t>
  </si>
  <si>
    <t>Scenario:</t>
  </si>
  <si>
    <t>AME</t>
  </si>
  <si>
    <t>2030-2035</t>
  </si>
  <si>
    <t>sidérurgie</t>
  </si>
  <si>
    <t>aluminium</t>
  </si>
  <si>
    <t>ammoniac</t>
  </si>
  <si>
    <t>pétrochimie base</t>
  </si>
  <si>
    <t>chlore</t>
  </si>
  <si>
    <t>ciment</t>
  </si>
  <si>
    <t>verre</t>
  </si>
  <si>
    <t>sucre</t>
  </si>
  <si>
    <t>papier-pâtes</t>
  </si>
  <si>
    <t>2.6 Indicateurs</t>
  </si>
  <si>
    <t>Voitures</t>
  </si>
  <si>
    <t>Voitures   Gvkm</t>
  </si>
  <si>
    <t>Bilans énergétiques (format SOeS)</t>
  </si>
  <si>
    <t>Bilan 2015</t>
  </si>
  <si>
    <t>Comm et q° FP</t>
  </si>
  <si>
    <t>OK</t>
  </si>
  <si>
    <t>OK élec</t>
  </si>
  <si>
    <t>Correspond aux demandes finales</t>
  </si>
  <si>
    <t>OK, cohérent.</t>
  </si>
  <si>
    <t xml:space="preserve">A quoi correspondent les facteurs ici (0,01, 0,02)? </t>
  </si>
  <si>
    <t>Biomasse solide</t>
  </si>
  <si>
    <t>Toute cette partie est cohérente avec le bilan</t>
  </si>
  <si>
    <t>Texte vert : ok pour FP</t>
  </si>
  <si>
    <t>Texte orange : pas sûr mais pense correct</t>
  </si>
  <si>
    <t>Texte rouge : A checker absolumebt</t>
  </si>
  <si>
    <t>Fonds rouge : Incohérence, points à voir</t>
  </si>
  <si>
    <t>gaz nat</t>
  </si>
  <si>
    <t>Biogaz</t>
  </si>
  <si>
    <t>PtG</t>
  </si>
  <si>
    <t>Nouvelle ligne !</t>
  </si>
  <si>
    <t>Sidérurgie + non énergétique</t>
  </si>
  <si>
    <t>Non énergétique</t>
  </si>
  <si>
    <t>Usage direct, hors réseau (consommation non énergétique, branche énergie)</t>
  </si>
  <si>
    <t>Non-énergétique</t>
  </si>
  <si>
    <t>Chaleur directe industrie</t>
  </si>
  <si>
    <t>Gaz nat et biogaz du non énergétique passent par le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</si>
</sst>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_-* #,##0.00\ _€_-;\-* #,##0.00\ _€_-;_-* &quot;-&quot;??\ _€_-;_-@_-"/>
    <numFmt numFmtId="165" formatCode="0.0"/>
    <numFmt numFmtId="166" formatCode="#,##0.0_ ;\-#,##0.0\ "/>
    <numFmt numFmtId="167" formatCode="0.0%"/>
    <numFmt numFmtId="168" formatCode="dd/mm/yy;@"/>
    <numFmt numFmtId="169" formatCode="0.000000"/>
    <numFmt numFmtId="170" formatCode="#,##0.0"/>
    <numFmt numFmtId="171" formatCode="#,##0.000"/>
    <numFmt numFmtId="172" formatCode="0.00000"/>
    <numFmt numFmtId="173" formatCode="0.000"/>
    <numFmt numFmtId="174" formatCode="_-* #,##0.00\ _F_-;\-* #,##0.00\ _F_-;_-* &quot;-&quot;??\ _F_-;_-@_-"/>
    <numFmt numFmtId="175" formatCode="0.0000"/>
    <numFmt numFmtId="176" formatCode="#,##0.0000"/>
    <numFmt numFmtId="177" formatCode="_-* #,##0\ _€_-;\-* #,##0\ _€_-;_-* &quot;-&quot;??\ _€_-;_-@_-"/>
    <numFmt numFmtId="178" formatCode="0.00000000000000"/>
    <numFmt numFmtId="179" formatCode="0.0000000000000"/>
    <numFmt numFmtId="180" formatCode="_-* #,##0.00\ _F_-;\-* #,##0.00\ _F_-;_-* \-??\ _F_-;_-@_-"/>
    <numFmt numFmtId="181" formatCode="0.000000000"/>
  </numFmts>
  <fonts count="8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22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Liberation Sans"/>
    </font>
    <font>
      <sz val="11"/>
      <color rgb="FFFF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rgb="FFFFFFFF"/>
      <name val="Calibri"/>
      <family val="2"/>
      <charset val="1"/>
    </font>
    <font>
      <i/>
      <sz val="10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20"/>
      <name val="Calibri"/>
      <family val="2"/>
      <charset val="1"/>
    </font>
    <font>
      <b/>
      <sz val="16"/>
      <name val="Calibri"/>
      <family val="2"/>
      <charset val="1"/>
    </font>
    <font>
      <i/>
      <sz val="16"/>
      <name val="Calibri"/>
      <family val="2"/>
      <charset val="1"/>
    </font>
    <font>
      <sz val="1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2"/>
      <name val="Calibri"/>
      <family val="2"/>
      <charset val="1"/>
    </font>
    <font>
      <i/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i/>
      <sz val="9"/>
      <name val="Calibri"/>
      <family val="2"/>
      <charset val="1"/>
    </font>
    <font>
      <sz val="8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FF33CC"/>
      <name val="Calibri"/>
      <family val="2"/>
      <charset val="1"/>
    </font>
    <font>
      <sz val="12"/>
      <name val="Calibri"/>
      <family val="2"/>
      <charset val="1"/>
    </font>
    <font>
      <sz val="10"/>
      <name val="Times New Roman"/>
      <family val="1"/>
      <charset val="1"/>
    </font>
    <font>
      <b/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1859C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3CDDD"/>
        <bgColor rgb="FFB9CDE5"/>
      </patternFill>
    </fill>
    <fill>
      <patternFill patternType="solid">
        <fgColor rgb="FFF79646"/>
        <bgColor rgb="FFFF8080"/>
      </patternFill>
    </fill>
    <fill>
      <patternFill patternType="solid">
        <fgColor rgb="FFB9CDE5"/>
        <bgColor rgb="FFBFBFBF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4" tint="0.59999389629810485"/>
        <bgColor rgb="FFBFBFBF"/>
      </patternFill>
    </fill>
    <fill>
      <patternFill patternType="solid">
        <fgColor rgb="FFFFFF00"/>
        <b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18" fillId="0" borderId="0"/>
    <xf numFmtId="0" fontId="40" fillId="0" borderId="0"/>
    <xf numFmtId="0" fontId="47" fillId="0" borderId="0" applyNumberFormat="0" applyFill="0" applyBorder="0" applyAlignment="0" applyProtection="0"/>
  </cellStyleXfs>
  <cellXfs count="846">
    <xf numFmtId="0" fontId="0" fillId="0" borderId="0" xfId="0"/>
    <xf numFmtId="0" fontId="4" fillId="0" borderId="0" xfId="3" applyFont="1" applyBorder="1"/>
    <xf numFmtId="0" fontId="5" fillId="0" borderId="0" xfId="0" applyFont="1" applyBorder="1" applyAlignment="1">
      <alignment horizontal="center" vertical="center"/>
    </xf>
    <xf numFmtId="0" fontId="5" fillId="2" borderId="0" xfId="3" applyFont="1" applyFill="1" applyBorder="1"/>
    <xf numFmtId="0" fontId="4" fillId="0" borderId="0" xfId="3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2" fillId="2" borderId="1" xfId="3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3" borderId="0" xfId="3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2" fillId="2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center" vertical="center" wrapText="1"/>
    </xf>
    <xf numFmtId="0" fontId="2" fillId="0" borderId="1" xfId="3" applyFont="1" applyBorder="1"/>
    <xf numFmtId="0" fontId="2" fillId="0" borderId="3" xfId="3" applyFont="1" applyBorder="1"/>
    <xf numFmtId="0" fontId="2" fillId="0" borderId="2" xfId="3" applyFont="1" applyBorder="1"/>
    <xf numFmtId="165" fontId="4" fillId="0" borderId="0" xfId="3" applyNumberFormat="1" applyFont="1" applyBorder="1"/>
    <xf numFmtId="0" fontId="5" fillId="0" borderId="0" xfId="3" applyFont="1" applyBorder="1" applyAlignment="1">
      <alignment horizontal="right"/>
    </xf>
    <xf numFmtId="165" fontId="5" fillId="0" borderId="0" xfId="3" applyNumberFormat="1" applyFont="1" applyBorder="1" applyAlignment="1">
      <alignment horizontal="right"/>
    </xf>
    <xf numFmtId="0" fontId="5" fillId="0" borderId="1" xfId="3" applyFont="1" applyBorder="1" applyAlignment="1">
      <alignment horizontal="right"/>
    </xf>
    <xf numFmtId="0" fontId="4" fillId="0" borderId="0" xfId="3" applyFont="1" applyBorder="1" applyAlignment="1">
      <alignment horizontal="right"/>
    </xf>
    <xf numFmtId="0" fontId="4" fillId="0" borderId="0" xfId="0" applyFont="1" applyBorder="1"/>
    <xf numFmtId="165" fontId="2" fillId="0" borderId="1" xfId="3" applyNumberFormat="1" applyFont="1" applyBorder="1"/>
    <xf numFmtId="165" fontId="2" fillId="0" borderId="0" xfId="3" applyNumberFormat="1" applyFont="1" applyBorder="1" applyAlignment="1">
      <alignment horizontal="center"/>
    </xf>
    <xf numFmtId="165" fontId="2" fillId="0" borderId="1" xfId="3" applyNumberFormat="1" applyFont="1" applyBorder="1" applyAlignment="1">
      <alignment horizontal="center"/>
    </xf>
    <xf numFmtId="165" fontId="6" fillId="0" borderId="2" xfId="3" applyNumberFormat="1" applyFont="1" applyBorder="1"/>
    <xf numFmtId="165" fontId="7" fillId="0" borderId="0" xfId="3" applyNumberFormat="1" applyFont="1" applyBorder="1"/>
    <xf numFmtId="0" fontId="8" fillId="0" borderId="0" xfId="3" applyFont="1" applyBorder="1"/>
    <xf numFmtId="165" fontId="9" fillId="0" borderId="0" xfId="3" applyNumberFormat="1" applyFont="1" applyBorder="1"/>
    <xf numFmtId="165" fontId="4" fillId="0" borderId="1" xfId="3" applyNumberFormat="1" applyFont="1" applyBorder="1"/>
    <xf numFmtId="165" fontId="4" fillId="4" borderId="1" xfId="3" applyNumberFormat="1" applyFont="1" applyFill="1" applyBorder="1" applyAlignment="1">
      <alignment horizontal="center" vertical="center"/>
    </xf>
    <xf numFmtId="165" fontId="4" fillId="4" borderId="3" xfId="3" applyNumberFormat="1" applyFont="1" applyFill="1" applyBorder="1" applyAlignment="1">
      <alignment horizontal="center" vertical="center"/>
    </xf>
    <xf numFmtId="165" fontId="4" fillId="4" borderId="2" xfId="3" applyNumberFormat="1" applyFont="1" applyFill="1" applyBorder="1" applyAlignment="1">
      <alignment horizontal="center" vertical="center"/>
    </xf>
    <xf numFmtId="2" fontId="4" fillId="0" borderId="0" xfId="0" applyNumberFormat="1" applyFont="1" applyBorder="1"/>
    <xf numFmtId="1" fontId="4" fillId="0" borderId="0" xfId="3" applyNumberFormat="1" applyFont="1" applyBorder="1"/>
    <xf numFmtId="165" fontId="10" fillId="0" borderId="0" xfId="3" applyNumberFormat="1" applyFont="1" applyBorder="1"/>
    <xf numFmtId="165" fontId="11" fillId="0" borderId="0" xfId="3" applyNumberFormat="1" applyFont="1" applyBorder="1"/>
    <xf numFmtId="0" fontId="4" fillId="5" borderId="1" xfId="0" applyFont="1" applyFill="1" applyBorder="1"/>
    <xf numFmtId="165" fontId="4" fillId="5" borderId="3" xfId="3" applyNumberFormat="1" applyFont="1" applyFill="1" applyBorder="1" applyAlignment="1">
      <alignment horizontal="center" vertical="center"/>
    </xf>
    <xf numFmtId="165" fontId="4" fillId="5" borderId="2" xfId="3" applyNumberFormat="1" applyFont="1" applyFill="1" applyBorder="1" applyAlignment="1">
      <alignment horizontal="center" vertical="center"/>
    </xf>
    <xf numFmtId="165" fontId="4" fillId="0" borderId="0" xfId="0" applyNumberFormat="1" applyFont="1" applyBorder="1"/>
    <xf numFmtId="165" fontId="5" fillId="0" borderId="0" xfId="3" applyNumberFormat="1" applyFont="1" applyBorder="1"/>
    <xf numFmtId="2" fontId="4" fillId="0" borderId="1" xfId="0" applyNumberFormat="1" applyFont="1" applyBorder="1"/>
    <xf numFmtId="165" fontId="12" fillId="0" borderId="0" xfId="3" applyNumberFormat="1" applyFont="1" applyBorder="1"/>
    <xf numFmtId="2" fontId="11" fillId="0" borderId="0" xfId="3" applyNumberFormat="1" applyFont="1" applyBorder="1"/>
    <xf numFmtId="166" fontId="11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4" fillId="7" borderId="3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7" borderId="5" xfId="0" applyNumberFormat="1" applyFont="1" applyFill="1" applyBorder="1" applyAlignment="1">
      <alignment horizontal="center" vertical="center"/>
    </xf>
    <xf numFmtId="165" fontId="13" fillId="0" borderId="0" xfId="3" applyNumberFormat="1" applyFont="1" applyBorder="1"/>
    <xf numFmtId="2" fontId="10" fillId="0" borderId="0" xfId="3" applyNumberFormat="1" applyFont="1" applyBorder="1"/>
    <xf numFmtId="1" fontId="8" fillId="0" borderId="0" xfId="3" applyNumberFormat="1" applyFont="1" applyFill="1" applyBorder="1"/>
    <xf numFmtId="165" fontId="5" fillId="0" borderId="0" xfId="3" applyNumberFormat="1" applyFont="1" applyFill="1" applyBorder="1"/>
    <xf numFmtId="0" fontId="4" fillId="0" borderId="0" xfId="3" applyFont="1" applyFill="1" applyBorder="1"/>
    <xf numFmtId="2" fontId="10" fillId="0" borderId="0" xfId="3" applyNumberFormat="1" applyFont="1" applyFill="1" applyBorder="1"/>
    <xf numFmtId="165" fontId="5" fillId="0" borderId="0" xfId="3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" fontId="8" fillId="0" borderId="0" xfId="3" applyNumberFormat="1" applyFont="1" applyBorder="1"/>
    <xf numFmtId="0" fontId="5" fillId="0" borderId="0" xfId="3" quotePrefix="1" applyFont="1" applyFill="1" applyBorder="1"/>
    <xf numFmtId="165" fontId="4" fillId="0" borderId="0" xfId="3" applyNumberFormat="1" applyFont="1" applyFill="1" applyBorder="1"/>
    <xf numFmtId="2" fontId="5" fillId="0" borderId="0" xfId="3" applyNumberFormat="1" applyFont="1" applyFill="1" applyBorder="1"/>
    <xf numFmtId="2" fontId="4" fillId="0" borderId="0" xfId="3" applyNumberFormat="1" applyFont="1" applyBorder="1"/>
    <xf numFmtId="165" fontId="4" fillId="0" borderId="0" xfId="4" applyNumberFormat="1" applyFont="1" applyFill="1" applyBorder="1" applyAlignment="1">
      <alignment horizontal="right"/>
    </xf>
    <xf numFmtId="165" fontId="4" fillId="0" borderId="0" xfId="5" applyNumberFormat="1" applyFont="1" applyFill="1" applyBorder="1"/>
    <xf numFmtId="0" fontId="19" fillId="8" borderId="0" xfId="6" applyFont="1" applyFill="1" applyAlignment="1">
      <alignment horizontal="left"/>
    </xf>
    <xf numFmtId="0" fontId="20" fillId="8" borderId="0" xfId="6" applyFont="1" applyFill="1" applyAlignment="1">
      <alignment horizontal="center"/>
    </xf>
    <xf numFmtId="0" fontId="21" fillId="8" borderId="0" xfId="6" applyFont="1" applyFill="1" applyAlignment="1">
      <alignment horizontal="right"/>
    </xf>
    <xf numFmtId="0" fontId="21" fillId="8" borderId="0" xfId="6" applyFont="1" applyFill="1" applyAlignment="1">
      <alignment horizontal="left"/>
    </xf>
    <xf numFmtId="168" fontId="21" fillId="8" borderId="0" xfId="6" applyNumberFormat="1" applyFont="1" applyFill="1" applyAlignment="1">
      <alignment horizontal="left"/>
    </xf>
    <xf numFmtId="0" fontId="0" fillId="9" borderId="0" xfId="0" applyFill="1"/>
    <xf numFmtId="0" fontId="22" fillId="8" borderId="0" xfId="6" applyFont="1" applyFill="1"/>
    <xf numFmtId="0" fontId="23" fillId="10" borderId="0" xfId="6" applyFont="1" applyFill="1" applyAlignment="1">
      <alignment horizontal="left"/>
    </xf>
    <xf numFmtId="0" fontId="4" fillId="10" borderId="0" xfId="6" applyFont="1" applyFill="1" applyAlignment="1">
      <alignment horizontal="center"/>
    </xf>
    <xf numFmtId="0" fontId="24" fillId="10" borderId="0" xfId="6" applyFont="1" applyFill="1" applyAlignment="1">
      <alignment horizontal="center"/>
    </xf>
    <xf numFmtId="169" fontId="0" fillId="9" borderId="0" xfId="0" applyNumberFormat="1" applyFill="1"/>
    <xf numFmtId="0" fontId="23" fillId="0" borderId="6" xfId="0" applyFont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left" vertical="center"/>
    </xf>
    <xf numFmtId="4" fontId="2" fillId="0" borderId="7" xfId="0" applyNumberFormat="1" applyFont="1" applyFill="1" applyBorder="1"/>
    <xf numFmtId="170" fontId="0" fillId="0" borderId="6" xfId="0" applyNumberFormat="1" applyBorder="1"/>
    <xf numFmtId="170" fontId="2" fillId="6" borderId="6" xfId="0" applyNumberFormat="1" applyFont="1" applyFill="1" applyBorder="1"/>
    <xf numFmtId="170" fontId="2" fillId="0" borderId="7" xfId="0" applyNumberFormat="1" applyFont="1" applyFill="1" applyBorder="1"/>
    <xf numFmtId="171" fontId="0" fillId="0" borderId="6" xfId="0" applyNumberFormat="1" applyBorder="1"/>
    <xf numFmtId="0" fontId="23" fillId="10" borderId="0" xfId="6" applyFont="1" applyFill="1"/>
    <xf numFmtId="0" fontId="25" fillId="0" borderId="8" xfId="0" applyFont="1" applyFill="1" applyBorder="1" applyAlignment="1">
      <alignment horizontal="left" vertical="center"/>
    </xf>
    <xf numFmtId="4" fontId="2" fillId="0" borderId="8" xfId="0" applyNumberFormat="1" applyFont="1" applyFill="1" applyBorder="1"/>
    <xf numFmtId="165" fontId="0" fillId="9" borderId="6" xfId="0" applyNumberFormat="1" applyFont="1" applyFill="1" applyBorder="1" applyAlignment="1">
      <alignment horizontal="right"/>
    </xf>
    <xf numFmtId="165" fontId="0" fillId="0" borderId="6" xfId="0" applyNumberFormat="1" applyFont="1" applyFill="1" applyBorder="1" applyAlignment="1">
      <alignment horizontal="right"/>
    </xf>
    <xf numFmtId="165" fontId="0" fillId="0" borderId="6" xfId="0" applyNumberFormat="1" applyFont="1" applyBorder="1" applyAlignment="1">
      <alignment horizontal="right"/>
    </xf>
    <xf numFmtId="2" fontId="0" fillId="9" borderId="0" xfId="0" applyNumberFormat="1" applyFill="1"/>
    <xf numFmtId="165" fontId="2" fillId="6" borderId="6" xfId="0" applyNumberFormat="1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165" fontId="0" fillId="9" borderId="0" xfId="0" applyNumberFormat="1" applyFill="1"/>
    <xf numFmtId="165" fontId="2" fillId="9" borderId="6" xfId="0" applyNumberFormat="1" applyFont="1" applyFill="1" applyBorder="1" applyAlignment="1">
      <alignment horizontal="right"/>
    </xf>
    <xf numFmtId="2" fontId="0" fillId="9" borderId="6" xfId="0" applyNumberFormat="1" applyFont="1" applyFill="1" applyBorder="1" applyAlignment="1">
      <alignment horizontal="right"/>
    </xf>
    <xf numFmtId="172" fontId="0" fillId="9" borderId="6" xfId="0" applyNumberFormat="1" applyFont="1" applyFill="1" applyBorder="1" applyAlignment="1">
      <alignment horizontal="right"/>
    </xf>
    <xf numFmtId="165" fontId="27" fillId="9" borderId="6" xfId="0" applyNumberFormat="1" applyFont="1" applyFill="1" applyBorder="1" applyAlignment="1">
      <alignment horizontal="right"/>
    </xf>
    <xf numFmtId="165" fontId="0" fillId="6" borderId="6" xfId="0" applyNumberFormat="1" applyFont="1" applyFill="1" applyBorder="1" applyAlignment="1">
      <alignment horizontal="right"/>
    </xf>
    <xf numFmtId="165" fontId="0" fillId="0" borderId="7" xfId="0" applyNumberFormat="1" applyFont="1" applyFill="1" applyBorder="1" applyAlignment="1">
      <alignment horizontal="right"/>
    </xf>
    <xf numFmtId="2" fontId="0" fillId="0" borderId="6" xfId="0" applyNumberFormat="1" applyFont="1" applyBorder="1" applyAlignment="1">
      <alignment horizontal="right"/>
    </xf>
    <xf numFmtId="173" fontId="0" fillId="0" borderId="6" xfId="0" applyNumberFormat="1" applyFont="1" applyBorder="1" applyAlignment="1">
      <alignment horizontal="right"/>
    </xf>
    <xf numFmtId="0" fontId="4" fillId="12" borderId="0" xfId="0" applyFont="1" applyFill="1" applyBorder="1"/>
    <xf numFmtId="0" fontId="4" fillId="12" borderId="0" xfId="0" applyFont="1" applyFill="1" applyBorder="1" applyAlignment="1">
      <alignment horizontal="center" vertical="center"/>
    </xf>
    <xf numFmtId="0" fontId="2" fillId="12" borderId="1" xfId="3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2" fillId="12" borderId="1" xfId="3" applyFont="1" applyFill="1" applyBorder="1"/>
    <xf numFmtId="0" fontId="2" fillId="12" borderId="3" xfId="3" applyFont="1" applyFill="1" applyBorder="1"/>
    <xf numFmtId="0" fontId="2" fillId="12" borderId="2" xfId="3" applyFont="1" applyFill="1" applyBorder="1"/>
    <xf numFmtId="165" fontId="6" fillId="0" borderId="1" xfId="3" applyNumberFormat="1" applyFont="1" applyBorder="1"/>
    <xf numFmtId="166" fontId="9" fillId="0" borderId="0" xfId="4" applyNumberFormat="1" applyFont="1" applyBorder="1"/>
    <xf numFmtId="0" fontId="4" fillId="4" borderId="4" xfId="0" applyFont="1" applyFill="1" applyBorder="1"/>
    <xf numFmtId="0" fontId="4" fillId="4" borderId="9" xfId="3" applyFont="1" applyFill="1" applyBorder="1"/>
    <xf numFmtId="165" fontId="4" fillId="4" borderId="4" xfId="3" applyNumberFormat="1" applyFont="1" applyFill="1" applyBorder="1"/>
    <xf numFmtId="0" fontId="4" fillId="4" borderId="4" xfId="3" applyFont="1" applyFill="1" applyBorder="1"/>
    <xf numFmtId="165" fontId="5" fillId="4" borderId="3" xfId="3" applyNumberFormat="1" applyFont="1" applyFill="1" applyBorder="1" applyAlignment="1">
      <alignment horizontal="center" vertical="center"/>
    </xf>
    <xf numFmtId="0" fontId="4" fillId="4" borderId="2" xfId="3" applyFont="1" applyFill="1" applyBorder="1"/>
    <xf numFmtId="165" fontId="4" fillId="4" borderId="3" xfId="3" applyNumberFormat="1" applyFont="1" applyFill="1" applyBorder="1"/>
    <xf numFmtId="0" fontId="4" fillId="4" borderId="3" xfId="3" applyFont="1" applyFill="1" applyBorder="1"/>
    <xf numFmtId="165" fontId="4" fillId="4" borderId="2" xfId="3" applyNumberFormat="1" applyFont="1" applyFill="1" applyBorder="1"/>
    <xf numFmtId="165" fontId="5" fillId="4" borderId="5" xfId="3" applyNumberFormat="1" applyFont="1" applyFill="1" applyBorder="1" applyAlignment="1">
      <alignment horizontal="center" vertical="center"/>
    </xf>
    <xf numFmtId="0" fontId="4" fillId="4" borderId="10" xfId="3" applyFont="1" applyFill="1" applyBorder="1"/>
    <xf numFmtId="165" fontId="4" fillId="4" borderId="5" xfId="3" applyNumberFormat="1" applyFont="1" applyFill="1" applyBorder="1"/>
    <xf numFmtId="0" fontId="4" fillId="4" borderId="5" xfId="3" applyFont="1" applyFill="1" applyBorder="1"/>
    <xf numFmtId="165" fontId="4" fillId="0" borderId="0" xfId="0" applyNumberFormat="1" applyFont="1" applyFill="1" applyBorder="1"/>
    <xf numFmtId="0" fontId="4" fillId="7" borderId="1" xfId="0" applyFont="1" applyFill="1" applyBorder="1"/>
    <xf numFmtId="165" fontId="4" fillId="7" borderId="1" xfId="0" applyNumberFormat="1" applyFont="1" applyFill="1" applyBorder="1"/>
    <xf numFmtId="165" fontId="4" fillId="7" borderId="3" xfId="0" applyNumberFormat="1" applyFont="1" applyFill="1" applyBorder="1"/>
    <xf numFmtId="0" fontId="4" fillId="7" borderId="3" xfId="0" applyFont="1" applyFill="1" applyBorder="1"/>
    <xf numFmtId="0" fontId="4" fillId="5" borderId="4" xfId="0" applyFont="1" applyFill="1" applyBorder="1"/>
    <xf numFmtId="165" fontId="4" fillId="5" borderId="9" xfId="3" applyNumberFormat="1" applyFont="1" applyFill="1" applyBorder="1" applyAlignment="1">
      <alignment horizontal="center" vertical="center"/>
    </xf>
    <xf numFmtId="165" fontId="4" fillId="5" borderId="4" xfId="3" applyNumberFormat="1" applyFont="1" applyFill="1" applyBorder="1" applyAlignment="1">
      <alignment horizontal="center" vertical="center"/>
    </xf>
    <xf numFmtId="165" fontId="5" fillId="5" borderId="3" xfId="3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/>
    <xf numFmtId="165" fontId="5" fillId="5" borderId="5" xfId="3" applyNumberFormat="1" applyFont="1" applyFill="1" applyBorder="1" applyAlignment="1">
      <alignment horizontal="center" vertical="center"/>
    </xf>
    <xf numFmtId="165" fontId="4" fillId="5" borderId="10" xfId="3" applyNumberFormat="1" applyFont="1" applyFill="1" applyBorder="1" applyAlignment="1">
      <alignment horizontal="center" vertical="center"/>
    </xf>
    <xf numFmtId="165" fontId="4" fillId="5" borderId="5" xfId="3" applyNumberFormat="1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8" xfId="0" applyFont="1" applyFill="1" applyBorder="1" applyAlignment="1">
      <alignment horizontal="center"/>
    </xf>
    <xf numFmtId="165" fontId="5" fillId="6" borderId="3" xfId="3" applyNumberFormat="1" applyFont="1" applyFill="1" applyBorder="1" applyAlignment="1">
      <alignment horizontal="center" vertical="center"/>
    </xf>
    <xf numFmtId="165" fontId="4" fillId="6" borderId="3" xfId="3" applyNumberFormat="1" applyFont="1" applyFill="1" applyBorder="1" applyAlignment="1">
      <alignment horizontal="center" vertical="center"/>
    </xf>
    <xf numFmtId="165" fontId="4" fillId="6" borderId="2" xfId="3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/>
    </xf>
    <xf numFmtId="165" fontId="4" fillId="6" borderId="3" xfId="0" applyNumberFormat="1" applyFont="1" applyFill="1" applyBorder="1" applyAlignment="1">
      <alignment horizontal="center"/>
    </xf>
    <xf numFmtId="165" fontId="5" fillId="6" borderId="5" xfId="3" applyNumberFormat="1" applyFont="1" applyFill="1" applyBorder="1" applyAlignment="1">
      <alignment horizontal="center" vertical="center"/>
    </xf>
    <xf numFmtId="165" fontId="4" fillId="6" borderId="5" xfId="3" applyNumberFormat="1" applyFont="1" applyFill="1" applyBorder="1" applyAlignment="1">
      <alignment horizontal="center" vertical="center"/>
    </xf>
    <xf numFmtId="165" fontId="4" fillId="6" borderId="10" xfId="3" applyNumberFormat="1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2" xfId="0" applyFont="1" applyFill="1" applyBorder="1"/>
    <xf numFmtId="165" fontId="5" fillId="7" borderId="0" xfId="3" applyNumberFormat="1" applyFont="1" applyFill="1" applyBorder="1" applyAlignment="1">
      <alignment horizontal="center" vertical="center"/>
    </xf>
    <xf numFmtId="165" fontId="4" fillId="7" borderId="2" xfId="0" applyNumberFormat="1" applyFont="1" applyFill="1" applyBorder="1"/>
    <xf numFmtId="165" fontId="4" fillId="7" borderId="0" xfId="0" applyNumberFormat="1" applyFont="1" applyFill="1" applyBorder="1"/>
    <xf numFmtId="0" fontId="5" fillId="7" borderId="0" xfId="0" applyFont="1" applyFill="1" applyBorder="1" applyAlignment="1"/>
    <xf numFmtId="0" fontId="4" fillId="7" borderId="3" xfId="3" applyFont="1" applyFill="1" applyBorder="1"/>
    <xf numFmtId="165" fontId="4" fillId="7" borderId="1" xfId="3" applyNumberFormat="1" applyFont="1" applyFill="1" applyBorder="1"/>
    <xf numFmtId="2" fontId="4" fillId="7" borderId="3" xfId="3" applyNumberFormat="1" applyFont="1" applyFill="1" applyBorder="1"/>
    <xf numFmtId="2" fontId="4" fillId="7" borderId="0" xfId="3" applyNumberFormat="1" applyFont="1" applyFill="1" applyBorder="1"/>
    <xf numFmtId="0" fontId="4" fillId="7" borderId="1" xfId="3" applyFont="1" applyFill="1" applyBorder="1"/>
    <xf numFmtId="168" fontId="21" fillId="8" borderId="0" xfId="6" applyNumberFormat="1" applyFont="1" applyFill="1" applyAlignment="1">
      <alignment horizontal="center"/>
    </xf>
    <xf numFmtId="0" fontId="4" fillId="9" borderId="0" xfId="6" applyFont="1" applyFill="1"/>
    <xf numFmtId="0" fontId="29" fillId="9" borderId="0" xfId="6" applyFont="1" applyFill="1" applyAlignment="1">
      <alignment horizontal="center"/>
    </xf>
    <xf numFmtId="0" fontId="24" fillId="9" borderId="0" xfId="6" applyFont="1" applyFill="1" applyAlignment="1">
      <alignment horizontal="center"/>
    </xf>
    <xf numFmtId="0" fontId="4" fillId="9" borderId="0" xfId="6" applyFont="1" applyFill="1" applyAlignment="1">
      <alignment horizontal="center"/>
    </xf>
    <xf numFmtId="0" fontId="30" fillId="9" borderId="0" xfId="6" applyFont="1" applyFill="1"/>
    <xf numFmtId="0" fontId="31" fillId="9" borderId="0" xfId="6" applyFont="1" applyFill="1" applyAlignment="1">
      <alignment horizontal="center"/>
    </xf>
    <xf numFmtId="0" fontId="30" fillId="9" borderId="0" xfId="0" applyFont="1" applyFill="1"/>
    <xf numFmtId="168" fontId="31" fillId="9" borderId="0" xfId="6" applyNumberFormat="1" applyFont="1" applyFill="1" applyAlignment="1">
      <alignment horizontal="center"/>
    </xf>
    <xf numFmtId="0" fontId="4" fillId="8" borderId="0" xfId="6" applyFont="1" applyFill="1" applyAlignment="1">
      <alignment horizontal="center"/>
    </xf>
    <xf numFmtId="0" fontId="4" fillId="9" borderId="11" xfId="6" applyFont="1" applyFill="1" applyBorder="1"/>
    <xf numFmtId="0" fontId="5" fillId="9" borderId="12" xfId="6" applyFont="1" applyFill="1" applyBorder="1" applyAlignment="1">
      <alignment horizontal="center"/>
    </xf>
    <xf numFmtId="0" fontId="4" fillId="9" borderId="15" xfId="6" applyFont="1" applyFill="1" applyBorder="1"/>
    <xf numFmtId="165" fontId="4" fillId="9" borderId="0" xfId="6" applyNumberFormat="1" applyFont="1" applyFill="1" applyBorder="1" applyAlignment="1">
      <alignment horizontal="center"/>
    </xf>
    <xf numFmtId="165" fontId="4" fillId="9" borderId="0" xfId="6" applyNumberFormat="1" applyFont="1" applyFill="1"/>
    <xf numFmtId="0" fontId="4" fillId="9" borderId="21" xfId="6" applyFont="1" applyFill="1" applyBorder="1"/>
    <xf numFmtId="165" fontId="32" fillId="9" borderId="22" xfId="6" applyNumberFormat="1" applyFont="1" applyFill="1" applyBorder="1" applyAlignment="1">
      <alignment horizontal="center"/>
    </xf>
    <xf numFmtId="14" fontId="4" fillId="9" borderId="0" xfId="6" applyNumberFormat="1" applyFont="1" applyFill="1"/>
    <xf numFmtId="2" fontId="24" fillId="9" borderId="0" xfId="6" applyNumberFormat="1" applyFont="1" applyFill="1" applyAlignment="1">
      <alignment horizontal="center"/>
    </xf>
    <xf numFmtId="0" fontId="33" fillId="9" borderId="13" xfId="6" applyFont="1" applyFill="1" applyBorder="1" applyAlignment="1">
      <alignment horizontal="center"/>
    </xf>
    <xf numFmtId="0" fontId="33" fillId="9" borderId="12" xfId="6" applyFont="1" applyFill="1" applyBorder="1" applyAlignment="1">
      <alignment horizontal="center"/>
    </xf>
    <xf numFmtId="0" fontId="33" fillId="9" borderId="14" xfId="6" applyFont="1" applyFill="1" applyBorder="1" applyAlignment="1">
      <alignment horizontal="center"/>
    </xf>
    <xf numFmtId="165" fontId="32" fillId="9" borderId="16" xfId="6" applyNumberFormat="1" applyFont="1" applyFill="1" applyBorder="1" applyAlignment="1">
      <alignment horizontal="center"/>
    </xf>
    <xf numFmtId="165" fontId="32" fillId="9" borderId="17" xfId="6" applyNumberFormat="1" applyFont="1" applyFill="1" applyBorder="1" applyAlignment="1">
      <alignment horizontal="center"/>
    </xf>
    <xf numFmtId="173" fontId="4" fillId="9" borderId="0" xfId="6" applyNumberFormat="1" applyFont="1" applyFill="1"/>
    <xf numFmtId="2" fontId="4" fillId="9" borderId="0" xfId="6" applyNumberFormat="1" applyFont="1" applyFill="1"/>
    <xf numFmtId="165" fontId="32" fillId="9" borderId="19" xfId="6" applyNumberFormat="1" applyFont="1" applyFill="1" applyBorder="1" applyAlignment="1">
      <alignment horizontal="center"/>
    </xf>
    <xf numFmtId="165" fontId="32" fillId="9" borderId="0" xfId="6" applyNumberFormat="1" applyFont="1" applyFill="1" applyBorder="1" applyAlignment="1">
      <alignment horizontal="center"/>
    </xf>
    <xf numFmtId="165" fontId="32" fillId="9" borderId="20" xfId="6" applyNumberFormat="1" applyFont="1" applyFill="1" applyBorder="1" applyAlignment="1">
      <alignment horizontal="center"/>
    </xf>
    <xf numFmtId="167" fontId="33" fillId="9" borderId="19" xfId="7" applyNumberFormat="1" applyFont="1" applyFill="1" applyBorder="1" applyAlignment="1">
      <alignment horizontal="center"/>
    </xf>
    <xf numFmtId="167" fontId="33" fillId="9" borderId="0" xfId="7" applyNumberFormat="1" applyFont="1" applyFill="1" applyBorder="1" applyAlignment="1">
      <alignment horizontal="center"/>
    </xf>
    <xf numFmtId="167" fontId="33" fillId="9" borderId="20" xfId="7" applyNumberFormat="1" applyFont="1" applyFill="1" applyBorder="1" applyAlignment="1">
      <alignment horizontal="center"/>
    </xf>
    <xf numFmtId="165" fontId="4" fillId="9" borderId="23" xfId="6" applyNumberFormat="1" applyFont="1" applyFill="1" applyBorder="1" applyAlignment="1">
      <alignment horizontal="center"/>
    </xf>
    <xf numFmtId="174" fontId="4" fillId="9" borderId="15" xfId="8" applyFont="1" applyFill="1" applyBorder="1"/>
    <xf numFmtId="165" fontId="34" fillId="9" borderId="0" xfId="6" applyNumberFormat="1" applyFont="1" applyFill="1" applyBorder="1" applyAlignment="1">
      <alignment horizontal="center"/>
    </xf>
    <xf numFmtId="167" fontId="4" fillId="9" borderId="0" xfId="2" applyNumberFormat="1" applyFont="1" applyFill="1"/>
    <xf numFmtId="174" fontId="33" fillId="9" borderId="15" xfId="8" applyFont="1" applyFill="1" applyBorder="1"/>
    <xf numFmtId="165" fontId="4" fillId="9" borderId="22" xfId="6" applyNumberFormat="1" applyFont="1" applyFill="1" applyBorder="1" applyAlignment="1">
      <alignment horizontal="center"/>
    </xf>
    <xf numFmtId="14" fontId="4" fillId="9" borderId="11" xfId="9" applyNumberFormat="1" applyFont="1" applyFill="1" applyBorder="1"/>
    <xf numFmtId="165" fontId="35" fillId="9" borderId="12" xfId="9" applyNumberFormat="1" applyFont="1" applyFill="1" applyBorder="1" applyAlignment="1">
      <alignment horizontal="center"/>
    </xf>
    <xf numFmtId="14" fontId="4" fillId="9" borderId="0" xfId="9" applyNumberFormat="1" applyFont="1" applyFill="1" applyBorder="1"/>
    <xf numFmtId="165" fontId="35" fillId="9" borderId="0" xfId="9" applyNumberFormat="1" applyFont="1" applyFill="1" applyBorder="1" applyAlignment="1">
      <alignment horizontal="center"/>
    </xf>
    <xf numFmtId="1" fontId="24" fillId="9" borderId="0" xfId="6" applyNumberFormat="1" applyFont="1" applyFill="1" applyAlignment="1">
      <alignment horizontal="center"/>
    </xf>
    <xf numFmtId="0" fontId="4" fillId="9" borderId="11" xfId="6" applyFont="1" applyFill="1" applyBorder="1" applyAlignment="1">
      <alignment horizontal="left"/>
    </xf>
    <xf numFmtId="173" fontId="32" fillId="9" borderId="22" xfId="6" applyNumberFormat="1" applyFont="1" applyFill="1" applyBorder="1" applyAlignment="1">
      <alignment horizontal="center"/>
    </xf>
    <xf numFmtId="0" fontId="36" fillId="9" borderId="0" xfId="6" applyFont="1" applyFill="1"/>
    <xf numFmtId="0" fontId="37" fillId="8" borderId="0" xfId="6" applyFont="1" applyFill="1" applyAlignment="1">
      <alignment horizontal="center"/>
    </xf>
    <xf numFmtId="0" fontId="5" fillId="9" borderId="21" xfId="6" applyFont="1" applyFill="1" applyBorder="1"/>
    <xf numFmtId="2" fontId="4" fillId="9" borderId="0" xfId="6" applyNumberFormat="1" applyFont="1" applyFill="1" applyBorder="1" applyAlignment="1">
      <alignment horizontal="center"/>
    </xf>
    <xf numFmtId="165" fontId="4" fillId="9" borderId="20" xfId="6" applyNumberFormat="1" applyFont="1" applyFill="1" applyBorder="1" applyAlignment="1">
      <alignment horizontal="center"/>
    </xf>
    <xf numFmtId="2" fontId="4" fillId="9" borderId="0" xfId="6" applyNumberFormat="1" applyFont="1" applyFill="1" applyAlignment="1">
      <alignment horizontal="center"/>
    </xf>
    <xf numFmtId="0" fontId="4" fillId="9" borderId="11" xfId="0" applyFont="1" applyFill="1" applyBorder="1"/>
    <xf numFmtId="2" fontId="5" fillId="9" borderId="22" xfId="6" applyNumberFormat="1" applyFont="1" applyFill="1" applyBorder="1" applyAlignment="1">
      <alignment horizontal="center"/>
    </xf>
    <xf numFmtId="9" fontId="4" fillId="9" borderId="0" xfId="2" applyFont="1" applyFill="1"/>
    <xf numFmtId="165" fontId="0" fillId="9" borderId="0" xfId="0" applyNumberFormat="1" applyFill="1" applyAlignment="1">
      <alignment horizontal="center"/>
    </xf>
    <xf numFmtId="2" fontId="32" fillId="9" borderId="0" xfId="8" applyNumberFormat="1" applyFont="1" applyFill="1" applyBorder="1" applyAlignment="1">
      <alignment horizontal="center"/>
    </xf>
    <xf numFmtId="2" fontId="32" fillId="9" borderId="0" xfId="6" applyNumberFormat="1" applyFont="1" applyFill="1" applyBorder="1" applyAlignment="1">
      <alignment horizontal="center"/>
    </xf>
    <xf numFmtId="165" fontId="4" fillId="9" borderId="0" xfId="6" applyNumberFormat="1" applyFont="1" applyFill="1" applyAlignment="1">
      <alignment horizontal="center"/>
    </xf>
    <xf numFmtId="173" fontId="4" fillId="9" borderId="0" xfId="6" applyNumberFormat="1" applyFont="1" applyFill="1" applyAlignment="1">
      <alignment horizontal="center"/>
    </xf>
    <xf numFmtId="165" fontId="4" fillId="10" borderId="0" xfId="6" applyNumberFormat="1" applyFont="1" applyFill="1" applyAlignment="1">
      <alignment horizontal="center"/>
    </xf>
    <xf numFmtId="165" fontId="4" fillId="9" borderId="0" xfId="6" applyNumberFormat="1" applyFont="1" applyFill="1" applyBorder="1"/>
    <xf numFmtId="0" fontId="4" fillId="9" borderId="19" xfId="6" applyFont="1" applyFill="1" applyBorder="1"/>
    <xf numFmtId="0" fontId="4" fillId="9" borderId="0" xfId="6" applyFont="1" applyFill="1" applyBorder="1"/>
    <xf numFmtId="0" fontId="5" fillId="9" borderId="15" xfId="6" applyFont="1" applyFill="1" applyBorder="1"/>
    <xf numFmtId="170" fontId="4" fillId="9" borderId="0" xfId="6" applyNumberFormat="1" applyFont="1" applyFill="1" applyBorder="1" applyAlignment="1">
      <alignment horizontal="center"/>
    </xf>
    <xf numFmtId="1" fontId="32" fillId="9" borderId="0" xfId="6" applyNumberFormat="1" applyFont="1" applyFill="1" applyBorder="1" applyAlignment="1">
      <alignment horizontal="center"/>
    </xf>
    <xf numFmtId="10" fontId="4" fillId="9" borderId="0" xfId="2" applyNumberFormat="1" applyFont="1" applyFill="1"/>
    <xf numFmtId="1" fontId="4" fillId="9" borderId="22" xfId="6" applyNumberFormat="1" applyFont="1" applyFill="1" applyBorder="1" applyAlignment="1">
      <alignment horizontal="center"/>
    </xf>
    <xf numFmtId="3" fontId="4" fillId="9" borderId="0" xfId="6" applyNumberFormat="1" applyFont="1" applyFill="1" applyBorder="1" applyAlignment="1">
      <alignment horizontal="center"/>
    </xf>
    <xf numFmtId="9" fontId="4" fillId="9" borderId="0" xfId="2" applyFont="1" applyFill="1" applyAlignment="1">
      <alignment horizontal="center"/>
    </xf>
    <xf numFmtId="3" fontId="4" fillId="10" borderId="0" xfId="6" applyNumberFormat="1" applyFont="1" applyFill="1" applyBorder="1" applyAlignment="1">
      <alignment horizontal="center"/>
    </xf>
    <xf numFmtId="14" fontId="4" fillId="9" borderId="0" xfId="6" applyNumberFormat="1" applyFont="1" applyFill="1" applyAlignment="1">
      <alignment horizontal="center"/>
    </xf>
    <xf numFmtId="0" fontId="23" fillId="10" borderId="0" xfId="6" applyFont="1" applyFill="1" applyAlignment="1">
      <alignment horizontal="center"/>
    </xf>
    <xf numFmtId="0" fontId="36" fillId="9" borderId="0" xfId="6" applyFont="1" applyFill="1" applyBorder="1"/>
    <xf numFmtId="173" fontId="32" fillId="9" borderId="23" xfId="6" applyNumberFormat="1" applyFont="1" applyFill="1" applyBorder="1" applyAlignment="1">
      <alignment horizontal="center"/>
    </xf>
    <xf numFmtId="0" fontId="38" fillId="9" borderId="0" xfId="0" applyFont="1" applyFill="1"/>
    <xf numFmtId="167" fontId="4" fillId="9" borderId="0" xfId="6" applyNumberFormat="1" applyFont="1" applyFill="1"/>
    <xf numFmtId="0" fontId="5" fillId="9" borderId="17" xfId="6" applyFont="1" applyFill="1" applyBorder="1"/>
    <xf numFmtId="49" fontId="24" fillId="9" borderId="0" xfId="6" applyNumberFormat="1" applyFont="1" applyFill="1" applyAlignment="1">
      <alignment horizontal="center"/>
    </xf>
    <xf numFmtId="0" fontId="5" fillId="9" borderId="0" xfId="6" applyFont="1" applyFill="1" applyBorder="1"/>
    <xf numFmtId="0" fontId="4" fillId="9" borderId="15" xfId="6" applyFont="1" applyFill="1" applyBorder="1" applyAlignment="1">
      <alignment horizontal="left"/>
    </xf>
    <xf numFmtId="0" fontId="4" fillId="9" borderId="21" xfId="6" applyFont="1" applyFill="1" applyBorder="1" applyAlignment="1">
      <alignment horizontal="left"/>
    </xf>
    <xf numFmtId="173" fontId="32" fillId="9" borderId="0" xfId="6" applyNumberFormat="1" applyFont="1" applyFill="1" applyBorder="1" applyAlignment="1">
      <alignment horizontal="center"/>
    </xf>
    <xf numFmtId="1" fontId="4" fillId="9" borderId="0" xfId="6" applyNumberFormat="1" applyFont="1" applyFill="1"/>
    <xf numFmtId="165" fontId="4" fillId="13" borderId="1" xfId="0" applyNumberFormat="1" applyFont="1" applyFill="1" applyBorder="1"/>
    <xf numFmtId="165" fontId="4" fillId="13" borderId="3" xfId="0" applyNumberFormat="1" applyFont="1" applyFill="1" applyBorder="1"/>
    <xf numFmtId="165" fontId="4" fillId="15" borderId="1" xfId="0" applyNumberFormat="1" applyFont="1" applyFill="1" applyBorder="1"/>
    <xf numFmtId="173" fontId="6" fillId="0" borderId="1" xfId="3" applyNumberFormat="1" applyFont="1" applyBorder="1"/>
    <xf numFmtId="2" fontId="4" fillId="13" borderId="3" xfId="0" applyNumberFormat="1" applyFont="1" applyFill="1" applyBorder="1"/>
    <xf numFmtId="0" fontId="4" fillId="15" borderId="1" xfId="0" applyFont="1" applyFill="1" applyBorder="1"/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25" fillId="6" borderId="6" xfId="0" applyFont="1" applyFill="1" applyBorder="1" applyAlignment="1">
      <alignment horizontal="left" vertical="center"/>
    </xf>
    <xf numFmtId="4" fontId="0" fillId="0" borderId="6" xfId="0" applyNumberFormat="1" applyBorder="1"/>
    <xf numFmtId="0" fontId="26" fillId="0" borderId="6" xfId="0" applyFont="1" applyBorder="1" applyAlignment="1">
      <alignment horizontal="left" vertical="center"/>
    </xf>
    <xf numFmtId="0" fontId="1" fillId="10" borderId="0" xfId="0" applyFont="1" applyFill="1"/>
    <xf numFmtId="0" fontId="39" fillId="10" borderId="0" xfId="0" applyFont="1" applyFill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/>
    <xf numFmtId="4" fontId="0" fillId="11" borderId="6" xfId="0" applyNumberFormat="1" applyFill="1" applyBorder="1"/>
    <xf numFmtId="4" fontId="2" fillId="6" borderId="6" xfId="0" applyNumberFormat="1" applyFont="1" applyFill="1" applyBorder="1"/>
    <xf numFmtId="176" fontId="0" fillId="0" borderId="6" xfId="0" applyNumberFormat="1" applyBorder="1"/>
    <xf numFmtId="165" fontId="4" fillId="15" borderId="3" xfId="0" applyNumberFormat="1" applyFont="1" applyFill="1" applyBorder="1" applyAlignment="1"/>
    <xf numFmtId="165" fontId="4" fillId="13" borderId="0" xfId="3" applyNumberFormat="1" applyFont="1" applyFill="1" applyBorder="1"/>
    <xf numFmtId="0" fontId="28" fillId="0" borderId="0" xfId="3" applyFont="1" applyBorder="1"/>
    <xf numFmtId="165" fontId="0" fillId="13" borderId="0" xfId="0" applyNumberFormat="1" applyFill="1"/>
    <xf numFmtId="2" fontId="4" fillId="13" borderId="1" xfId="0" applyNumberFormat="1" applyFont="1" applyFill="1" applyBorder="1"/>
    <xf numFmtId="2" fontId="4" fillId="14" borderId="1" xfId="0" applyNumberFormat="1" applyFont="1" applyFill="1" applyBorder="1"/>
    <xf numFmtId="0" fontId="4" fillId="6" borderId="0" xfId="3" applyFont="1" applyFill="1" applyBorder="1" applyAlignment="1">
      <alignment horizontal="center" vertical="center" wrapText="1"/>
    </xf>
    <xf numFmtId="165" fontId="5" fillId="6" borderId="0" xfId="3" applyNumberFormat="1" applyFont="1" applyFill="1" applyBorder="1" applyAlignment="1">
      <alignment horizontal="center" vertical="center"/>
    </xf>
    <xf numFmtId="165" fontId="4" fillId="6" borderId="0" xfId="3" applyNumberFormat="1" applyFont="1" applyFill="1" applyBorder="1" applyAlignment="1">
      <alignment horizontal="center" vertical="center"/>
    </xf>
    <xf numFmtId="165" fontId="4" fillId="13" borderId="0" xfId="0" applyNumberFormat="1" applyFont="1" applyFill="1" applyBorder="1"/>
    <xf numFmtId="165" fontId="28" fillId="0" borderId="1" xfId="3" applyNumberFormat="1" applyFont="1" applyBorder="1"/>
    <xf numFmtId="165" fontId="28" fillId="0" borderId="0" xfId="0" applyNumberFormat="1" applyFont="1" applyBorder="1" applyAlignment="1">
      <alignment horizontal="center"/>
    </xf>
    <xf numFmtId="165" fontId="4" fillId="6" borderId="1" xfId="3" applyNumberFormat="1" applyFont="1" applyFill="1" applyBorder="1" applyAlignment="1">
      <alignment horizontal="center" vertical="center"/>
    </xf>
    <xf numFmtId="0" fontId="7" fillId="0" borderId="0" xfId="0" applyFont="1" applyBorder="1"/>
    <xf numFmtId="2" fontId="28" fillId="0" borderId="0" xfId="3" applyNumberFormat="1" applyFont="1" applyBorder="1" applyAlignment="1">
      <alignment horizontal="center"/>
    </xf>
    <xf numFmtId="4" fontId="28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9" fontId="2" fillId="0" borderId="7" xfId="2" applyFont="1" applyFill="1" applyBorder="1"/>
    <xf numFmtId="173" fontId="0" fillId="9" borderId="6" xfId="0" applyNumberFormat="1" applyFont="1" applyFill="1" applyBorder="1" applyAlignment="1">
      <alignment horizontal="right"/>
    </xf>
    <xf numFmtId="165" fontId="28" fillId="0" borderId="0" xfId="0" applyNumberFormat="1" applyFont="1" applyBorder="1"/>
    <xf numFmtId="0" fontId="41" fillId="0" borderId="0" xfId="0" applyFont="1" applyAlignment="1">
      <alignment wrapText="1"/>
    </xf>
    <xf numFmtId="2" fontId="4" fillId="0" borderId="0" xfId="0" applyNumberFormat="1" applyFont="1" applyAlignment="1">
      <alignment horizontal="center" vertical="center"/>
    </xf>
    <xf numFmtId="165" fontId="4" fillId="4" borderId="3" xfId="3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4" fillId="5" borderId="3" xfId="3" applyNumberFormat="1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 wrapText="1"/>
    </xf>
    <xf numFmtId="165" fontId="4" fillId="6" borderId="0" xfId="3" applyNumberFormat="1" applyFont="1" applyFill="1" applyBorder="1" applyAlignment="1">
      <alignment horizontal="center" vertical="center"/>
    </xf>
    <xf numFmtId="165" fontId="4" fillId="6" borderId="3" xfId="3" applyNumberFormat="1" applyFont="1" applyFill="1" applyBorder="1" applyAlignment="1">
      <alignment horizontal="center" vertical="center"/>
    </xf>
    <xf numFmtId="165" fontId="5" fillId="7" borderId="0" xfId="3" applyNumberFormat="1" applyFont="1" applyFill="1" applyBorder="1" applyAlignment="1">
      <alignment horizontal="center" vertical="center"/>
    </xf>
    <xf numFmtId="165" fontId="4" fillId="4" borderId="2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6" borderId="1" xfId="3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7" borderId="0" xfId="0" applyFont="1" applyFill="1" applyBorder="1" applyAlignment="1"/>
    <xf numFmtId="165" fontId="4" fillId="6" borderId="2" xfId="3" applyNumberFormat="1" applyFont="1" applyFill="1" applyBorder="1" applyAlignment="1">
      <alignment horizontal="center" vertical="center"/>
    </xf>
    <xf numFmtId="165" fontId="5" fillId="6" borderId="0" xfId="3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3" applyFont="1" applyBorder="1"/>
    <xf numFmtId="173" fontId="10" fillId="0" borderId="0" xfId="3" applyNumberFormat="1" applyFont="1" applyBorder="1"/>
    <xf numFmtId="0" fontId="4" fillId="0" borderId="0" xfId="3" applyFont="1" applyBorder="1" applyAlignment="1">
      <alignment horizontal="center" vertical="center"/>
    </xf>
    <xf numFmtId="165" fontId="4" fillId="0" borderId="0" xfId="3" applyNumberFormat="1" applyFont="1" applyBorder="1" applyAlignment="1">
      <alignment horizontal="center" vertical="center"/>
    </xf>
    <xf numFmtId="2" fontId="9" fillId="0" borderId="0" xfId="3" applyNumberFormat="1" applyFont="1" applyBorder="1"/>
    <xf numFmtId="0" fontId="4" fillId="13" borderId="26" xfId="0" applyFont="1" applyFill="1" applyBorder="1"/>
    <xf numFmtId="165" fontId="4" fillId="13" borderId="27" xfId="3" applyNumberFormat="1" applyFont="1" applyFill="1" applyBorder="1" applyAlignment="1">
      <alignment horizontal="center" vertical="center"/>
    </xf>
    <xf numFmtId="165" fontId="4" fillId="13" borderId="28" xfId="3" applyNumberFormat="1" applyFont="1" applyFill="1" applyBorder="1" applyAlignment="1">
      <alignment horizontal="center" vertical="center"/>
    </xf>
    <xf numFmtId="165" fontId="4" fillId="13" borderId="18" xfId="3" applyNumberFormat="1" applyFont="1" applyFill="1" applyBorder="1" applyAlignment="1">
      <alignment horizontal="center" vertical="center"/>
    </xf>
    <xf numFmtId="165" fontId="5" fillId="13" borderId="29" xfId="3" applyNumberFormat="1" applyFont="1" applyFill="1" applyBorder="1" applyAlignment="1">
      <alignment horizontal="center" vertical="center"/>
    </xf>
    <xf numFmtId="165" fontId="4" fillId="13" borderId="2" xfId="3" applyNumberFormat="1" applyFont="1" applyFill="1" applyBorder="1" applyAlignment="1">
      <alignment horizontal="center" vertical="center"/>
    </xf>
    <xf numFmtId="165" fontId="4" fillId="13" borderId="3" xfId="3" applyNumberFormat="1" applyFont="1" applyFill="1" applyBorder="1" applyAlignment="1">
      <alignment horizontal="center" vertical="center"/>
    </xf>
    <xf numFmtId="165" fontId="4" fillId="13" borderId="20" xfId="3" applyNumberFormat="1" applyFont="1" applyFill="1" applyBorder="1" applyAlignment="1">
      <alignment horizontal="center" vertical="center"/>
    </xf>
    <xf numFmtId="165" fontId="4" fillId="13" borderId="2" xfId="0" applyNumberFormat="1" applyFont="1" applyFill="1" applyBorder="1"/>
    <xf numFmtId="165" fontId="4" fillId="13" borderId="20" xfId="0" applyNumberFormat="1" applyFont="1" applyFill="1" applyBorder="1"/>
    <xf numFmtId="165" fontId="5" fillId="13" borderId="30" xfId="3" applyNumberFormat="1" applyFont="1" applyFill="1" applyBorder="1" applyAlignment="1">
      <alignment horizontal="center" vertical="center"/>
    </xf>
    <xf numFmtId="165" fontId="4" fillId="13" borderId="10" xfId="3" applyNumberFormat="1" applyFont="1" applyFill="1" applyBorder="1" applyAlignment="1">
      <alignment horizontal="center" vertical="center"/>
    </xf>
    <xf numFmtId="165" fontId="4" fillId="13" borderId="5" xfId="3" applyNumberFormat="1" applyFont="1" applyFill="1" applyBorder="1" applyAlignment="1">
      <alignment horizontal="center" vertical="center"/>
    </xf>
    <xf numFmtId="165" fontId="4" fillId="13" borderId="31" xfId="3" applyNumberFormat="1" applyFont="1" applyFill="1" applyBorder="1" applyAlignment="1">
      <alignment horizontal="center" vertical="center"/>
    </xf>
    <xf numFmtId="0" fontId="4" fillId="13" borderId="19" xfId="0" applyFont="1" applyFill="1" applyBorder="1"/>
    <xf numFmtId="0" fontId="4" fillId="13" borderId="0" xfId="0" applyFont="1" applyFill="1" applyBorder="1"/>
    <xf numFmtId="0" fontId="4" fillId="13" borderId="20" xfId="0" applyFont="1" applyFill="1" applyBorder="1"/>
    <xf numFmtId="0" fontId="4" fillId="13" borderId="32" xfId="0" applyFont="1" applyFill="1" applyBorder="1"/>
    <xf numFmtId="0" fontId="4" fillId="13" borderId="4" xfId="0" applyFont="1" applyFill="1" applyBorder="1"/>
    <xf numFmtId="0" fontId="4" fillId="13" borderId="8" xfId="0" applyFont="1" applyFill="1" applyBorder="1" applyAlignment="1">
      <alignment horizontal="center"/>
    </xf>
    <xf numFmtId="0" fontId="4" fillId="13" borderId="33" xfId="0" applyFont="1" applyFill="1" applyBorder="1"/>
    <xf numFmtId="165" fontId="4" fillId="13" borderId="34" xfId="3" applyNumberFormat="1" applyFont="1" applyFill="1" applyBorder="1" applyAlignment="1">
      <alignment horizontal="center" vertical="center"/>
    </xf>
    <xf numFmtId="165" fontId="4" fillId="0" borderId="1" xfId="0" applyNumberFormat="1" applyFont="1" applyBorder="1"/>
    <xf numFmtId="2" fontId="4" fillId="13" borderId="29" xfId="0" applyNumberFormat="1" applyFont="1" applyFill="1" applyBorder="1" applyAlignment="1">
      <alignment horizontal="center"/>
    </xf>
    <xf numFmtId="165" fontId="4" fillId="13" borderId="3" xfId="0" applyNumberFormat="1" applyFont="1" applyFill="1" applyBorder="1" applyAlignment="1">
      <alignment horizontal="center"/>
    </xf>
    <xf numFmtId="165" fontId="4" fillId="13" borderId="34" xfId="0" applyNumberFormat="1" applyFont="1" applyFill="1" applyBorder="1" applyAlignment="1">
      <alignment horizontal="center"/>
    </xf>
    <xf numFmtId="165" fontId="4" fillId="13" borderId="35" xfId="3" applyNumberFormat="1" applyFont="1" applyFill="1" applyBorder="1" applyAlignment="1">
      <alignment horizontal="center" vertical="center"/>
    </xf>
    <xf numFmtId="165" fontId="5" fillId="13" borderId="19" xfId="3" applyNumberFormat="1" applyFont="1" applyFill="1" applyBorder="1" applyAlignment="1">
      <alignment horizontal="center" vertical="center"/>
    </xf>
    <xf numFmtId="165" fontId="4" fillId="13" borderId="0" xfId="3" applyNumberFormat="1" applyFont="1" applyFill="1" applyBorder="1" applyAlignment="1">
      <alignment horizontal="center" vertical="center"/>
    </xf>
    <xf numFmtId="166" fontId="11" fillId="0" borderId="0" xfId="4" applyNumberFormat="1" applyFont="1" applyBorder="1" applyAlignment="1">
      <alignment horizontal="right"/>
    </xf>
    <xf numFmtId="165" fontId="42" fillId="0" borderId="0" xfId="0" applyNumberFormat="1" applyFont="1" applyBorder="1"/>
    <xf numFmtId="0" fontId="4" fillId="13" borderId="36" xfId="0" applyFont="1" applyFill="1" applyBorder="1"/>
    <xf numFmtId="165" fontId="4" fillId="13" borderId="37" xfId="0" applyNumberFormat="1" applyFont="1" applyFill="1" applyBorder="1"/>
    <xf numFmtId="0" fontId="4" fillId="13" borderId="9" xfId="0" applyFont="1" applyFill="1" applyBorder="1"/>
    <xf numFmtId="0" fontId="4" fillId="13" borderId="38" xfId="0" applyFont="1" applyFill="1" applyBorder="1"/>
    <xf numFmtId="165" fontId="4" fillId="13" borderId="34" xfId="0" applyNumberFormat="1" applyFont="1" applyFill="1" applyBorder="1"/>
    <xf numFmtId="0" fontId="4" fillId="13" borderId="3" xfId="0" applyFont="1" applyFill="1" applyBorder="1"/>
    <xf numFmtId="0" fontId="4" fillId="13" borderId="39" xfId="0" applyFont="1" applyFill="1" applyBorder="1"/>
    <xf numFmtId="165" fontId="4" fillId="13" borderId="39" xfId="0" applyNumberFormat="1" applyFont="1" applyFill="1" applyBorder="1"/>
    <xf numFmtId="165" fontId="4" fillId="13" borderId="40" xfId="0" applyNumberFormat="1" applyFont="1" applyFill="1" applyBorder="1"/>
    <xf numFmtId="0" fontId="4" fillId="13" borderId="24" xfId="0" applyFont="1" applyFill="1" applyBorder="1"/>
    <xf numFmtId="165" fontId="5" fillId="7" borderId="4" xfId="3" applyNumberFormat="1" applyFont="1" applyFill="1" applyBorder="1" applyAlignment="1">
      <alignment horizontal="center" vertical="center"/>
    </xf>
    <xf numFmtId="165" fontId="5" fillId="7" borderId="3" xfId="3" applyNumberFormat="1" applyFont="1" applyFill="1" applyBorder="1" applyAlignment="1">
      <alignment horizontal="center" vertical="center"/>
    </xf>
    <xf numFmtId="165" fontId="5" fillId="7" borderId="5" xfId="3" applyNumberFormat="1" applyFont="1" applyFill="1" applyBorder="1" applyAlignment="1">
      <alignment horizontal="center" vertical="center"/>
    </xf>
    <xf numFmtId="2" fontId="10" fillId="0" borderId="0" xfId="0" applyNumberFormat="1" applyFont="1" applyBorder="1"/>
    <xf numFmtId="167" fontId="4" fillId="0" borderId="0" xfId="5" applyNumberFormat="1" applyFont="1" applyFill="1" applyBorder="1"/>
    <xf numFmtId="2" fontId="4" fillId="0" borderId="0" xfId="3" applyNumberFormat="1" applyFont="1" applyFill="1" applyBorder="1"/>
    <xf numFmtId="0" fontId="43" fillId="0" borderId="0" xfId="3" applyFont="1" applyFill="1" applyBorder="1"/>
    <xf numFmtId="9" fontId="43" fillId="0" borderId="0" xfId="5" applyFont="1" applyFill="1" applyBorder="1"/>
    <xf numFmtId="177" fontId="4" fillId="0" borderId="0" xfId="4" applyNumberFormat="1" applyFont="1" applyBorder="1"/>
    <xf numFmtId="177" fontId="4" fillId="0" borderId="0" xfId="4" applyNumberFormat="1" applyFont="1" applyBorder="1" applyAlignment="1"/>
    <xf numFmtId="177" fontId="4" fillId="0" borderId="0" xfId="4" applyNumberFormat="1" applyFont="1" applyBorder="1" applyAlignment="1">
      <alignment horizontal="right"/>
    </xf>
    <xf numFmtId="0" fontId="44" fillId="0" borderId="0" xfId="0" applyFont="1"/>
    <xf numFmtId="0" fontId="45" fillId="0" borderId="0" xfId="0" applyFont="1"/>
    <xf numFmtId="0" fontId="45" fillId="0" borderId="41" xfId="0" applyFont="1" applyBorder="1" applyAlignment="1">
      <alignment horizontal="center" vertical="center"/>
    </xf>
    <xf numFmtId="0" fontId="45" fillId="0" borderId="42" xfId="0" applyFont="1" applyBorder="1" applyAlignment="1">
      <alignment horizontal="center" vertical="center"/>
    </xf>
    <xf numFmtId="0" fontId="45" fillId="0" borderId="0" xfId="0" applyFont="1" applyBorder="1"/>
    <xf numFmtId="165" fontId="2" fillId="16" borderId="43" xfId="0" applyNumberFormat="1" applyFont="1" applyFill="1" applyBorder="1"/>
    <xf numFmtId="1" fontId="2" fillId="16" borderId="6" xfId="0" applyNumberFormat="1" applyFont="1" applyFill="1" applyBorder="1"/>
    <xf numFmtId="165" fontId="33" fillId="0" borderId="2" xfId="0" applyNumberFormat="1" applyFont="1" applyBorder="1"/>
    <xf numFmtId="165" fontId="2" fillId="16" borderId="6" xfId="0" applyNumberFormat="1" applyFont="1" applyFill="1" applyBorder="1"/>
    <xf numFmtId="165" fontId="4" fillId="16" borderId="43" xfId="0" applyNumberFormat="1" applyFont="1" applyFill="1" applyBorder="1"/>
    <xf numFmtId="1" fontId="4" fillId="16" borderId="6" xfId="0" applyNumberFormat="1" applyFont="1" applyFill="1" applyBorder="1"/>
    <xf numFmtId="2" fontId="4" fillId="16" borderId="6" xfId="0" applyNumberFormat="1" applyFont="1" applyFill="1" applyBorder="1"/>
    <xf numFmtId="165" fontId="4" fillId="16" borderId="6" xfId="0" applyNumberFormat="1" applyFont="1" applyFill="1" applyBorder="1"/>
    <xf numFmtId="0" fontId="45" fillId="0" borderId="6" xfId="0" applyFont="1" applyBorder="1"/>
    <xf numFmtId="165" fontId="4" fillId="0" borderId="43" xfId="0" applyNumberFormat="1" applyFont="1" applyBorder="1"/>
    <xf numFmtId="2" fontId="4" fillId="0" borderId="6" xfId="0" applyNumberFormat="1" applyFont="1" applyBorder="1"/>
    <xf numFmtId="1" fontId="4" fillId="0" borderId="6" xfId="0" applyNumberFormat="1" applyFont="1" applyBorder="1"/>
    <xf numFmtId="165" fontId="4" fillId="0" borderId="6" xfId="0" applyNumberFormat="1" applyFont="1" applyBorder="1"/>
    <xf numFmtId="165" fontId="45" fillId="0" borderId="0" xfId="0" applyNumberFormat="1" applyFont="1"/>
    <xf numFmtId="0" fontId="0" fillId="0" borderId="6" xfId="0" applyBorder="1"/>
    <xf numFmtId="0" fontId="0" fillId="0" borderId="43" xfId="0" applyBorder="1"/>
    <xf numFmtId="2" fontId="45" fillId="0" borderId="6" xfId="0" applyNumberFormat="1" applyFont="1" applyBorder="1"/>
    <xf numFmtId="165" fontId="45" fillId="0" borderId="0" xfId="0" applyNumberFormat="1" applyFont="1" applyBorder="1"/>
    <xf numFmtId="0" fontId="3" fillId="0" borderId="43" xfId="0" applyFont="1" applyBorder="1"/>
    <xf numFmtId="165" fontId="33" fillId="0" borderId="2" xfId="0" quotePrefix="1" applyNumberFormat="1" applyFont="1" applyBorder="1"/>
    <xf numFmtId="165" fontId="33" fillId="0" borderId="0" xfId="0" applyNumberFormat="1" applyFont="1" applyBorder="1" applyAlignment="1">
      <alignment horizontal="right"/>
    </xf>
    <xf numFmtId="1" fontId="24" fillId="0" borderId="1" xfId="0" applyNumberFormat="1" applyFont="1" applyBorder="1"/>
    <xf numFmtId="0" fontId="33" fillId="0" borderId="0" xfId="0" applyFont="1" applyAlignment="1">
      <alignment horizontal="right"/>
    </xf>
    <xf numFmtId="1" fontId="35" fillId="0" borderId="1" xfId="0" applyNumberFormat="1" applyFont="1" applyBorder="1"/>
    <xf numFmtId="165" fontId="4" fillId="0" borderId="2" xfId="0" applyNumberFormat="1" applyFont="1" applyBorder="1"/>
    <xf numFmtId="0" fontId="45" fillId="0" borderId="2" xfId="0" applyFont="1" applyBorder="1"/>
    <xf numFmtId="165" fontId="24" fillId="0" borderId="1" xfId="0" applyNumberFormat="1" applyFont="1" applyBorder="1"/>
    <xf numFmtId="165" fontId="35" fillId="0" borderId="1" xfId="0" applyNumberFormat="1" applyFont="1" applyBorder="1"/>
    <xf numFmtId="0" fontId="3" fillId="0" borderId="6" xfId="0" applyFont="1" applyBorder="1"/>
    <xf numFmtId="2" fontId="45" fillId="0" borderId="0" xfId="0" applyNumberFormat="1" applyFont="1"/>
    <xf numFmtId="2" fontId="46" fillId="0" borderId="0" xfId="0" applyNumberFormat="1" applyFont="1"/>
    <xf numFmtId="2" fontId="35" fillId="0" borderId="0" xfId="0" applyNumberFormat="1" applyFont="1"/>
    <xf numFmtId="178" fontId="45" fillId="0" borderId="0" xfId="0" applyNumberFormat="1" applyFont="1"/>
    <xf numFmtId="165" fontId="46" fillId="0" borderId="0" xfId="0" applyNumberFormat="1" applyFont="1"/>
    <xf numFmtId="165" fontId="35" fillId="0" borderId="0" xfId="0" applyNumberFormat="1" applyFont="1"/>
    <xf numFmtId="179" fontId="45" fillId="0" borderId="0" xfId="0" applyNumberFormat="1" applyFont="1"/>
    <xf numFmtId="165" fontId="2" fillId="16" borderId="6" xfId="0" applyNumberFormat="1" applyFont="1" applyFill="1" applyBorder="1" applyAlignment="1">
      <alignment wrapText="1" shrinkToFit="1"/>
    </xf>
    <xf numFmtId="167" fontId="4" fillId="0" borderId="6" xfId="5" applyNumberFormat="1" applyFont="1" applyBorder="1"/>
    <xf numFmtId="165" fontId="45" fillId="0" borderId="2" xfId="0" applyNumberFormat="1" applyFont="1" applyBorder="1"/>
    <xf numFmtId="165" fontId="4" fillId="0" borderId="6" xfId="0" quotePrefix="1" applyNumberFormat="1" applyFont="1" applyBorder="1"/>
    <xf numFmtId="1" fontId="4" fillId="0" borderId="6" xfId="0" quotePrefix="1" applyNumberFormat="1" applyFont="1" applyBorder="1"/>
    <xf numFmtId="1" fontId="46" fillId="0" borderId="0" xfId="0" applyNumberFormat="1" applyFont="1"/>
    <xf numFmtId="1" fontId="45" fillId="0" borderId="0" xfId="0" applyNumberFormat="1" applyFont="1"/>
    <xf numFmtId="0" fontId="48" fillId="17" borderId="0" xfId="11" applyNumberFormat="1" applyFont="1" applyFill="1" applyAlignment="1">
      <alignment horizontal="left"/>
    </xf>
    <xf numFmtId="0" fontId="49" fillId="17" borderId="0" xfId="11" applyNumberFormat="1" applyFont="1" applyFill="1" applyAlignment="1">
      <alignment horizontal="center"/>
    </xf>
    <xf numFmtId="0" fontId="50" fillId="17" borderId="0" xfId="11" applyNumberFormat="1" applyFont="1" applyFill="1" applyAlignment="1">
      <alignment horizontal="right"/>
    </xf>
    <xf numFmtId="0" fontId="50" fillId="17" borderId="0" xfId="11" applyNumberFormat="1" applyFont="1" applyFill="1" applyAlignment="1">
      <alignment horizontal="left"/>
    </xf>
    <xf numFmtId="168" fontId="50" fillId="17" borderId="0" xfId="11" applyNumberFormat="1" applyFont="1" applyFill="1" applyAlignment="1">
      <alignment horizontal="center"/>
    </xf>
    <xf numFmtId="0" fontId="51" fillId="18" borderId="0" xfId="11" applyNumberFormat="1" applyFont="1" applyFill="1" applyAlignment="1">
      <alignment horizontal="center"/>
    </xf>
    <xf numFmtId="0" fontId="52" fillId="18" borderId="0" xfId="11" applyNumberFormat="1" applyFont="1" applyFill="1"/>
    <xf numFmtId="0" fontId="53" fillId="18" borderId="0" xfId="11" applyNumberFormat="1" applyFont="1" applyFill="1" applyAlignment="1">
      <alignment horizontal="center"/>
    </xf>
    <xf numFmtId="0" fontId="54" fillId="18" borderId="0" xfId="11" applyNumberFormat="1" applyFont="1" applyFill="1"/>
    <xf numFmtId="0" fontId="52" fillId="18" borderId="0" xfId="0" applyFont="1" applyFill="1"/>
    <xf numFmtId="168" fontId="53" fillId="18" borderId="0" xfId="11" applyNumberFormat="1" applyFont="1" applyFill="1" applyAlignment="1">
      <alignment horizontal="center"/>
    </xf>
    <xf numFmtId="0" fontId="55" fillId="17" borderId="0" xfId="11" applyNumberFormat="1" applyFont="1" applyFill="1"/>
    <xf numFmtId="0" fontId="54" fillId="17" borderId="0" xfId="11" applyNumberFormat="1" applyFont="1" applyFill="1" applyAlignment="1">
      <alignment horizontal="center"/>
    </xf>
    <xf numFmtId="0" fontId="54" fillId="18" borderId="0" xfId="11" applyNumberFormat="1" applyFont="1" applyFill="1" applyAlignment="1">
      <alignment horizontal="center"/>
    </xf>
    <xf numFmtId="0" fontId="56" fillId="19" borderId="0" xfId="11" applyNumberFormat="1" applyFont="1" applyFill="1"/>
    <xf numFmtId="0" fontId="57" fillId="19" borderId="0" xfId="11" applyNumberFormat="1" applyFont="1" applyFill="1" applyAlignment="1">
      <alignment horizontal="center"/>
    </xf>
    <xf numFmtId="0" fontId="54" fillId="19" borderId="0" xfId="11" applyNumberFormat="1" applyFont="1" applyFill="1" applyAlignment="1">
      <alignment horizontal="center"/>
    </xf>
    <xf numFmtId="0" fontId="54" fillId="18" borderId="11" xfId="11" applyNumberFormat="1" applyFont="1" applyFill="1" applyBorder="1"/>
    <xf numFmtId="0" fontId="58" fillId="18" borderId="12" xfId="11" applyNumberFormat="1" applyFont="1" applyFill="1" applyBorder="1" applyAlignment="1">
      <alignment horizontal="center"/>
    </xf>
    <xf numFmtId="0" fontId="58" fillId="18" borderId="13" xfId="11" applyNumberFormat="1" applyFont="1" applyFill="1" applyBorder="1" applyAlignment="1">
      <alignment horizontal="center"/>
    </xf>
    <xf numFmtId="0" fontId="58" fillId="18" borderId="14" xfId="11" applyNumberFormat="1" applyFont="1" applyFill="1" applyBorder="1" applyAlignment="1">
      <alignment horizontal="center"/>
    </xf>
    <xf numFmtId="0" fontId="54" fillId="18" borderId="15" xfId="11" applyNumberFormat="1" applyFont="1" applyFill="1" applyBorder="1"/>
    <xf numFmtId="165" fontId="54" fillId="18" borderId="0" xfId="11" applyNumberFormat="1" applyFont="1" applyFill="1" applyBorder="1" applyAlignment="1">
      <alignment horizontal="center"/>
    </xf>
    <xf numFmtId="167" fontId="54" fillId="18" borderId="16" xfId="11" applyNumberFormat="1" applyFont="1" applyFill="1" applyBorder="1" applyAlignment="1" applyProtection="1">
      <alignment horizontal="center"/>
    </xf>
    <xf numFmtId="167" fontId="54" fillId="18" borderId="17" xfId="11" applyNumberFormat="1" applyFont="1" applyFill="1" applyBorder="1" applyAlignment="1" applyProtection="1">
      <alignment horizontal="center"/>
    </xf>
    <xf numFmtId="167" fontId="54" fillId="18" borderId="18" xfId="11" applyNumberFormat="1" applyFont="1" applyFill="1" applyBorder="1" applyAlignment="1" applyProtection="1">
      <alignment horizontal="center"/>
    </xf>
    <xf numFmtId="167" fontId="54" fillId="18" borderId="19" xfId="11" applyNumberFormat="1" applyFont="1" applyFill="1" applyBorder="1" applyAlignment="1" applyProtection="1">
      <alignment horizontal="center"/>
    </xf>
    <xf numFmtId="167" fontId="54" fillId="18" borderId="0" xfId="11" applyNumberFormat="1" applyFont="1" applyFill="1" applyBorder="1" applyAlignment="1" applyProtection="1">
      <alignment horizontal="center"/>
    </xf>
    <xf numFmtId="167" fontId="54" fillId="18" borderId="20" xfId="11" applyNumberFormat="1" applyFont="1" applyFill="1" applyBorder="1" applyAlignment="1" applyProtection="1">
      <alignment horizontal="center"/>
    </xf>
    <xf numFmtId="165" fontId="54" fillId="18" borderId="0" xfId="11" applyNumberFormat="1" applyFont="1" applyFill="1"/>
    <xf numFmtId="0" fontId="54" fillId="18" borderId="21" xfId="11" applyNumberFormat="1" applyFont="1" applyFill="1" applyBorder="1"/>
    <xf numFmtId="165" fontId="59" fillId="18" borderId="22" xfId="11" applyNumberFormat="1" applyFont="1" applyFill="1" applyBorder="1" applyAlignment="1">
      <alignment horizontal="center"/>
    </xf>
    <xf numFmtId="167" fontId="54" fillId="18" borderId="23" xfId="11" applyNumberFormat="1" applyFont="1" applyFill="1" applyBorder="1" applyAlignment="1" applyProtection="1">
      <alignment horizontal="center"/>
    </xf>
    <xf numFmtId="167" fontId="54" fillId="18" borderId="22" xfId="11" applyNumberFormat="1" applyFont="1" applyFill="1" applyBorder="1" applyAlignment="1" applyProtection="1">
      <alignment horizontal="center"/>
    </xf>
    <xf numFmtId="167" fontId="54" fillId="18" borderId="24" xfId="11" applyNumberFormat="1" applyFont="1" applyFill="1" applyBorder="1" applyAlignment="1" applyProtection="1">
      <alignment horizontal="center"/>
    </xf>
    <xf numFmtId="14" fontId="54" fillId="18" borderId="0" xfId="11" applyNumberFormat="1" applyFont="1" applyFill="1"/>
    <xf numFmtId="2" fontId="57" fillId="18" borderId="0" xfId="11" applyNumberFormat="1" applyFont="1" applyFill="1" applyAlignment="1">
      <alignment horizontal="center"/>
    </xf>
    <xf numFmtId="0" fontId="57" fillId="18" borderId="0" xfId="11" applyNumberFormat="1" applyFont="1" applyFill="1" applyAlignment="1">
      <alignment horizontal="center"/>
    </xf>
    <xf numFmtId="0" fontId="60" fillId="18" borderId="13" xfId="11" applyNumberFormat="1" applyFont="1" applyFill="1" applyBorder="1" applyAlignment="1">
      <alignment horizontal="center"/>
    </xf>
    <xf numFmtId="0" fontId="60" fillId="18" borderId="12" xfId="11" applyNumberFormat="1" applyFont="1" applyFill="1" applyBorder="1" applyAlignment="1">
      <alignment horizontal="center"/>
    </xf>
    <xf numFmtId="0" fontId="60" fillId="18" borderId="14" xfId="11" applyNumberFormat="1" applyFont="1" applyFill="1" applyBorder="1" applyAlignment="1">
      <alignment horizontal="center"/>
    </xf>
    <xf numFmtId="165" fontId="59" fillId="18" borderId="0" xfId="11" applyNumberFormat="1" applyFont="1" applyFill="1" applyBorder="1" applyAlignment="1">
      <alignment horizontal="center"/>
    </xf>
    <xf numFmtId="167" fontId="60" fillId="18" borderId="16" xfId="11" applyNumberFormat="1" applyFont="1" applyFill="1" applyBorder="1" applyAlignment="1" applyProtection="1">
      <alignment horizontal="center"/>
    </xf>
    <xf numFmtId="167" fontId="60" fillId="18" borderId="17" xfId="11" applyNumberFormat="1" applyFont="1" applyFill="1" applyBorder="1" applyAlignment="1" applyProtection="1">
      <alignment horizontal="center"/>
    </xf>
    <xf numFmtId="167" fontId="60" fillId="18" borderId="18" xfId="11" applyNumberFormat="1" applyFont="1" applyFill="1" applyBorder="1" applyAlignment="1" applyProtection="1">
      <alignment horizontal="center"/>
    </xf>
    <xf numFmtId="173" fontId="54" fillId="18" borderId="0" xfId="11" applyNumberFormat="1" applyFont="1" applyFill="1"/>
    <xf numFmtId="2" fontId="54" fillId="18" borderId="0" xfId="11" applyNumberFormat="1" applyFont="1" applyFill="1"/>
    <xf numFmtId="167" fontId="60" fillId="18" borderId="19" xfId="11" applyNumberFormat="1" applyFont="1" applyFill="1" applyBorder="1" applyAlignment="1" applyProtection="1">
      <alignment horizontal="center"/>
    </xf>
    <xf numFmtId="167" fontId="60" fillId="18" borderId="0" xfId="11" applyNumberFormat="1" applyFont="1" applyFill="1" applyBorder="1" applyAlignment="1" applyProtection="1">
      <alignment horizontal="center"/>
    </xf>
    <xf numFmtId="167" fontId="60" fillId="18" borderId="20" xfId="11" applyNumberFormat="1" applyFont="1" applyFill="1" applyBorder="1" applyAlignment="1" applyProtection="1">
      <alignment horizontal="center"/>
    </xf>
    <xf numFmtId="165" fontId="54" fillId="18" borderId="22" xfId="11" applyNumberFormat="1" applyFont="1" applyFill="1" applyBorder="1" applyAlignment="1">
      <alignment horizontal="center"/>
    </xf>
    <xf numFmtId="165" fontId="54" fillId="0" borderId="22" xfId="11" applyNumberFormat="1" applyFont="1" applyBorder="1" applyAlignment="1">
      <alignment horizontal="center"/>
    </xf>
    <xf numFmtId="167" fontId="60" fillId="18" borderId="23" xfId="11" applyNumberFormat="1" applyFont="1" applyFill="1" applyBorder="1" applyAlignment="1" applyProtection="1">
      <alignment horizontal="center"/>
    </xf>
    <xf numFmtId="167" fontId="60" fillId="18" borderId="22" xfId="11" applyNumberFormat="1" applyFont="1" applyFill="1" applyBorder="1" applyAlignment="1" applyProtection="1">
      <alignment horizontal="center"/>
    </xf>
    <xf numFmtId="167" fontId="60" fillId="18" borderId="24" xfId="11" applyNumberFormat="1" applyFont="1" applyFill="1" applyBorder="1" applyAlignment="1" applyProtection="1">
      <alignment horizontal="center"/>
    </xf>
    <xf numFmtId="180" fontId="54" fillId="18" borderId="15" xfId="11" applyNumberFormat="1" applyFont="1" applyFill="1" applyBorder="1" applyAlignment="1" applyProtection="1"/>
    <xf numFmtId="165" fontId="61" fillId="18" borderId="0" xfId="11" applyNumberFormat="1" applyFont="1" applyFill="1" applyBorder="1" applyAlignment="1">
      <alignment horizontal="center"/>
    </xf>
    <xf numFmtId="167" fontId="54" fillId="18" borderId="0" xfId="2" applyNumberFormat="1" applyFont="1" applyFill="1" applyBorder="1" applyAlignment="1" applyProtection="1"/>
    <xf numFmtId="180" fontId="60" fillId="18" borderId="15" xfId="11" applyNumberFormat="1" applyFont="1" applyFill="1" applyBorder="1" applyAlignment="1" applyProtection="1"/>
    <xf numFmtId="165" fontId="62" fillId="18" borderId="0" xfId="11" applyNumberFormat="1" applyFont="1" applyFill="1" applyBorder="1" applyAlignment="1">
      <alignment horizontal="center"/>
    </xf>
    <xf numFmtId="165" fontId="60" fillId="18" borderId="0" xfId="11" applyNumberFormat="1" applyFont="1" applyFill="1" applyBorder="1" applyAlignment="1">
      <alignment horizontal="center"/>
    </xf>
    <xf numFmtId="14" fontId="54" fillId="18" borderId="11" xfId="11" applyNumberFormat="1" applyFont="1" applyFill="1" applyBorder="1"/>
    <xf numFmtId="165" fontId="63" fillId="18" borderId="12" xfId="11" applyNumberFormat="1" applyFont="1" applyFill="1" applyBorder="1" applyAlignment="1">
      <alignment horizontal="center"/>
    </xf>
    <xf numFmtId="167" fontId="60" fillId="18" borderId="13" xfId="11" applyNumberFormat="1" applyFont="1" applyFill="1" applyBorder="1" applyAlignment="1" applyProtection="1">
      <alignment horizontal="center"/>
    </xf>
    <xf numFmtId="167" fontId="60" fillId="18" borderId="12" xfId="11" applyNumberFormat="1" applyFont="1" applyFill="1" applyBorder="1" applyAlignment="1" applyProtection="1">
      <alignment horizontal="center"/>
    </xf>
    <xf numFmtId="167" fontId="60" fillId="18" borderId="14" xfId="11" applyNumberFormat="1" applyFont="1" applyFill="1" applyBorder="1" applyAlignment="1" applyProtection="1">
      <alignment horizontal="center"/>
    </xf>
    <xf numFmtId="14" fontId="54" fillId="18" borderId="0" xfId="11" applyNumberFormat="1" applyFont="1" applyFill="1" applyBorder="1"/>
    <xf numFmtId="165" fontId="63" fillId="18" borderId="0" xfId="11" applyNumberFormat="1" applyFont="1" applyFill="1" applyBorder="1" applyAlignment="1">
      <alignment horizontal="center"/>
    </xf>
    <xf numFmtId="1" fontId="57" fillId="18" borderId="0" xfId="11" applyNumberFormat="1" applyFont="1" applyFill="1" applyAlignment="1">
      <alignment horizontal="center"/>
    </xf>
    <xf numFmtId="0" fontId="54" fillId="18" borderId="11" xfId="11" applyNumberFormat="1" applyFont="1" applyFill="1" applyBorder="1" applyAlignment="1">
      <alignment horizontal="left"/>
    </xf>
    <xf numFmtId="1" fontId="62" fillId="18" borderId="0" xfId="11" applyNumberFormat="1" applyFont="1" applyFill="1" applyBorder="1" applyAlignment="1">
      <alignment horizontal="center"/>
    </xf>
    <xf numFmtId="173" fontId="59" fillId="18" borderId="22" xfId="11" applyNumberFormat="1" applyFont="1" applyFill="1" applyBorder="1" applyAlignment="1">
      <alignment horizontal="center"/>
    </xf>
    <xf numFmtId="0" fontId="64" fillId="18" borderId="0" xfId="11" applyNumberFormat="1" applyFont="1" applyFill="1"/>
    <xf numFmtId="0" fontId="65" fillId="17" borderId="0" xfId="11" applyNumberFormat="1" applyFont="1" applyFill="1" applyAlignment="1">
      <alignment horizontal="center"/>
    </xf>
    <xf numFmtId="175" fontId="54" fillId="18" borderId="0" xfId="11" applyNumberFormat="1" applyFont="1" applyFill="1" applyBorder="1" applyAlignment="1">
      <alignment horizontal="center"/>
    </xf>
    <xf numFmtId="0" fontId="58" fillId="18" borderId="21" xfId="11" applyNumberFormat="1" applyFont="1" applyFill="1" applyBorder="1"/>
    <xf numFmtId="165" fontId="58" fillId="18" borderId="22" xfId="11" applyNumberFormat="1" applyFont="1" applyFill="1" applyBorder="1" applyAlignment="1">
      <alignment horizontal="center"/>
    </xf>
    <xf numFmtId="165" fontId="54" fillId="18" borderId="20" xfId="11" applyNumberFormat="1" applyFont="1" applyFill="1" applyBorder="1" applyAlignment="1">
      <alignment horizontal="center"/>
    </xf>
    <xf numFmtId="0" fontId="54" fillId="18" borderId="11" xfId="0" applyFont="1" applyFill="1" applyBorder="1"/>
    <xf numFmtId="181" fontId="54" fillId="18" borderId="0" xfId="11" applyNumberFormat="1" applyFont="1" applyFill="1"/>
    <xf numFmtId="2" fontId="59" fillId="18" borderId="0" xfId="11" applyNumberFormat="1" applyFont="1" applyFill="1" applyBorder="1" applyAlignment="1">
      <alignment horizontal="center"/>
    </xf>
    <xf numFmtId="165" fontId="0" fillId="18" borderId="0" xfId="0" applyNumberFormat="1" applyFill="1" applyAlignment="1">
      <alignment horizontal="center"/>
    </xf>
    <xf numFmtId="2" fontId="59" fillId="18" borderId="0" xfId="11" applyNumberFormat="1" applyFont="1" applyFill="1" applyBorder="1" applyAlignment="1" applyProtection="1">
      <alignment horizontal="center"/>
    </xf>
    <xf numFmtId="3" fontId="59" fillId="18" borderId="0" xfId="11" applyNumberFormat="1" applyFont="1" applyFill="1" applyBorder="1" applyAlignment="1" applyProtection="1">
      <alignment horizontal="center"/>
    </xf>
    <xf numFmtId="173" fontId="59" fillId="18" borderId="22" xfId="11" applyNumberFormat="1" applyFont="1" applyFill="1" applyBorder="1" applyAlignment="1" applyProtection="1">
      <alignment horizontal="center"/>
    </xf>
    <xf numFmtId="165" fontId="54" fillId="18" borderId="0" xfId="11" applyNumberFormat="1" applyFont="1" applyFill="1" applyAlignment="1">
      <alignment horizontal="center"/>
    </xf>
    <xf numFmtId="173" fontId="54" fillId="18" borderId="0" xfId="11" applyNumberFormat="1" applyFont="1" applyFill="1" applyAlignment="1">
      <alignment horizontal="center"/>
    </xf>
    <xf numFmtId="165" fontId="54" fillId="19" borderId="0" xfId="11" applyNumberFormat="1" applyFont="1" applyFill="1" applyAlignment="1">
      <alignment horizontal="center"/>
    </xf>
    <xf numFmtId="0" fontId="54" fillId="18" borderId="0" xfId="11" applyNumberFormat="1" applyFont="1" applyFill="1" applyBorder="1"/>
    <xf numFmtId="0" fontId="54" fillId="18" borderId="19" xfId="11" applyNumberFormat="1" applyFont="1" applyFill="1" applyBorder="1"/>
    <xf numFmtId="2" fontId="54" fillId="18" borderId="22" xfId="11" applyNumberFormat="1" applyFont="1" applyFill="1" applyBorder="1" applyAlignment="1">
      <alignment horizontal="center"/>
    </xf>
    <xf numFmtId="2" fontId="54" fillId="18" borderId="0" xfId="11" applyNumberFormat="1" applyFont="1" applyFill="1" applyAlignment="1">
      <alignment horizontal="center"/>
    </xf>
    <xf numFmtId="2" fontId="54" fillId="18" borderId="0" xfId="11" applyNumberFormat="1" applyFont="1" applyFill="1" applyBorder="1" applyAlignment="1">
      <alignment horizontal="center"/>
    </xf>
    <xf numFmtId="165" fontId="59" fillId="18" borderId="0" xfId="11" applyNumberFormat="1" applyFont="1" applyFill="1" applyBorder="1" applyAlignment="1" applyProtection="1">
      <alignment horizontal="center"/>
    </xf>
    <xf numFmtId="4" fontId="54" fillId="18" borderId="0" xfId="11" applyNumberFormat="1" applyFont="1" applyFill="1" applyBorder="1" applyAlignment="1">
      <alignment horizontal="center"/>
    </xf>
    <xf numFmtId="3" fontId="59" fillId="18" borderId="22" xfId="11" applyNumberFormat="1" applyFont="1" applyFill="1" applyBorder="1" applyAlignment="1">
      <alignment horizontal="center"/>
    </xf>
    <xf numFmtId="0" fontId="58" fillId="18" borderId="15" xfId="11" applyNumberFormat="1" applyFont="1" applyFill="1" applyBorder="1"/>
    <xf numFmtId="170" fontId="54" fillId="18" borderId="0" xfId="11" applyNumberFormat="1" applyFont="1" applyFill="1" applyBorder="1" applyAlignment="1">
      <alignment horizontal="center"/>
    </xf>
    <xf numFmtId="0" fontId="54" fillId="18" borderId="19" xfId="11" applyNumberFormat="1" applyFont="1" applyFill="1" applyBorder="1" applyAlignment="1">
      <alignment horizontal="center"/>
    </xf>
    <xf numFmtId="0" fontId="54" fillId="18" borderId="0" xfId="11" applyNumberFormat="1" applyFont="1" applyFill="1" applyBorder="1" applyAlignment="1">
      <alignment horizontal="center"/>
    </xf>
    <xf numFmtId="0" fontId="54" fillId="18" borderId="20" xfId="11" applyNumberFormat="1" applyFont="1" applyFill="1" applyBorder="1" applyAlignment="1">
      <alignment horizontal="center"/>
    </xf>
    <xf numFmtId="1" fontId="59" fillId="18" borderId="0" xfId="11" applyNumberFormat="1" applyFont="1" applyFill="1" applyBorder="1" applyAlignment="1">
      <alignment horizontal="center"/>
    </xf>
    <xf numFmtId="170" fontId="66" fillId="18" borderId="0" xfId="11" applyNumberFormat="1" applyFont="1" applyFill="1" applyBorder="1" applyAlignment="1">
      <alignment horizontal="center"/>
    </xf>
    <xf numFmtId="170" fontId="66" fillId="18" borderId="20" xfId="11" applyNumberFormat="1" applyFont="1" applyFill="1" applyBorder="1" applyAlignment="1">
      <alignment horizontal="center"/>
    </xf>
    <xf numFmtId="1" fontId="54" fillId="18" borderId="22" xfId="11" applyNumberFormat="1" applyFont="1" applyFill="1" applyBorder="1" applyAlignment="1">
      <alignment horizontal="center"/>
    </xf>
    <xf numFmtId="3" fontId="54" fillId="18" borderId="0" xfId="11" applyNumberFormat="1" applyFont="1" applyFill="1" applyBorder="1" applyAlignment="1">
      <alignment horizontal="center"/>
    </xf>
    <xf numFmtId="9" fontId="54" fillId="18" borderId="0" xfId="2" applyFont="1" applyFill="1" applyBorder="1" applyAlignment="1" applyProtection="1">
      <alignment horizontal="center"/>
    </xf>
    <xf numFmtId="3" fontId="54" fillId="19" borderId="0" xfId="11" applyNumberFormat="1" applyFont="1" applyFill="1" applyBorder="1" applyAlignment="1">
      <alignment horizontal="center"/>
    </xf>
    <xf numFmtId="14" fontId="54" fillId="18" borderId="0" xfId="11" applyNumberFormat="1" applyFont="1" applyFill="1" applyAlignment="1">
      <alignment horizontal="center"/>
    </xf>
    <xf numFmtId="0" fontId="56" fillId="19" borderId="0" xfId="11" applyNumberFormat="1" applyFont="1" applyFill="1" applyAlignment="1">
      <alignment horizontal="center"/>
    </xf>
    <xf numFmtId="0" fontId="0" fillId="18" borderId="0" xfId="0" applyFill="1"/>
    <xf numFmtId="0" fontId="64" fillId="18" borderId="0" xfId="11" applyNumberFormat="1" applyFont="1" applyFill="1" applyBorder="1"/>
    <xf numFmtId="0" fontId="54" fillId="18" borderId="25" xfId="11" applyNumberFormat="1" applyFont="1" applyFill="1" applyBorder="1"/>
    <xf numFmtId="165" fontId="59" fillId="0" borderId="16" xfId="11" applyNumberFormat="1" applyFont="1" applyBorder="1" applyAlignment="1">
      <alignment horizontal="center"/>
    </xf>
    <xf numFmtId="165" fontId="59" fillId="18" borderId="17" xfId="11" applyNumberFormat="1" applyFont="1" applyFill="1" applyBorder="1" applyAlignment="1">
      <alignment horizontal="center"/>
    </xf>
    <xf numFmtId="2" fontId="59" fillId="18" borderId="18" xfId="11" applyNumberFormat="1" applyFont="1" applyFill="1" applyBorder="1" applyAlignment="1">
      <alignment horizontal="center"/>
    </xf>
    <xf numFmtId="173" fontId="59" fillId="18" borderId="23" xfId="11" applyNumberFormat="1" applyFont="1" applyFill="1" applyBorder="1" applyAlignment="1">
      <alignment horizontal="center"/>
    </xf>
    <xf numFmtId="173" fontId="59" fillId="18" borderId="24" xfId="11" applyNumberFormat="1" applyFont="1" applyFill="1" applyBorder="1" applyAlignment="1">
      <alignment horizontal="center"/>
    </xf>
    <xf numFmtId="0" fontId="67" fillId="18" borderId="0" xfId="0" applyFont="1" applyFill="1"/>
    <xf numFmtId="173" fontId="59" fillId="18" borderId="0" xfId="11" applyNumberFormat="1" applyFont="1" applyFill="1" applyBorder="1" applyAlignment="1">
      <alignment horizontal="center"/>
    </xf>
    <xf numFmtId="167" fontId="54" fillId="18" borderId="0" xfId="11" applyNumberFormat="1" applyFont="1" applyFill="1"/>
    <xf numFmtId="0" fontId="58" fillId="18" borderId="17" xfId="11" applyNumberFormat="1" applyFont="1" applyFill="1" applyBorder="1"/>
    <xf numFmtId="49" fontId="57" fillId="18" borderId="0" xfId="11" applyNumberFormat="1" applyFont="1" applyFill="1" applyAlignment="1">
      <alignment horizontal="center"/>
    </xf>
    <xf numFmtId="0" fontId="58" fillId="18" borderId="0" xfId="11" applyNumberFormat="1" applyFont="1" applyFill="1" applyBorder="1"/>
    <xf numFmtId="0" fontId="54" fillId="18" borderId="15" xfId="11" applyNumberFormat="1" applyFont="1" applyFill="1" applyBorder="1" applyAlignment="1">
      <alignment horizontal="left"/>
    </xf>
    <xf numFmtId="0" fontId="54" fillId="18" borderId="21" xfId="11" applyNumberFormat="1" applyFont="1" applyFill="1" applyBorder="1" applyAlignment="1">
      <alignment horizontal="left"/>
    </xf>
    <xf numFmtId="3" fontId="59" fillId="18" borderId="22" xfId="11" applyNumberFormat="1" applyFont="1" applyFill="1" applyBorder="1" applyAlignment="1" applyProtection="1">
      <alignment horizontal="center"/>
    </xf>
    <xf numFmtId="1" fontId="54" fillId="18" borderId="0" xfId="11" applyNumberFormat="1" applyFont="1" applyFill="1"/>
    <xf numFmtId="0" fontId="68" fillId="0" borderId="0" xfId="11" applyNumberFormat="1" applyFont="1"/>
    <xf numFmtId="0" fontId="69" fillId="0" borderId="6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left" vertical="center"/>
    </xf>
    <xf numFmtId="4" fontId="70" fillId="0" borderId="8" xfId="0" applyNumberFormat="1" applyFont="1" applyBorder="1"/>
    <xf numFmtId="0" fontId="0" fillId="0" borderId="6" xfId="0" applyFont="1" applyBorder="1" applyAlignment="1">
      <alignment horizontal="left" vertical="center"/>
    </xf>
    <xf numFmtId="165" fontId="0" fillId="18" borderId="6" xfId="0" applyNumberFormat="1" applyFont="1" applyFill="1" applyBorder="1" applyAlignment="1">
      <alignment horizontal="right"/>
    </xf>
    <xf numFmtId="165" fontId="72" fillId="20" borderId="6" xfId="0" applyNumberFormat="1" applyFont="1" applyFill="1" applyBorder="1" applyAlignment="1">
      <alignment horizontal="right"/>
    </xf>
    <xf numFmtId="0" fontId="71" fillId="21" borderId="6" xfId="0" applyFont="1" applyFill="1" applyBorder="1" applyAlignment="1">
      <alignment horizontal="left" vertical="center"/>
    </xf>
    <xf numFmtId="165" fontId="70" fillId="21" borderId="6" xfId="0" applyNumberFormat="1" applyFont="1" applyFill="1" applyBorder="1" applyAlignment="1">
      <alignment horizontal="right"/>
    </xf>
    <xf numFmtId="0" fontId="71" fillId="0" borderId="7" xfId="0" applyFont="1" applyBorder="1" applyAlignment="1">
      <alignment horizontal="left" vertical="center"/>
    </xf>
    <xf numFmtId="165" fontId="70" fillId="0" borderId="7" xfId="0" applyNumberFormat="1" applyFont="1" applyBorder="1" applyAlignment="1">
      <alignment horizontal="right"/>
    </xf>
    <xf numFmtId="165" fontId="0" fillId="20" borderId="6" xfId="0" applyNumberFormat="1" applyFont="1" applyFill="1" applyBorder="1" applyAlignment="1">
      <alignment horizontal="right"/>
    </xf>
    <xf numFmtId="0" fontId="73" fillId="0" borderId="6" xfId="0" applyFont="1" applyBorder="1" applyAlignment="1">
      <alignment horizontal="left" vertical="center"/>
    </xf>
    <xf numFmtId="165" fontId="70" fillId="18" borderId="6" xfId="0" applyNumberFormat="1" applyFont="1" applyFill="1" applyBorder="1" applyAlignment="1">
      <alignment horizontal="right"/>
    </xf>
    <xf numFmtId="165" fontId="74" fillId="18" borderId="6" xfId="0" applyNumberFormat="1" applyFont="1" applyFill="1" applyBorder="1" applyAlignment="1">
      <alignment horizontal="right"/>
    </xf>
    <xf numFmtId="165" fontId="0" fillId="21" borderId="6" xfId="0" applyNumberFormat="1" applyFont="1" applyFill="1" applyBorder="1" applyAlignment="1">
      <alignment horizontal="right"/>
    </xf>
    <xf numFmtId="165" fontId="0" fillId="0" borderId="7" xfId="0" applyNumberFormat="1" applyFont="1" applyBorder="1" applyAlignment="1">
      <alignment horizontal="right"/>
    </xf>
    <xf numFmtId="168" fontId="50" fillId="17" borderId="0" xfId="11" applyNumberFormat="1" applyFont="1" applyFill="1" applyAlignment="1">
      <alignment horizontal="left"/>
    </xf>
    <xf numFmtId="4" fontId="70" fillId="0" borderId="7" xfId="0" applyNumberFormat="1" applyFont="1" applyBorder="1"/>
    <xf numFmtId="170" fontId="70" fillId="21" borderId="6" xfId="0" applyNumberFormat="1" applyFont="1" applyFill="1" applyBorder="1"/>
    <xf numFmtId="170" fontId="70" fillId="0" borderId="7" xfId="0" applyNumberFormat="1" applyFont="1" applyBorder="1"/>
    <xf numFmtId="170" fontId="0" fillId="6" borderId="6" xfId="0" applyNumberFormat="1" applyFill="1" applyBorder="1"/>
    <xf numFmtId="170" fontId="2" fillId="0" borderId="6" xfId="0" applyNumberFormat="1" applyFont="1" applyFill="1" applyBorder="1"/>
    <xf numFmtId="165" fontId="0" fillId="22" borderId="6" xfId="0" applyNumberFormat="1" applyFont="1" applyFill="1" applyBorder="1" applyAlignment="1">
      <alignment horizontal="right"/>
    </xf>
    <xf numFmtId="165" fontId="70" fillId="23" borderId="6" xfId="0" applyNumberFormat="1" applyFont="1" applyFill="1" applyBorder="1" applyAlignment="1">
      <alignment horizontal="right"/>
    </xf>
    <xf numFmtId="0" fontId="5" fillId="9" borderId="16" xfId="6" applyFont="1" applyFill="1" applyBorder="1" applyAlignment="1">
      <alignment horizontal="center"/>
    </xf>
    <xf numFmtId="0" fontId="5" fillId="9" borderId="17" xfId="6" applyFont="1" applyFill="1" applyBorder="1" applyAlignment="1">
      <alignment horizontal="center"/>
    </xf>
    <xf numFmtId="0" fontId="5" fillId="9" borderId="18" xfId="6" applyFont="1" applyFill="1" applyBorder="1" applyAlignment="1">
      <alignment horizontal="center"/>
    </xf>
    <xf numFmtId="0" fontId="4" fillId="9" borderId="23" xfId="6" applyFont="1" applyFill="1" applyBorder="1"/>
    <xf numFmtId="0" fontId="33" fillId="9" borderId="16" xfId="6" applyFont="1" applyFill="1" applyBorder="1" applyAlignment="1">
      <alignment horizontal="center"/>
    </xf>
    <xf numFmtId="0" fontId="33" fillId="9" borderId="17" xfId="6" applyFont="1" applyFill="1" applyBorder="1" applyAlignment="1">
      <alignment horizontal="center"/>
    </xf>
    <xf numFmtId="0" fontId="33" fillId="9" borderId="18" xfId="6" applyFont="1" applyFill="1" applyBorder="1" applyAlignment="1">
      <alignment horizontal="center"/>
    </xf>
    <xf numFmtId="165" fontId="32" fillId="9" borderId="23" xfId="6" applyNumberFormat="1" applyFont="1" applyFill="1" applyBorder="1" applyAlignment="1">
      <alignment horizontal="center"/>
    </xf>
    <xf numFmtId="165" fontId="28" fillId="9" borderId="0" xfId="6" applyNumberFormat="1" applyFont="1" applyFill="1" applyBorder="1" applyAlignment="1">
      <alignment horizontal="center"/>
    </xf>
    <xf numFmtId="167" fontId="75" fillId="9" borderId="16" xfId="7" applyNumberFormat="1" applyFont="1" applyFill="1" applyBorder="1" applyAlignment="1">
      <alignment horizontal="center"/>
    </xf>
    <xf numFmtId="167" fontId="75" fillId="9" borderId="17" xfId="7" applyNumberFormat="1" applyFont="1" applyFill="1" applyBorder="1" applyAlignment="1">
      <alignment horizontal="center"/>
    </xf>
    <xf numFmtId="167" fontId="75" fillId="9" borderId="18" xfId="7" applyNumberFormat="1" applyFont="1" applyFill="1" applyBorder="1" applyAlignment="1">
      <alignment horizontal="center"/>
    </xf>
    <xf numFmtId="167" fontId="75" fillId="9" borderId="19" xfId="7" applyNumberFormat="1" applyFont="1" applyFill="1" applyBorder="1" applyAlignment="1">
      <alignment horizontal="center"/>
    </xf>
    <xf numFmtId="167" fontId="75" fillId="9" borderId="0" xfId="7" applyNumberFormat="1" applyFont="1" applyFill="1" applyBorder="1" applyAlignment="1">
      <alignment horizontal="center"/>
    </xf>
    <xf numFmtId="167" fontId="75" fillId="9" borderId="20" xfId="7" applyNumberFormat="1" applyFont="1" applyFill="1" applyBorder="1" applyAlignment="1">
      <alignment horizontal="center"/>
    </xf>
    <xf numFmtId="165" fontId="76" fillId="9" borderId="22" xfId="6" applyNumberFormat="1" applyFont="1" applyFill="1" applyBorder="1" applyAlignment="1">
      <alignment horizontal="center"/>
    </xf>
    <xf numFmtId="2" fontId="76" fillId="9" borderId="22" xfId="6" applyNumberFormat="1" applyFont="1" applyFill="1" applyBorder="1" applyAlignment="1">
      <alignment horizontal="center"/>
    </xf>
    <xf numFmtId="167" fontId="75" fillId="9" borderId="23" xfId="7" applyNumberFormat="1" applyFont="1" applyFill="1" applyBorder="1" applyAlignment="1">
      <alignment horizontal="center"/>
    </xf>
    <xf numFmtId="167" fontId="75" fillId="9" borderId="22" xfId="7" applyNumberFormat="1" applyFont="1" applyFill="1" applyBorder="1" applyAlignment="1">
      <alignment horizontal="center"/>
    </xf>
    <xf numFmtId="167" fontId="75" fillId="9" borderId="24" xfId="7" applyNumberFormat="1" applyFont="1" applyFill="1" applyBorder="1" applyAlignment="1">
      <alignment horizontal="center"/>
    </xf>
    <xf numFmtId="165" fontId="34" fillId="9" borderId="23" xfId="6" applyNumberFormat="1" applyFont="1" applyFill="1" applyBorder="1" applyAlignment="1">
      <alignment horizontal="center"/>
    </xf>
    <xf numFmtId="165" fontId="34" fillId="9" borderId="22" xfId="6" applyNumberFormat="1" applyFont="1" applyFill="1" applyBorder="1" applyAlignment="1">
      <alignment horizontal="center"/>
    </xf>
    <xf numFmtId="165" fontId="0" fillId="9" borderId="23" xfId="0" applyNumberFormat="1" applyFill="1" applyBorder="1" applyAlignment="1">
      <alignment horizontal="center"/>
    </xf>
    <xf numFmtId="165" fontId="0" fillId="9" borderId="22" xfId="0" applyNumberFormat="1" applyFill="1" applyBorder="1" applyAlignment="1">
      <alignment horizontal="center"/>
    </xf>
    <xf numFmtId="2" fontId="32" fillId="9" borderId="23" xfId="8" applyNumberFormat="1" applyFont="1" applyFill="1" applyBorder="1" applyAlignment="1">
      <alignment horizontal="center"/>
    </xf>
    <xf numFmtId="2" fontId="32" fillId="9" borderId="22" xfId="8" applyNumberFormat="1" applyFont="1" applyFill="1" applyBorder="1" applyAlignment="1">
      <alignment horizontal="center"/>
    </xf>
    <xf numFmtId="1" fontId="32" fillId="9" borderId="23" xfId="6" applyNumberFormat="1" applyFont="1" applyFill="1" applyBorder="1" applyAlignment="1">
      <alignment horizontal="center"/>
    </xf>
    <xf numFmtId="1" fontId="32" fillId="9" borderId="22" xfId="6" applyNumberFormat="1" applyFont="1" applyFill="1" applyBorder="1" applyAlignment="1">
      <alignment horizontal="center"/>
    </xf>
    <xf numFmtId="0" fontId="4" fillId="9" borderId="16" xfId="6" applyFont="1" applyFill="1" applyBorder="1"/>
    <xf numFmtId="165" fontId="32" fillId="0" borderId="22" xfId="6" applyNumberFormat="1" applyFont="1" applyFill="1" applyBorder="1" applyAlignment="1">
      <alignment horizontal="center"/>
    </xf>
    <xf numFmtId="165" fontId="32" fillId="0" borderId="7" xfId="6" applyNumberFormat="1" applyFont="1" applyFill="1" applyBorder="1" applyAlignment="1">
      <alignment horizontal="center"/>
    </xf>
    <xf numFmtId="165" fontId="32" fillId="0" borderId="43" xfId="6" applyNumberFormat="1" applyFont="1" applyFill="1" applyBorder="1" applyAlignment="1">
      <alignment horizontal="center"/>
    </xf>
    <xf numFmtId="165" fontId="32" fillId="0" borderId="39" xfId="6" applyNumberFormat="1" applyFont="1" applyFill="1" applyBorder="1" applyAlignment="1">
      <alignment horizontal="center"/>
    </xf>
    <xf numFmtId="2" fontId="0" fillId="0" borderId="0" xfId="0" applyNumberFormat="1"/>
    <xf numFmtId="165" fontId="0" fillId="18" borderId="0" xfId="0" applyNumberFormat="1" applyFill="1"/>
    <xf numFmtId="165" fontId="0" fillId="5" borderId="6" xfId="0" applyNumberFormat="1" applyFont="1" applyFill="1" applyBorder="1" applyAlignment="1">
      <alignment horizontal="right"/>
    </xf>
    <xf numFmtId="165" fontId="0" fillId="24" borderId="6" xfId="0" applyNumberFormat="1" applyFont="1" applyFill="1" applyBorder="1" applyAlignment="1">
      <alignment horizontal="right"/>
    </xf>
    <xf numFmtId="0" fontId="13" fillId="0" borderId="0" xfId="3" applyFont="1"/>
    <xf numFmtId="0" fontId="4" fillId="0" borderId="0" xfId="3" applyFont="1"/>
    <xf numFmtId="0" fontId="4" fillId="25" borderId="0" xfId="0" applyFont="1" applyFill="1"/>
    <xf numFmtId="0" fontId="77" fillId="0" borderId="0" xfId="3" applyFont="1"/>
    <xf numFmtId="0" fontId="5" fillId="2" borderId="0" xfId="3" applyFont="1" applyFill="1"/>
    <xf numFmtId="0" fontId="4" fillId="12" borderId="0" xfId="0" applyFont="1" applyFill="1"/>
    <xf numFmtId="0" fontId="28" fillId="0" borderId="0" xfId="3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3" borderId="0" xfId="3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3" applyFont="1" applyFill="1" applyAlignment="1">
      <alignment horizontal="center" vertical="center" wrapText="1"/>
    </xf>
    <xf numFmtId="165" fontId="4" fillId="0" borderId="0" xfId="3" applyNumberFormat="1" applyFont="1"/>
    <xf numFmtId="0" fontId="5" fillId="0" borderId="0" xfId="3" applyFont="1" applyAlignment="1">
      <alignment horizontal="right"/>
    </xf>
    <xf numFmtId="2" fontId="5" fillId="0" borderId="1" xfId="3" applyNumberFormat="1" applyFont="1" applyBorder="1" applyAlignment="1">
      <alignment horizontal="right"/>
    </xf>
    <xf numFmtId="0" fontId="4" fillId="0" borderId="0" xfId="0" applyFont="1"/>
    <xf numFmtId="165" fontId="2" fillId="0" borderId="0" xfId="3" applyNumberFormat="1" applyFont="1" applyAlignment="1">
      <alignment horizontal="center"/>
    </xf>
    <xf numFmtId="2" fontId="6" fillId="25" borderId="1" xfId="3" applyNumberFormat="1" applyFont="1" applyFill="1" applyBorder="1"/>
    <xf numFmtId="0" fontId="0" fillId="25" borderId="0" xfId="0" applyFill="1"/>
    <xf numFmtId="0" fontId="4" fillId="25" borderId="0" xfId="3" applyFont="1" applyFill="1"/>
    <xf numFmtId="165" fontId="7" fillId="0" borderId="0" xfId="3" applyNumberFormat="1" applyFont="1"/>
    <xf numFmtId="0" fontId="8" fillId="25" borderId="0" xfId="3" applyFont="1" applyFill="1"/>
    <xf numFmtId="0" fontId="8" fillId="0" borderId="0" xfId="3" applyFont="1"/>
    <xf numFmtId="165" fontId="9" fillId="0" borderId="0" xfId="3" applyNumberFormat="1" applyFont="1"/>
    <xf numFmtId="166" fontId="9" fillId="0" borderId="0" xfId="4" applyNumberFormat="1" applyFont="1"/>
    <xf numFmtId="165" fontId="13" fillId="0" borderId="0" xfId="3" applyNumberFormat="1" applyFont="1"/>
    <xf numFmtId="165" fontId="13" fillId="4" borderId="1" xfId="3" applyNumberFormat="1" applyFont="1" applyFill="1" applyBorder="1" applyAlignment="1">
      <alignment horizontal="center" vertical="center"/>
    </xf>
    <xf numFmtId="165" fontId="13" fillId="4" borderId="3" xfId="3" applyNumberFormat="1" applyFont="1" applyFill="1" applyBorder="1" applyAlignment="1">
      <alignment horizontal="center" vertical="center"/>
    </xf>
    <xf numFmtId="165" fontId="13" fillId="4" borderId="2" xfId="3" applyNumberFormat="1" applyFont="1" applyFill="1" applyBorder="1" applyAlignment="1">
      <alignment horizontal="center" vertical="center"/>
    </xf>
    <xf numFmtId="165" fontId="13" fillId="0" borderId="1" xfId="3" applyNumberFormat="1" applyFont="1" applyBorder="1"/>
    <xf numFmtId="0" fontId="28" fillId="0" borderId="0" xfId="3" applyFont="1"/>
    <xf numFmtId="165" fontId="10" fillId="0" borderId="0" xfId="3" applyNumberFormat="1" applyFont="1"/>
    <xf numFmtId="165" fontId="11" fillId="0" borderId="0" xfId="3" applyNumberFormat="1" applyFont="1"/>
    <xf numFmtId="165" fontId="13" fillId="0" borderId="0" xfId="0" applyNumberFormat="1" applyFont="1"/>
    <xf numFmtId="2" fontId="13" fillId="0" borderId="0" xfId="3" applyNumberFormat="1" applyFont="1" applyAlignment="1">
      <alignment horizontal="center"/>
    </xf>
    <xf numFmtId="2" fontId="13" fillId="0" borderId="0" xfId="0" applyNumberFormat="1" applyFont="1"/>
    <xf numFmtId="165" fontId="5" fillId="0" borderId="0" xfId="3" applyNumberFormat="1" applyFont="1"/>
    <xf numFmtId="165" fontId="4" fillId="0" borderId="0" xfId="0" applyNumberFormat="1" applyFont="1"/>
    <xf numFmtId="2" fontId="28" fillId="0" borderId="0" xfId="3" applyNumberFormat="1" applyFont="1" applyAlignment="1">
      <alignment horizontal="center"/>
    </xf>
    <xf numFmtId="165" fontId="13" fillId="6" borderId="3" xfId="0" applyNumberFormat="1" applyFont="1" applyFill="1" applyBorder="1" applyAlignment="1">
      <alignment horizontal="center"/>
    </xf>
    <xf numFmtId="165" fontId="5" fillId="6" borderId="0" xfId="3" applyNumberFormat="1" applyFont="1" applyFill="1" applyAlignment="1">
      <alignment horizontal="center" vertical="center"/>
    </xf>
    <xf numFmtId="0" fontId="4" fillId="0" borderId="0" xfId="3" applyFont="1" applyAlignment="1">
      <alignment horizontal="center" vertical="center" wrapText="1"/>
    </xf>
    <xf numFmtId="165" fontId="12" fillId="0" borderId="0" xfId="3" applyNumberFormat="1" applyFont="1"/>
    <xf numFmtId="2" fontId="11" fillId="0" borderId="0" xfId="3" applyNumberFormat="1" applyFont="1"/>
    <xf numFmtId="166" fontId="11" fillId="0" borderId="0" xfId="1" applyNumberFormat="1" applyFont="1" applyAlignment="1">
      <alignment horizontal="right"/>
    </xf>
    <xf numFmtId="2" fontId="13" fillId="7" borderId="3" xfId="0" applyNumberFormat="1" applyFont="1" applyFill="1" applyBorder="1"/>
    <xf numFmtId="2" fontId="13" fillId="15" borderId="1" xfId="0" applyNumberFormat="1" applyFont="1" applyFill="1" applyBorder="1"/>
    <xf numFmtId="2" fontId="13" fillId="26" borderId="0" xfId="0" applyNumberFormat="1" applyFont="1" applyFill="1"/>
    <xf numFmtId="2" fontId="13" fillId="7" borderId="1" xfId="0" applyNumberFormat="1" applyFont="1" applyFill="1" applyBorder="1"/>
    <xf numFmtId="2" fontId="13" fillId="15" borderId="3" xfId="0" applyNumberFormat="1" applyFont="1" applyFill="1" applyBorder="1"/>
    <xf numFmtId="2" fontId="13" fillId="26" borderId="1" xfId="0" applyNumberFormat="1" applyFont="1" applyFill="1" applyBorder="1"/>
    <xf numFmtId="165" fontId="4" fillId="13" borderId="0" xfId="0" applyNumberFormat="1" applyFont="1" applyFill="1"/>
    <xf numFmtId="2" fontId="13" fillId="7" borderId="3" xfId="3" applyNumberFormat="1" applyFont="1" applyFill="1" applyBorder="1"/>
    <xf numFmtId="2" fontId="13" fillId="7" borderId="0" xfId="3" applyNumberFormat="1" applyFont="1" applyFill="1"/>
    <xf numFmtId="2" fontId="13" fillId="26" borderId="1" xfId="3" applyNumberFormat="1" applyFont="1" applyFill="1" applyBorder="1"/>
    <xf numFmtId="2" fontId="10" fillId="0" borderId="0" xfId="3" applyNumberFormat="1" applyFont="1"/>
    <xf numFmtId="165" fontId="5" fillId="0" borderId="0" xfId="3" quotePrefix="1" applyNumberFormat="1" applyFont="1"/>
    <xf numFmtId="165" fontId="5" fillId="0" borderId="0" xfId="3" applyNumberFormat="1" applyFont="1" applyAlignment="1">
      <alignment horizontal="right" vertical="center"/>
    </xf>
    <xf numFmtId="1" fontId="8" fillId="0" borderId="0" xfId="3" applyNumberFormat="1" applyFont="1"/>
    <xf numFmtId="0" fontId="5" fillId="0" borderId="0" xfId="3" quotePrefix="1" applyFont="1"/>
    <xf numFmtId="2" fontId="4" fillId="0" borderId="0" xfId="0" applyNumberFormat="1" applyFont="1"/>
    <xf numFmtId="2" fontId="5" fillId="0" borderId="0" xfId="3" applyNumberFormat="1" applyFont="1"/>
    <xf numFmtId="0" fontId="7" fillId="0" borderId="0" xfId="0" applyFont="1"/>
    <xf numFmtId="2" fontId="4" fillId="0" borderId="0" xfId="3" applyNumberFormat="1" applyFont="1"/>
    <xf numFmtId="165" fontId="4" fillId="0" borderId="0" xfId="5" applyNumberFormat="1" applyFont="1"/>
    <xf numFmtId="169" fontId="45" fillId="0" borderId="6" xfId="0" applyNumberFormat="1" applyFont="1" applyBorder="1"/>
    <xf numFmtId="0" fontId="43" fillId="27" borderId="0" xfId="3" applyFont="1" applyFill="1" applyAlignment="1">
      <alignment horizontal="center" vertical="center" wrapText="1"/>
    </xf>
    <xf numFmtId="165" fontId="4" fillId="0" borderId="0" xfId="3" applyNumberFormat="1" applyFont="1" applyAlignment="1">
      <alignment horizontal="right"/>
    </xf>
    <xf numFmtId="165" fontId="13" fillId="4" borderId="2" xfId="3" applyNumberFormat="1" applyFont="1" applyFill="1" applyBorder="1" applyAlignment="1">
      <alignment horizontal="center"/>
    </xf>
    <xf numFmtId="165" fontId="13" fillId="4" borderId="3" xfId="3" applyNumberFormat="1" applyFont="1" applyFill="1" applyBorder="1" applyAlignment="1">
      <alignment horizontal="center"/>
    </xf>
    <xf numFmtId="2" fontId="4" fillId="5" borderId="2" xfId="3" applyNumberFormat="1" applyFont="1" applyFill="1" applyBorder="1" applyAlignment="1">
      <alignment horizontal="center" vertical="center"/>
    </xf>
    <xf numFmtId="2" fontId="4" fillId="5" borderId="3" xfId="3" applyNumberFormat="1" applyFont="1" applyFill="1" applyBorder="1" applyAlignment="1">
      <alignment horizontal="center" vertical="center"/>
    </xf>
    <xf numFmtId="165" fontId="4" fillId="0" borderId="0" xfId="3" applyNumberFormat="1" applyFont="1" applyAlignment="1">
      <alignment horizontal="center"/>
    </xf>
    <xf numFmtId="2" fontId="5" fillId="5" borderId="3" xfId="3" applyNumberFormat="1" applyFont="1" applyFill="1" applyBorder="1" applyAlignment="1">
      <alignment horizontal="center" vertical="center"/>
    </xf>
    <xf numFmtId="2" fontId="13" fillId="5" borderId="2" xfId="0" applyNumberFormat="1" applyFont="1" applyFill="1" applyBorder="1" applyAlignment="1">
      <alignment horizontal="center"/>
    </xf>
    <xf numFmtId="2" fontId="4" fillId="4" borderId="4" xfId="0" applyNumberFormat="1" applyFont="1" applyFill="1" applyBorder="1"/>
    <xf numFmtId="2" fontId="5" fillId="4" borderId="3" xfId="3" applyNumberFormat="1" applyFont="1" applyFill="1" applyBorder="1" applyAlignment="1">
      <alignment horizontal="center" vertical="center"/>
    </xf>
    <xf numFmtId="2" fontId="5" fillId="4" borderId="5" xfId="3" applyNumberFormat="1" applyFont="1" applyFill="1" applyBorder="1" applyAlignment="1">
      <alignment horizontal="center" vertical="center"/>
    </xf>
    <xf numFmtId="2" fontId="5" fillId="6" borderId="0" xfId="3" applyNumberFormat="1" applyFont="1" applyFill="1" applyAlignment="1">
      <alignment horizontal="center" vertical="center"/>
    </xf>
    <xf numFmtId="2" fontId="78" fillId="0" borderId="0" xfId="0" applyNumberFormat="1" applyFont="1"/>
    <xf numFmtId="2" fontId="8" fillId="0" borderId="0" xfId="3" applyNumberFormat="1" applyFont="1"/>
    <xf numFmtId="2" fontId="13" fillId="0" borderId="0" xfId="3" applyNumberFormat="1" applyFont="1"/>
    <xf numFmtId="2" fontId="13" fillId="14" borderId="0" xfId="3" applyNumberFormat="1" applyFont="1" applyFill="1"/>
    <xf numFmtId="165" fontId="77" fillId="0" borderId="0" xfId="0" applyNumberFormat="1" applyFont="1" applyAlignment="1">
      <alignment horizontal="center"/>
    </xf>
    <xf numFmtId="165" fontId="28" fillId="4" borderId="1" xfId="3" applyNumberFormat="1" applyFont="1" applyFill="1" applyBorder="1" applyAlignment="1">
      <alignment horizontal="center" vertical="center"/>
    </xf>
    <xf numFmtId="165" fontId="28" fillId="4" borderId="3" xfId="3" applyNumberFormat="1" applyFont="1" applyFill="1" applyBorder="1" applyAlignment="1">
      <alignment horizontal="center" vertical="center"/>
    </xf>
    <xf numFmtId="165" fontId="28" fillId="4" borderId="2" xfId="3" applyNumberFormat="1" applyFont="1" applyFill="1" applyBorder="1" applyAlignment="1">
      <alignment horizontal="center" vertical="center"/>
    </xf>
    <xf numFmtId="2" fontId="28" fillId="0" borderId="0" xfId="3" applyNumberFormat="1" applyFont="1"/>
    <xf numFmtId="2" fontId="28" fillId="0" borderId="0" xfId="0" applyNumberFormat="1" applyFont="1"/>
    <xf numFmtId="0" fontId="28" fillId="5" borderId="1" xfId="0" applyFont="1" applyFill="1" applyBorder="1"/>
    <xf numFmtId="0" fontId="4" fillId="28" borderId="0" xfId="3" applyFont="1" applyFill="1"/>
    <xf numFmtId="2" fontId="41" fillId="0" borderId="0" xfId="0" applyNumberFormat="1" applyFont="1"/>
    <xf numFmtId="165" fontId="28" fillId="5" borderId="2" xfId="3" applyNumberFormat="1" applyFont="1" applyFill="1" applyBorder="1" applyAlignment="1">
      <alignment horizontal="center" vertical="center"/>
    </xf>
    <xf numFmtId="2" fontId="13" fillId="5" borderId="2" xfId="3" applyNumberFormat="1" applyFont="1" applyFill="1" applyBorder="1" applyAlignment="1">
      <alignment horizontal="center" vertical="center"/>
    </xf>
    <xf numFmtId="2" fontId="81" fillId="0" borderId="0" xfId="3" applyNumberFormat="1" applyFont="1"/>
    <xf numFmtId="2" fontId="13" fillId="14" borderId="1" xfId="0" applyNumberFormat="1" applyFont="1" applyFill="1" applyBorder="1"/>
    <xf numFmtId="2" fontId="4" fillId="28" borderId="0" xfId="0" applyNumberFormat="1" applyFont="1" applyFill="1"/>
    <xf numFmtId="2" fontId="4" fillId="28" borderId="0" xfId="0" applyNumberFormat="1" applyFont="1" applyFill="1" applyAlignment="1">
      <alignment horizontal="center" vertical="center"/>
    </xf>
    <xf numFmtId="2" fontId="4" fillId="28" borderId="0" xfId="3" applyNumberFormat="1" applyFont="1" applyFill="1"/>
    <xf numFmtId="2" fontId="4" fillId="7" borderId="3" xfId="0" applyNumberFormat="1" applyFont="1" applyFill="1" applyBorder="1" applyAlignment="1">
      <alignment horizontal="center" vertical="center"/>
    </xf>
    <xf numFmtId="2" fontId="0" fillId="28" borderId="0" xfId="0" applyNumberFormat="1" applyFill="1"/>
    <xf numFmtId="2" fontId="5" fillId="28" borderId="0" xfId="3" applyNumberFormat="1" applyFont="1" applyFill="1" applyAlignment="1">
      <alignment horizontal="center" vertical="center"/>
    </xf>
    <xf numFmtId="2" fontId="13" fillId="28" borderId="3" xfId="0" applyNumberFormat="1" applyFont="1" applyFill="1" applyBorder="1"/>
    <xf numFmtId="2" fontId="13" fillId="28" borderId="1" xfId="0" applyNumberFormat="1" applyFont="1" applyFill="1" applyBorder="1"/>
    <xf numFmtId="2" fontId="13" fillId="28" borderId="0" xfId="0" applyNumberFormat="1" applyFont="1" applyFill="1"/>
    <xf numFmtId="0" fontId="41" fillId="0" borderId="0" xfId="0" applyFont="1"/>
    <xf numFmtId="2" fontId="4" fillId="0" borderId="0" xfId="4" applyNumberFormat="1" applyFont="1" applyAlignment="1">
      <alignment horizontal="right"/>
    </xf>
    <xf numFmtId="0" fontId="28" fillId="0" borderId="0" xfId="0" applyFont="1"/>
    <xf numFmtId="2" fontId="45" fillId="0" borderId="2" xfId="0" applyNumberFormat="1" applyFont="1" applyBorder="1"/>
    <xf numFmtId="2" fontId="4" fillId="7" borderId="4" xfId="0" applyNumberFormat="1" applyFont="1" applyFill="1" applyBorder="1" applyAlignment="1">
      <alignment horizontal="center" vertical="center"/>
    </xf>
    <xf numFmtId="2" fontId="80" fillId="14" borderId="0" xfId="0" applyNumberFormat="1" applyFont="1" applyFill="1"/>
    <xf numFmtId="2" fontId="13" fillId="4" borderId="1" xfId="3" applyNumberFormat="1" applyFont="1" applyFill="1" applyBorder="1" applyAlignment="1">
      <alignment horizontal="center" vertical="center"/>
    </xf>
    <xf numFmtId="2" fontId="13" fillId="4" borderId="3" xfId="3" applyNumberFormat="1" applyFont="1" applyFill="1" applyBorder="1" applyAlignment="1">
      <alignment horizontal="center" vertical="center"/>
    </xf>
    <xf numFmtId="2" fontId="13" fillId="4" borderId="2" xfId="3" applyNumberFormat="1" applyFont="1" applyFill="1" applyBorder="1" applyAlignment="1">
      <alignment horizontal="center" vertical="center"/>
    </xf>
    <xf numFmtId="2" fontId="80" fillId="26" borderId="0" xfId="0" applyNumberFormat="1" applyFont="1" applyFill="1"/>
    <xf numFmtId="2" fontId="80" fillId="0" borderId="0" xfId="0" applyNumberFormat="1" applyFont="1"/>
    <xf numFmtId="2" fontId="4" fillId="7" borderId="0" xfId="0" applyNumberFormat="1" applyFont="1" applyFill="1"/>
    <xf numFmtId="2" fontId="13" fillId="7" borderId="2" xfId="0" applyNumberFormat="1" applyFont="1" applyFill="1" applyBorder="1"/>
    <xf numFmtId="2" fontId="10" fillId="0" borderId="0" xfId="0" applyNumberFormat="1" applyFont="1" applyAlignment="1">
      <alignment horizontal="center" vertical="center"/>
    </xf>
    <xf numFmtId="2" fontId="13" fillId="13" borderId="3" xfId="0" applyNumberFormat="1" applyFont="1" applyFill="1" applyBorder="1"/>
    <xf numFmtId="2" fontId="13" fillId="26" borderId="3" xfId="0" applyNumberFormat="1" applyFont="1" applyFill="1" applyBorder="1"/>
    <xf numFmtId="2" fontId="13" fillId="13" borderId="1" xfId="0" applyNumberFormat="1" applyFont="1" applyFill="1" applyBorder="1"/>
    <xf numFmtId="2" fontId="13" fillId="7" borderId="0" xfId="0" applyNumberFormat="1" applyFont="1" applyFill="1"/>
    <xf numFmtId="2" fontId="4" fillId="7" borderId="5" xfId="0" applyNumberFormat="1" applyFont="1" applyFill="1" applyBorder="1" applyAlignment="1">
      <alignment horizontal="center" vertical="center"/>
    </xf>
    <xf numFmtId="2" fontId="5" fillId="7" borderId="0" xfId="0" applyNumberFormat="1" applyFont="1" applyFill="1"/>
    <xf numFmtId="2" fontId="13" fillId="7" borderId="1" xfId="3" applyNumberFormat="1" applyFont="1" applyFill="1" applyBorder="1"/>
    <xf numFmtId="165" fontId="4" fillId="28" borderId="0" xfId="3" applyNumberFormat="1" applyFont="1" applyFill="1"/>
    <xf numFmtId="2" fontId="4" fillId="28" borderId="0" xfId="4" applyNumberFormat="1" applyFont="1" applyFill="1" applyAlignment="1">
      <alignment horizontal="right"/>
    </xf>
    <xf numFmtId="0" fontId="7" fillId="28" borderId="0" xfId="0" applyFont="1" applyFill="1"/>
    <xf numFmtId="0" fontId="0" fillId="28" borderId="0" xfId="0" applyFill="1"/>
    <xf numFmtId="165" fontId="2" fillId="0" borderId="1" xfId="3" applyNumberFormat="1" applyFont="1" applyFill="1" applyBorder="1"/>
    <xf numFmtId="165" fontId="13" fillId="0" borderId="0" xfId="3" applyNumberFormat="1" applyFont="1" applyFill="1"/>
    <xf numFmtId="173" fontId="13" fillId="0" borderId="0" xfId="3" applyNumberFormat="1" applyFont="1" applyFill="1"/>
    <xf numFmtId="173" fontId="13" fillId="26" borderId="0" xfId="3" applyNumberFormat="1" applyFont="1" applyFill="1"/>
    <xf numFmtId="173" fontId="13" fillId="0" borderId="1" xfId="3" applyNumberFormat="1" applyFont="1" applyBorder="1"/>
    <xf numFmtId="173" fontId="13" fillId="0" borderId="0" xfId="3" applyNumberFormat="1" applyFont="1"/>
    <xf numFmtId="2" fontId="13" fillId="0" borderId="0" xfId="3" applyNumberFormat="1" applyFont="1" applyFill="1"/>
    <xf numFmtId="1" fontId="4" fillId="0" borderId="0" xfId="3" applyNumberFormat="1" applyFont="1" applyFill="1"/>
    <xf numFmtId="0" fontId="4" fillId="0" borderId="0" xfId="3" applyFont="1" applyFill="1"/>
    <xf numFmtId="2" fontId="28" fillId="0" borderId="0" xfId="0" applyNumberFormat="1" applyFont="1" applyFill="1"/>
    <xf numFmtId="2" fontId="79" fillId="0" borderId="0" xfId="3" applyNumberFormat="1" applyFont="1" applyFill="1"/>
    <xf numFmtId="2" fontId="13" fillId="0" borderId="1" xfId="0" applyNumberFormat="1" applyFont="1" applyFill="1" applyBorder="1"/>
    <xf numFmtId="2" fontId="28" fillId="14" borderId="1" xfId="0" applyNumberFormat="1" applyFont="1" applyFill="1" applyBorder="1"/>
    <xf numFmtId="2" fontId="7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2" fontId="13" fillId="0" borderId="0" xfId="0" applyNumberFormat="1" applyFont="1" applyFill="1"/>
    <xf numFmtId="0" fontId="4" fillId="5" borderId="0" xfId="3" applyFont="1" applyFill="1"/>
    <xf numFmtId="2" fontId="13" fillId="5" borderId="0" xfId="0" applyNumberFormat="1" applyFont="1" applyFill="1"/>
    <xf numFmtId="2" fontId="4" fillId="5" borderId="0" xfId="0" applyNumberFormat="1" applyFont="1" applyFill="1" applyAlignment="1">
      <alignment horizontal="center" vertical="center"/>
    </xf>
    <xf numFmtId="2" fontId="4" fillId="5" borderId="0" xfId="3" applyNumberFormat="1" applyFont="1" applyFill="1"/>
    <xf numFmtId="2" fontId="0" fillId="5" borderId="0" xfId="0" applyNumberFormat="1" applyFill="1"/>
    <xf numFmtId="2" fontId="13" fillId="5" borderId="1" xfId="0" applyNumberFormat="1" applyFont="1" applyFill="1" applyBorder="1"/>
    <xf numFmtId="0" fontId="0" fillId="5" borderId="0" xfId="0" applyFill="1"/>
    <xf numFmtId="165" fontId="46" fillId="0" borderId="2" xfId="0" applyNumberFormat="1" applyFont="1" applyBorder="1"/>
    <xf numFmtId="2" fontId="46" fillId="0" borderId="2" xfId="0" applyNumberFormat="1" applyFont="1" applyBorder="1"/>
    <xf numFmtId="165" fontId="46" fillId="0" borderId="0" xfId="0" quotePrefix="1" applyNumberFormat="1" applyFont="1"/>
    <xf numFmtId="0" fontId="5" fillId="0" borderId="0" xfId="0" applyFont="1" applyAlignment="1">
      <alignment horizontal="center" vertical="center"/>
    </xf>
    <xf numFmtId="2" fontId="13" fillId="5" borderId="3" xfId="3" applyNumberFormat="1" applyFont="1" applyFill="1" applyBorder="1" applyAlignment="1">
      <alignment horizontal="center" vertical="center"/>
    </xf>
    <xf numFmtId="165" fontId="28" fillId="5" borderId="3" xfId="3" applyNumberFormat="1" applyFont="1" applyFill="1" applyBorder="1" applyAlignment="1">
      <alignment horizontal="center" vertical="center"/>
    </xf>
    <xf numFmtId="0" fontId="4" fillId="6" borderId="0" xfId="3" applyFont="1" applyFill="1" applyAlignment="1">
      <alignment horizontal="center" vertical="center" wrapText="1"/>
    </xf>
    <xf numFmtId="165" fontId="4" fillId="6" borderId="0" xfId="3" applyNumberFormat="1" applyFont="1" applyFill="1" applyAlignment="1">
      <alignment horizontal="center" vertical="center"/>
    </xf>
    <xf numFmtId="165" fontId="4" fillId="6" borderId="3" xfId="3" applyNumberFormat="1" applyFont="1" applyFill="1" applyBorder="1" applyAlignment="1">
      <alignment horizontal="center" vertical="center"/>
    </xf>
    <xf numFmtId="2" fontId="5" fillId="5" borderId="0" xfId="3" applyNumberFormat="1" applyFont="1" applyFill="1" applyAlignment="1">
      <alignment horizontal="center" vertical="center"/>
    </xf>
    <xf numFmtId="2" fontId="5" fillId="7" borderId="0" xfId="3" applyNumberFormat="1" applyFont="1" applyFill="1" applyAlignment="1">
      <alignment horizontal="center" vertical="center"/>
    </xf>
    <xf numFmtId="165" fontId="4" fillId="6" borderId="2" xfId="3" applyNumberFormat="1" applyFont="1" applyFill="1" applyBorder="1" applyAlignment="1">
      <alignment horizontal="center" vertical="center"/>
    </xf>
    <xf numFmtId="2" fontId="5" fillId="0" borderId="0" xfId="3" applyNumberFormat="1" applyFont="1" applyAlignment="1">
      <alignment horizontal="right"/>
    </xf>
    <xf numFmtId="2" fontId="82" fillId="14" borderId="2" xfId="0" applyNumberFormat="1" applyFont="1" applyFill="1" applyBorder="1" applyAlignment="1">
      <alignment horizontal="center"/>
    </xf>
    <xf numFmtId="2" fontId="82" fillId="14" borderId="3" xfId="0" applyNumberFormat="1" applyFont="1" applyFill="1" applyBorder="1"/>
    <xf numFmtId="2" fontId="82" fillId="14" borderId="0" xfId="0" applyNumberFormat="1" applyFont="1" applyFill="1"/>
    <xf numFmtId="0" fontId="45" fillId="0" borderId="4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2" fontId="4" fillId="4" borderId="3" xfId="3" applyNumberFormat="1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3" applyFont="1" applyFill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2" xfId="3" applyFont="1" applyFill="1" applyBorder="1" applyAlignment="1">
      <alignment horizontal="center" vertical="center"/>
    </xf>
    <xf numFmtId="0" fontId="2" fillId="3" borderId="1" xfId="3" applyFont="1" applyFill="1" applyBorder="1" applyAlignment="1">
      <alignment horizontal="center" vertical="center"/>
    </xf>
    <xf numFmtId="0" fontId="2" fillId="3" borderId="0" xfId="3" applyFont="1" applyFill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4" fillId="4" borderId="0" xfId="3" applyFont="1" applyFill="1" applyAlignment="1">
      <alignment horizontal="center" vertical="center" wrapText="1"/>
    </xf>
    <xf numFmtId="2" fontId="5" fillId="4" borderId="2" xfId="3" applyNumberFormat="1" applyFont="1" applyFill="1" applyBorder="1" applyAlignment="1">
      <alignment horizontal="center" vertical="center"/>
    </xf>
    <xf numFmtId="165" fontId="4" fillId="4" borderId="0" xfId="3" applyNumberFormat="1" applyFont="1" applyFill="1" applyAlignment="1">
      <alignment horizontal="center" vertical="center"/>
    </xf>
    <xf numFmtId="2" fontId="4" fillId="4" borderId="0" xfId="3" applyNumberFormat="1" applyFont="1" applyFill="1" applyAlignment="1">
      <alignment horizontal="center" vertical="center"/>
    </xf>
    <xf numFmtId="2" fontId="13" fillId="5" borderId="3" xfId="3" applyNumberFormat="1" applyFont="1" applyFill="1" applyBorder="1" applyAlignment="1">
      <alignment horizontal="center" vertical="center"/>
    </xf>
    <xf numFmtId="165" fontId="28" fillId="5" borderId="3" xfId="3" applyNumberFormat="1" applyFont="1" applyFill="1" applyBorder="1" applyAlignment="1">
      <alignment horizontal="center" vertical="center"/>
    </xf>
    <xf numFmtId="0" fontId="4" fillId="6" borderId="0" xfId="3" applyFont="1" applyFill="1" applyAlignment="1">
      <alignment horizontal="center" vertical="center" wrapText="1"/>
    </xf>
    <xf numFmtId="165" fontId="4" fillId="6" borderId="0" xfId="3" applyNumberFormat="1" applyFont="1" applyFill="1" applyAlignment="1">
      <alignment horizontal="center" vertical="center"/>
    </xf>
    <xf numFmtId="2" fontId="4" fillId="6" borderId="0" xfId="3" applyNumberFormat="1" applyFont="1" applyFill="1" applyAlignment="1">
      <alignment horizontal="center" vertical="center"/>
    </xf>
    <xf numFmtId="2" fontId="5" fillId="6" borderId="2" xfId="3" applyNumberFormat="1" applyFont="1" applyFill="1" applyBorder="1" applyAlignment="1">
      <alignment horizontal="center" vertical="center"/>
    </xf>
    <xf numFmtId="165" fontId="4" fillId="6" borderId="3" xfId="3" applyNumberFormat="1" applyFont="1" applyFill="1" applyBorder="1" applyAlignment="1">
      <alignment horizontal="center" vertical="center"/>
    </xf>
    <xf numFmtId="0" fontId="4" fillId="5" borderId="0" xfId="3" applyFont="1" applyFill="1" applyAlignment="1">
      <alignment horizontal="center" vertical="center" wrapText="1"/>
    </xf>
    <xf numFmtId="2" fontId="5" fillId="5" borderId="2" xfId="3" applyNumberFormat="1" applyFont="1" applyFill="1" applyBorder="1" applyAlignment="1">
      <alignment horizontal="center" vertical="center"/>
    </xf>
    <xf numFmtId="2" fontId="5" fillId="5" borderId="0" xfId="3" applyNumberFormat="1" applyFont="1" applyFill="1" applyAlignment="1">
      <alignment horizontal="center" vertical="center"/>
    </xf>
    <xf numFmtId="165" fontId="5" fillId="5" borderId="2" xfId="3" applyNumberFormat="1" applyFont="1" applyFill="1" applyBorder="1" applyAlignment="1">
      <alignment horizontal="center" vertical="center"/>
    </xf>
    <xf numFmtId="2" fontId="5" fillId="7" borderId="2" xfId="3" applyNumberFormat="1" applyFont="1" applyFill="1" applyBorder="1" applyAlignment="1">
      <alignment horizontal="center" vertical="center"/>
    </xf>
    <xf numFmtId="2" fontId="5" fillId="7" borderId="0" xfId="3" applyNumberFormat="1" applyFont="1" applyFill="1" applyAlignment="1">
      <alignment horizontal="center" vertical="center"/>
    </xf>
    <xf numFmtId="2" fontId="4" fillId="6" borderId="3" xfId="3" applyNumberFormat="1" applyFont="1" applyFill="1" applyBorder="1" applyAlignment="1">
      <alignment horizontal="center" vertical="center"/>
    </xf>
    <xf numFmtId="165" fontId="5" fillId="7" borderId="0" xfId="3" applyNumberFormat="1" applyFont="1" applyFill="1" applyAlignment="1">
      <alignment horizontal="center" vertical="center"/>
    </xf>
    <xf numFmtId="165" fontId="4" fillId="4" borderId="2" xfId="3" applyNumberFormat="1" applyFont="1" applyFill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3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0" xfId="3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0" xfId="3" applyFont="1" applyFill="1" applyBorder="1" applyAlignment="1">
      <alignment horizontal="center" vertical="center" wrapText="1"/>
    </xf>
    <xf numFmtId="165" fontId="5" fillId="4" borderId="0" xfId="3" applyNumberFormat="1" applyFont="1" applyFill="1" applyBorder="1" applyAlignment="1">
      <alignment horizontal="center" vertical="center"/>
    </xf>
    <xf numFmtId="165" fontId="4" fillId="4" borderId="0" xfId="3" applyNumberFormat="1" applyFont="1" applyFill="1" applyBorder="1" applyAlignment="1">
      <alignment horizontal="center" vertical="center"/>
    </xf>
    <xf numFmtId="165" fontId="4" fillId="5" borderId="1" xfId="3" applyNumberFormat="1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 wrapText="1"/>
    </xf>
    <xf numFmtId="165" fontId="4" fillId="6" borderId="0" xfId="3" applyNumberFormat="1" applyFont="1" applyFill="1" applyBorder="1" applyAlignment="1">
      <alignment horizontal="center" vertical="center"/>
    </xf>
    <xf numFmtId="2" fontId="5" fillId="6" borderId="0" xfId="3" applyNumberFormat="1" applyFont="1" applyFill="1" applyBorder="1" applyAlignment="1">
      <alignment horizontal="center" vertical="center"/>
    </xf>
    <xf numFmtId="165" fontId="4" fillId="6" borderId="1" xfId="3" applyNumberFormat="1" applyFont="1" applyFill="1" applyBorder="1" applyAlignment="1">
      <alignment horizontal="center" vertical="center"/>
    </xf>
    <xf numFmtId="0" fontId="4" fillId="5" borderId="0" xfId="3" applyFont="1" applyFill="1" applyBorder="1" applyAlignment="1">
      <alignment horizontal="center" vertical="center" wrapText="1"/>
    </xf>
    <xf numFmtId="1" fontId="5" fillId="5" borderId="2" xfId="3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5" fontId="5" fillId="5" borderId="0" xfId="3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5" fillId="7" borderId="0" xfId="3" applyNumberFormat="1" applyFont="1" applyFill="1" applyBorder="1" applyAlignment="1">
      <alignment horizontal="center" vertical="center"/>
    </xf>
    <xf numFmtId="0" fontId="5" fillId="7" borderId="0" xfId="0" applyFont="1" applyFill="1" applyBorder="1" applyAlignment="1"/>
    <xf numFmtId="165" fontId="4" fillId="6" borderId="2" xfId="3" applyNumberFormat="1" applyFont="1" applyFill="1" applyBorder="1" applyAlignment="1">
      <alignment horizontal="center" vertical="center"/>
    </xf>
    <xf numFmtId="2" fontId="4" fillId="6" borderId="2" xfId="3" applyNumberFormat="1" applyFont="1" applyFill="1" applyBorder="1" applyAlignment="1">
      <alignment horizontal="center" vertical="center"/>
    </xf>
    <xf numFmtId="165" fontId="5" fillId="6" borderId="0" xfId="3" applyNumberFormat="1" applyFont="1" applyFill="1" applyBorder="1" applyAlignment="1">
      <alignment horizontal="center" vertical="center"/>
    </xf>
    <xf numFmtId="165" fontId="5" fillId="7" borderId="2" xfId="3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/>
    <xf numFmtId="165" fontId="4" fillId="4" borderId="3" xfId="3" applyNumberFormat="1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165" fontId="5" fillId="4" borderId="2" xfId="3" applyNumberFormat="1" applyFont="1" applyFill="1" applyBorder="1" applyAlignment="1">
      <alignment horizontal="center" vertical="center"/>
    </xf>
    <xf numFmtId="165" fontId="4" fillId="5" borderId="3" xfId="3" applyNumberFormat="1" applyFont="1" applyFill="1" applyBorder="1" applyAlignment="1">
      <alignment horizontal="center" vertical="center"/>
    </xf>
    <xf numFmtId="165" fontId="5" fillId="6" borderId="2" xfId="3" applyNumberFormat="1" applyFont="1" applyFill="1" applyBorder="1" applyAlignment="1">
      <alignment horizontal="center" vertical="center"/>
    </xf>
  </cellXfs>
  <cellStyles count="12">
    <cellStyle name="Milliers" xfId="1" builtinId="3"/>
    <cellStyle name="Milliers 2 6" xfId="8"/>
    <cellStyle name="Milliers 3" xfId="4"/>
    <cellStyle name="Normal" xfId="0" builtinId="0"/>
    <cellStyle name="Normal 2 2" xfId="3"/>
    <cellStyle name="Normal 2 3 17" xfId="6"/>
    <cellStyle name="Normal 3 9" xfId="9"/>
    <cellStyle name="Normal 54" xfId="10"/>
    <cellStyle name="Pourcentage" xfId="2" builtinId="5"/>
    <cellStyle name="Pourcentage 2 2" xfId="5"/>
    <cellStyle name="Pourcentage 2 6" xfId="7"/>
    <cellStyle name="Texte explicatif" xfId="11" builtinId="53"/>
  </cellStyles>
  <dxfs count="186">
    <dxf>
      <numFmt numFmtId="182" formatCode="#,##0_ ;\-#,##0\ "/>
    </dxf>
    <dxf>
      <numFmt numFmtId="183" formatCode="#,##0_ ;\-#,##0,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3" formatCode="#,##0_ ;\-#,##0,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3" formatCode="#,##0_ ;\-#,##0,"/>
    </dxf>
    <dxf>
      <numFmt numFmtId="183" formatCode="#,##0_ ;\-#,##0,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QUENTI~1.I\AppData\Local\Temp\bilan%20AMS2%20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%20&#233;nerg&#233;tique%20TEND_3me_Run5_202111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GitHub/ThreeME/data/calibrations/bilans%20AME%20v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SNBC%202017/hypothesesDGEC/FRK_2017_2015_20102017_1422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FLUX 2015"/>
      <sheetName val="FLUX 2020"/>
      <sheetName val="FLUX 2025"/>
      <sheetName val="FLUX 2030"/>
      <sheetName val="FLUX 2035"/>
      <sheetName val="FLUX 2050"/>
      <sheetName val="Cibles THREEME"/>
      <sheetName val="FLUX 2050 ADEME"/>
      <sheetName val="bilan complet"/>
      <sheetName val="électricité"/>
      <sheetName val="scenario demande"/>
      <sheetName val="Réseaux de chaleur"/>
      <sheetName val="indicateurs ams1"/>
      <sheetName val="indicateurs ams2"/>
      <sheetName val="légende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A1">
            <v>2015</v>
          </cell>
          <cell r="AB1">
            <v>2020</v>
          </cell>
          <cell r="AC1">
            <v>2025</v>
          </cell>
          <cell r="AD1">
            <v>2030</v>
          </cell>
          <cell r="AE1">
            <v>2035</v>
          </cell>
          <cell r="AF1">
            <v>2050</v>
          </cell>
        </row>
        <row r="4">
          <cell r="R4" t="str">
            <v>Produits pétroliers</v>
          </cell>
          <cell r="Z4" t="str">
            <v>Produits pétroliers</v>
          </cell>
        </row>
        <row r="5">
          <cell r="R5" t="str">
            <v>Biocarburants liquides et gazeux</v>
          </cell>
          <cell r="Z5" t="str">
            <v>Biocarburants liquides et gazeux</v>
          </cell>
        </row>
        <row r="8">
          <cell r="R8" t="str">
            <v>Centrale nucléaire</v>
          </cell>
          <cell r="Z8" t="str">
            <v>Centrale nucléaire</v>
          </cell>
        </row>
        <row r="9">
          <cell r="R9" t="str">
            <v>Centrale au fioul</v>
          </cell>
          <cell r="Z9" t="str">
            <v>Centrale au fioul</v>
          </cell>
        </row>
        <row r="10">
          <cell r="R10" t="str">
            <v>Centrale au gaz naturel</v>
          </cell>
          <cell r="Z10" t="str">
            <v>Centrale au gaz naturel</v>
          </cell>
        </row>
        <row r="11">
          <cell r="R11" t="str">
            <v>Centrale au charbon</v>
          </cell>
          <cell r="Z11" t="str">
            <v>Centrale au charbon</v>
          </cell>
        </row>
        <row r="12">
          <cell r="R12" t="str">
            <v xml:space="preserve">Eolien </v>
          </cell>
          <cell r="Z12" t="str">
            <v xml:space="preserve">Eolien </v>
          </cell>
        </row>
        <row r="13">
          <cell r="R13" t="str">
            <v>Photovoltaïque</v>
          </cell>
          <cell r="Z13" t="str">
            <v>Photovoltaïque</v>
          </cell>
        </row>
        <row r="14">
          <cell r="R14" t="str">
            <v>Hydroélectricité et énergies marine</v>
          </cell>
          <cell r="Z14" t="str">
            <v>Hydroélectricité et énergies marine</v>
          </cell>
        </row>
        <row r="15">
          <cell r="R15" t="str">
            <v>Autres (méthanisation, UIOM, bois, géothermie, énergie fatale, PAC aérothermique)</v>
          </cell>
          <cell r="Z15" t="str">
            <v>Autres (méthanisation, UIOM, bois, géothermie, énergie fatale, PAC aérothermique)</v>
          </cell>
        </row>
        <row r="17">
          <cell r="R17" t="str">
            <v>Gaz naturel (réseau de gaz et de chaleur)</v>
          </cell>
          <cell r="Z17" t="str">
            <v>Gaz naturel (réseau de gaz et de chaleur)</v>
          </cell>
        </row>
        <row r="18">
          <cell r="R18" t="str">
            <v>Bois énergie direct et réseau chaleur</v>
          </cell>
          <cell r="Z18" t="str">
            <v>Bois énergie direct et réseau chaleur</v>
          </cell>
        </row>
        <row r="19">
          <cell r="R19" t="str">
            <v>Biogaz, biométhane, BtG et H2 direct et réseau de chaleur</v>
          </cell>
          <cell r="Z19" t="str">
            <v>Biogaz, biométhane, BtG et H2 direct et réseau de chaleur</v>
          </cell>
        </row>
        <row r="20">
          <cell r="R20" t="str">
            <v>UIOM et déchets directs</v>
          </cell>
          <cell r="Z20" t="str">
            <v>UIOM et déchets directs</v>
          </cell>
        </row>
        <row r="21">
          <cell r="R21" t="str">
            <v>Géothermie et  PAC géothermique</v>
          </cell>
          <cell r="Z21" t="str">
            <v>Géothermie et  PAC géothermique</v>
          </cell>
        </row>
        <row r="22">
          <cell r="R22" t="str">
            <v>Autres (solaire thermique, chaleur fatale, pac AEROTHERMIQUE)</v>
          </cell>
          <cell r="Z22" t="str">
            <v>Autres (solaire thermique, chaleur fatale, pac AEROTHERMIQUE)</v>
          </cell>
        </row>
        <row r="23">
          <cell r="R23" t="str">
            <v>Charbon</v>
          </cell>
          <cell r="Z23" t="str">
            <v>Charbon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Bilan BAU 2015"/>
      <sheetName val="Bilan enerdata v2206_2015"/>
      <sheetName val="Bilan BAU 2020"/>
      <sheetName val="Bilan BAU 2025"/>
      <sheetName val="Bilan BAU 2030"/>
      <sheetName val="Bilan BAU 2050 ancien"/>
      <sheetName val="Bilan 2030"/>
      <sheetName val="Bilan 2050"/>
      <sheetName val="Bilan_E_2030_Mtep"/>
      <sheetName val="Bilan_E_2030_TWh"/>
      <sheetName val="Bilan_E_2050_Mtep"/>
      <sheetName val="Bilan_E_2050_TWh"/>
      <sheetName val="SRER"/>
      <sheetName val="BiomNRJ"/>
      <sheetName val="Gaz"/>
      <sheetName val="Déchets"/>
      <sheetName val="RCU"/>
      <sheetName val="H2"/>
      <sheetName val="Bilan enerdata v2206_2020"/>
      <sheetName val="Bilan enerdata v2206_2025"/>
      <sheetName val="Bilan enerdata v2206_2030"/>
      <sheetName val="Bilan enerdata v2206_2050"/>
      <sheetName val="Format demande MedPro_2015"/>
      <sheetName val="Feuil2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  <sheetName val="Feuil1"/>
      <sheetName val="Cibles THREE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G12">
            <v>0.9629016599732112</v>
          </cell>
        </row>
      </sheetData>
      <sheetData sheetId="8"/>
      <sheetData sheetId="9">
        <row r="6">
          <cell r="E6">
            <v>0</v>
          </cell>
          <cell r="F6">
            <v>0</v>
          </cell>
          <cell r="G6">
            <v>0</v>
          </cell>
          <cell r="H6">
            <v>5.4260315786579438</v>
          </cell>
          <cell r="I6">
            <v>0</v>
          </cell>
          <cell r="J6">
            <v>6.8532717165094725</v>
          </cell>
          <cell r="O6">
            <v>0</v>
          </cell>
          <cell r="P6">
            <v>0</v>
          </cell>
          <cell r="T6">
            <v>0</v>
          </cell>
        </row>
        <row r="7">
          <cell r="E7">
            <v>-0.71321254806331502</v>
          </cell>
          <cell r="F7">
            <v>-3.3445706191904017</v>
          </cell>
          <cell r="G7">
            <v>-4.670976659817315</v>
          </cell>
          <cell r="H7">
            <v>0</v>
          </cell>
          <cell r="I7">
            <v>-4.1511442481302741</v>
          </cell>
          <cell r="J7">
            <v>0</v>
          </cell>
          <cell r="O7">
            <v>-3.6894797783448743</v>
          </cell>
          <cell r="P7">
            <v>0</v>
          </cell>
          <cell r="T7">
            <v>-1.5035264520933976E-16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-1.723265660967026</v>
          </cell>
          <cell r="R8">
            <v>0</v>
          </cell>
          <cell r="S8">
            <v>-6.7848679993595035E-2</v>
          </cell>
          <cell r="T8">
            <v>-5.3013200064049382E-3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-6.4185087620203891</v>
          </cell>
          <cell r="J9">
            <v>0</v>
          </cell>
          <cell r="O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219.7148796784881</v>
          </cell>
          <cell r="C11">
            <v>4.296094504131398</v>
          </cell>
          <cell r="Z11">
            <v>3.929442749978119</v>
          </cell>
        </row>
        <row r="13">
          <cell r="R13">
            <v>0</v>
          </cell>
        </row>
        <row r="14">
          <cell r="R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78.167747987180476</v>
          </cell>
          <cell r="L15">
            <v>7.7386070507308675</v>
          </cell>
          <cell r="M15">
            <v>2.5795356835769558</v>
          </cell>
          <cell r="N15">
            <v>7.1367153912295782</v>
          </cell>
          <cell r="O15">
            <v>-46.775580395528799</v>
          </cell>
          <cell r="P15">
            <v>0</v>
          </cell>
          <cell r="R15">
            <v>0</v>
          </cell>
          <cell r="S15">
            <v>5.3168706957415477</v>
          </cell>
          <cell r="T15">
            <v>0.41543082331835524</v>
          </cell>
          <cell r="U15">
            <v>0</v>
          </cell>
          <cell r="W15">
            <v>0</v>
          </cell>
          <cell r="Y15">
            <v>0.85984522785898532</v>
          </cell>
        </row>
        <row r="16">
          <cell r="O16">
            <v>-1.6337059329320722</v>
          </cell>
          <cell r="R16">
            <v>0</v>
          </cell>
          <cell r="AE16">
            <v>0.49883522738706376</v>
          </cell>
          <cell r="AF16">
            <v>0.17196904557179726</v>
          </cell>
          <cell r="AG16">
            <v>0.9629016599732112</v>
          </cell>
        </row>
        <row r="17">
          <cell r="R17">
            <v>0</v>
          </cell>
          <cell r="AE17">
            <v>1.0092581098350379</v>
          </cell>
        </row>
        <row r="18">
          <cell r="O18">
            <v>0.28458344896914067</v>
          </cell>
          <cell r="R18">
            <v>0</v>
          </cell>
          <cell r="S18">
            <v>0</v>
          </cell>
        </row>
        <row r="19">
          <cell r="R19">
            <v>8.1685296646603608E-2</v>
          </cell>
        </row>
        <row r="20">
          <cell r="E20">
            <v>-1.4295686810237671</v>
          </cell>
          <cell r="F20">
            <v>-14.295686810237669</v>
          </cell>
          <cell r="G20">
            <v>-28.591373620475338</v>
          </cell>
          <cell r="H20">
            <v>-0.35739217025594178</v>
          </cell>
          <cell r="I20">
            <v>-10.721765107678252</v>
          </cell>
          <cell r="J20">
            <v>-16.08264766151737</v>
          </cell>
          <cell r="R20">
            <v>0</v>
          </cell>
          <cell r="S20">
            <v>0</v>
          </cell>
          <cell r="T20">
            <v>0</v>
          </cell>
          <cell r="AE20">
            <v>9.6951088114670902E-2</v>
          </cell>
          <cell r="AF20">
            <v>5.7633486891493779E-2</v>
          </cell>
          <cell r="AG20">
            <v>0.37457665335195101</v>
          </cell>
        </row>
        <row r="21">
          <cell r="O21">
            <v>0.19181162775315827</v>
          </cell>
          <cell r="S21">
            <v>0</v>
          </cell>
          <cell r="T21">
            <v>0</v>
          </cell>
        </row>
        <row r="22">
          <cell r="C22">
            <v>2.3084554085833258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R22">
            <v>0</v>
          </cell>
        </row>
        <row r="23">
          <cell r="C23">
            <v>0.82322471120681262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2.5748907818544646</v>
          </cell>
          <cell r="O23">
            <v>2.3865052610270183</v>
          </cell>
          <cell r="R23">
            <v>0</v>
          </cell>
          <cell r="S23">
            <v>1.0534281904866341</v>
          </cell>
          <cell r="T23">
            <v>8.2309043330908299E-2</v>
          </cell>
          <cell r="U23">
            <v>0</v>
          </cell>
        </row>
        <row r="24">
          <cell r="O24">
            <v>3.3241608457683745</v>
          </cell>
          <cell r="P24">
            <v>0.4528922291184912</v>
          </cell>
          <cell r="S24">
            <v>0.53734397414584223</v>
          </cell>
          <cell r="T24">
            <v>4.1985081518599976E-2</v>
          </cell>
        </row>
        <row r="27">
          <cell r="C27">
            <v>0.7766788133216237</v>
          </cell>
          <cell r="E27">
            <v>0.10499747119499384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2.2192540587912921</v>
          </cell>
          <cell r="O27">
            <v>10.932101566646132</v>
          </cell>
          <cell r="P27">
            <v>1.496862914467942</v>
          </cell>
          <cell r="R27">
            <v>0</v>
          </cell>
          <cell r="S27">
            <v>11.904514618452172</v>
          </cell>
          <cell r="T27">
            <v>0.93015282713382375</v>
          </cell>
          <cell r="U27">
            <v>1.3915887406197127</v>
          </cell>
          <cell r="V27">
            <v>0</v>
          </cell>
          <cell r="W27">
            <v>0.2658069513840664</v>
          </cell>
          <cell r="X27">
            <v>0</v>
          </cell>
          <cell r="Y27">
            <v>0</v>
          </cell>
          <cell r="Z27">
            <v>0</v>
          </cell>
        </row>
        <row r="28">
          <cell r="C28">
            <v>0</v>
          </cell>
          <cell r="E28">
            <v>0.24058187751806509</v>
          </cell>
          <cell r="F28">
            <v>0</v>
          </cell>
          <cell r="G28">
            <v>0</v>
          </cell>
          <cell r="H28">
            <v>1.4798737545359983</v>
          </cell>
          <cell r="I28">
            <v>0</v>
          </cell>
          <cell r="J28">
            <v>0</v>
          </cell>
          <cell r="O28">
            <v>12.414750368519954</v>
          </cell>
          <cell r="P28">
            <v>1.6777999812523532</v>
          </cell>
          <cell r="R28">
            <v>0</v>
          </cell>
          <cell r="S28">
            <v>9.3842734068562343</v>
          </cell>
          <cell r="T28">
            <v>0.73323513975566101</v>
          </cell>
          <cell r="U28">
            <v>5.0976630521059159</v>
          </cell>
          <cell r="V28">
            <v>0</v>
          </cell>
          <cell r="X28">
            <v>9.4404771867981241E-2</v>
          </cell>
          <cell r="Y28">
            <v>0.23913423364325154</v>
          </cell>
          <cell r="Z28">
            <v>2.2254477091481988</v>
          </cell>
        </row>
        <row r="29">
          <cell r="C29">
            <v>0</v>
          </cell>
          <cell r="E29">
            <v>0.37077678424739319</v>
          </cell>
          <cell r="F29">
            <v>0</v>
          </cell>
          <cell r="G29">
            <v>0</v>
          </cell>
          <cell r="H29">
            <v>1.5124603388502103</v>
          </cell>
          <cell r="I29">
            <v>0</v>
          </cell>
          <cell r="J29">
            <v>0</v>
          </cell>
          <cell r="O29">
            <v>11.481449485039443</v>
          </cell>
          <cell r="P29">
            <v>0.75020494511345692</v>
          </cell>
          <cell r="R29">
            <v>0</v>
          </cell>
          <cell r="S29">
            <v>4.8827026859314531</v>
          </cell>
          <cell r="T29">
            <v>0.38150734010888754</v>
          </cell>
          <cell r="U29">
            <v>0.16881775842229721</v>
          </cell>
          <cell r="V29">
            <v>0</v>
          </cell>
          <cell r="X29">
            <v>1.3327601031814273E-2</v>
          </cell>
          <cell r="Y29">
            <v>0.13816176006729081</v>
          </cell>
          <cell r="Z29">
            <v>1.7039950408299203</v>
          </cell>
        </row>
        <row r="30">
          <cell r="C30">
            <v>0</v>
          </cell>
          <cell r="E30">
            <v>0</v>
          </cell>
          <cell r="F30">
            <v>10.951116191047268</v>
          </cell>
          <cell r="G30">
            <v>23.920396960658024</v>
          </cell>
          <cell r="H30">
            <v>0</v>
          </cell>
          <cell r="I30">
            <v>0.15211209752758939</v>
          </cell>
          <cell r="J30">
            <v>0</v>
          </cell>
          <cell r="O30">
            <v>2.9728281611928842</v>
          </cell>
          <cell r="P30">
            <v>0</v>
          </cell>
          <cell r="R30">
            <v>4.1992122927865388E-2</v>
          </cell>
          <cell r="S30">
            <v>0.50124293270831399</v>
          </cell>
          <cell r="T30">
            <v>3.9164346122673506E-2</v>
          </cell>
          <cell r="U30">
            <v>0</v>
          </cell>
          <cell r="V30">
            <v>3.9716168994652796</v>
          </cell>
          <cell r="Y30">
            <v>0</v>
          </cell>
        </row>
        <row r="31"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2.7910896555276778</v>
          </cell>
          <cell r="I31">
            <v>0</v>
          </cell>
          <cell r="J31">
            <v>0</v>
          </cell>
          <cell r="O31">
            <v>0.7196295427235383</v>
          </cell>
          <cell r="P31">
            <v>0</v>
          </cell>
          <cell r="R31">
            <v>0</v>
          </cell>
          <cell r="S31">
            <v>0.41780878975042762</v>
          </cell>
          <cell r="T31">
            <v>3.2645264376033073E-2</v>
          </cell>
          <cell r="U31">
            <v>5.682763481330546E-2</v>
          </cell>
          <cell r="V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V32">
            <v>3.9716168994652796</v>
          </cell>
          <cell r="W32">
            <v>0.2658069513840664</v>
          </cell>
        </row>
        <row r="33">
          <cell r="C33">
            <v>0.2888533698158528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16.418508876414059</v>
          </cell>
          <cell r="R33">
            <v>2.274514325439616E-4</v>
          </cell>
          <cell r="S33">
            <v>0.69244569819870139</v>
          </cell>
          <cell r="T33">
            <v>5.4103871048874416E-2</v>
          </cell>
          <cell r="U33">
            <v>0</v>
          </cell>
        </row>
        <row r="34">
          <cell r="R34">
            <v>4.2219574360409351E-2</v>
          </cell>
          <cell r="Y34">
            <v>0.37729599371054234</v>
          </cell>
        </row>
        <row r="35">
          <cell r="C35">
            <v>9.8882201203783299E-2</v>
          </cell>
          <cell r="O35">
            <v>1.1986242476354256E-2</v>
          </cell>
        </row>
        <row r="43">
          <cell r="B43">
            <v>0.33</v>
          </cell>
        </row>
        <row r="49">
          <cell r="B49">
            <v>0.22</v>
          </cell>
        </row>
      </sheetData>
      <sheetData sheetId="10"/>
      <sheetData sheetId="11">
        <row r="6">
          <cell r="E6">
            <v>0</v>
          </cell>
          <cell r="F6">
            <v>0</v>
          </cell>
          <cell r="G6">
            <v>0</v>
          </cell>
          <cell r="H6">
            <v>1.3140442549253857</v>
          </cell>
          <cell r="I6">
            <v>1.4972872924632201</v>
          </cell>
          <cell r="J6">
            <v>7.5206082101043279</v>
          </cell>
          <cell r="O6">
            <v>0</v>
          </cell>
          <cell r="P6">
            <v>0</v>
          </cell>
          <cell r="T6">
            <v>3.2457078965825724E-16</v>
          </cell>
        </row>
        <row r="7">
          <cell r="E7">
            <v>-0.55261278688584481</v>
          </cell>
          <cell r="F7">
            <v>-6.3912751972902671</v>
          </cell>
          <cell r="G7">
            <v>-3.7631497496980253</v>
          </cell>
          <cell r="H7">
            <v>0</v>
          </cell>
          <cell r="I7">
            <v>0</v>
          </cell>
          <cell r="J7">
            <v>0</v>
          </cell>
          <cell r="O7">
            <v>-1.6643110466037623</v>
          </cell>
          <cell r="P7">
            <v>0</v>
          </cell>
          <cell r="T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-1.7689864573977419</v>
          </cell>
          <cell r="R8">
            <v>0</v>
          </cell>
          <cell r="S8">
            <v>-6.2119120817737426E-2</v>
          </cell>
          <cell r="T8">
            <v>-1.4355879182262438E-2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-7.6504040753869171</v>
          </cell>
          <cell r="J9">
            <v>0</v>
          </cell>
          <cell r="O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198.59666761815447</v>
          </cell>
          <cell r="C11">
            <v>2.9217059859506862</v>
          </cell>
          <cell r="Z11">
            <v>6.1428203545850657</v>
          </cell>
        </row>
        <row r="13">
          <cell r="R13">
            <v>0</v>
          </cell>
        </row>
        <row r="14">
          <cell r="R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78.167747987180476</v>
          </cell>
          <cell r="L15">
            <v>14.61736887360275</v>
          </cell>
          <cell r="M15">
            <v>6.44883920894239</v>
          </cell>
          <cell r="N15">
            <v>6.9647463456577814</v>
          </cell>
          <cell r="O15">
            <v>-57.308684436801371</v>
          </cell>
          <cell r="P15">
            <v>0</v>
          </cell>
          <cell r="R15">
            <v>0</v>
          </cell>
          <cell r="S15">
            <v>4.656234463892547</v>
          </cell>
          <cell r="T15">
            <v>1.0760670551673561</v>
          </cell>
          <cell r="U15">
            <v>0</v>
          </cell>
          <cell r="W15">
            <v>0</v>
          </cell>
          <cell r="Y15">
            <v>0.42992261392949266</v>
          </cell>
        </row>
        <row r="16">
          <cell r="O16">
            <v>-1.8056749785038693</v>
          </cell>
          <cell r="R16">
            <v>0</v>
          </cell>
          <cell r="AE16">
            <v>0.65686772553292361</v>
          </cell>
          <cell r="AF16">
            <v>0.17196904557179704</v>
          </cell>
          <cell r="AG16">
            <v>0.97683820739914862</v>
          </cell>
        </row>
        <row r="17">
          <cell r="R17">
            <v>0</v>
          </cell>
          <cell r="AE17">
            <v>1.1010135798108558</v>
          </cell>
          <cell r="AF17">
            <v>7.0916381886947377E-2</v>
          </cell>
        </row>
        <row r="18">
          <cell r="O18">
            <v>0.56219768998766328</v>
          </cell>
          <cell r="R18">
            <v>0</v>
          </cell>
          <cell r="S18">
            <v>0</v>
          </cell>
        </row>
        <row r="19">
          <cell r="R19">
            <v>5.8211521926053313E-2</v>
          </cell>
        </row>
        <row r="20">
          <cell r="E20">
            <v>-0.8204155710564931</v>
          </cell>
          <cell r="F20">
            <v>-8.2041557105649296</v>
          </cell>
          <cell r="G20">
            <v>-16.408311421129859</v>
          </cell>
          <cell r="H20">
            <v>-0.20510389276412327</v>
          </cell>
          <cell r="I20">
            <v>-6.1531167829236972</v>
          </cell>
          <cell r="J20">
            <v>-9.229675174385541</v>
          </cell>
          <cell r="R20">
            <v>0.25574884916586599</v>
          </cell>
          <cell r="S20">
            <v>0</v>
          </cell>
          <cell r="T20">
            <v>0</v>
          </cell>
          <cell r="AE20">
            <v>-0.19452634560016979</v>
          </cell>
          <cell r="AF20">
            <v>8.4086448162398464E-2</v>
          </cell>
          <cell r="AG20">
            <v>0.18560190995473724</v>
          </cell>
        </row>
        <row r="21">
          <cell r="O21">
            <v>1.4967898055554387</v>
          </cell>
          <cell r="S21">
            <v>0</v>
          </cell>
          <cell r="T21">
            <v>0</v>
          </cell>
        </row>
        <row r="22">
          <cell r="C22">
            <v>1.7714040932094379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R22">
            <v>0.55030094582975064</v>
          </cell>
        </row>
        <row r="23">
          <cell r="C23">
            <v>0.6317053461984895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1.657405194053521</v>
          </cell>
          <cell r="O23">
            <v>2.3666861740715484</v>
          </cell>
          <cell r="R23">
            <v>0</v>
          </cell>
          <cell r="S23">
            <v>0.52943487770733244</v>
          </cell>
          <cell r="T23">
            <v>0.12235368175191742</v>
          </cell>
          <cell r="U23">
            <v>0</v>
          </cell>
        </row>
        <row r="24">
          <cell r="O24">
            <v>4.2507074659947683</v>
          </cell>
          <cell r="P24">
            <v>0.50140261306438105</v>
          </cell>
          <cell r="S24">
            <v>0.41123494036821789</v>
          </cell>
          <cell r="T24">
            <v>9.5037390126186644E-2</v>
          </cell>
        </row>
        <row r="27">
          <cell r="C27">
            <v>8.6042207010072536E-2</v>
          </cell>
          <cell r="E27">
            <v>3.4103042194695607E-2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1.2953327773540753</v>
          </cell>
          <cell r="O27">
            <v>10.574809411781469</v>
          </cell>
          <cell r="P27">
            <v>1.6784972918252685</v>
          </cell>
          <cell r="R27">
            <v>0</v>
          </cell>
          <cell r="S27">
            <v>9.6974141367237028</v>
          </cell>
          <cell r="T27">
            <v>2.2410958798923954</v>
          </cell>
          <cell r="U27">
            <v>1.2539903693057954</v>
          </cell>
          <cell r="V27">
            <v>0</v>
          </cell>
          <cell r="W27">
            <v>0.25695606376582447</v>
          </cell>
          <cell r="X27">
            <v>0</v>
          </cell>
          <cell r="Y27">
            <v>0</v>
          </cell>
          <cell r="Z27">
            <v>0</v>
          </cell>
        </row>
        <row r="28">
          <cell r="C28">
            <v>0</v>
          </cell>
          <cell r="E28">
            <v>5.0831552228201397E-2</v>
          </cell>
          <cell r="F28">
            <v>0</v>
          </cell>
          <cell r="G28">
            <v>0</v>
          </cell>
          <cell r="H28">
            <v>0.22246345690921135</v>
          </cell>
          <cell r="I28">
            <v>0</v>
          </cell>
          <cell r="J28">
            <v>0</v>
          </cell>
          <cell r="O28">
            <v>12.53585140979772</v>
          </cell>
          <cell r="P28">
            <v>1.6288368495932672</v>
          </cell>
          <cell r="R28">
            <v>0</v>
          </cell>
          <cell r="S28">
            <v>5.9888640232671477</v>
          </cell>
          <cell r="T28">
            <v>1.3840409720105376</v>
          </cell>
          <cell r="U28">
            <v>3.5375310075966953</v>
          </cell>
          <cell r="V28">
            <v>0</v>
          </cell>
          <cell r="X28">
            <v>0.10276622340592166</v>
          </cell>
          <cell r="Y28">
            <v>0.48595190668762328</v>
          </cell>
          <cell r="Z28">
            <v>4.0451302177478921</v>
          </cell>
        </row>
        <row r="29">
          <cell r="C29">
            <v>0</v>
          </cell>
          <cell r="E29">
            <v>0.18286818974775121</v>
          </cell>
          <cell r="F29">
            <v>0</v>
          </cell>
          <cell r="G29">
            <v>0</v>
          </cell>
          <cell r="H29">
            <v>0.54861934254298039</v>
          </cell>
          <cell r="I29">
            <v>0</v>
          </cell>
          <cell r="J29">
            <v>0</v>
          </cell>
          <cell r="O29">
            <v>14.380426707216209</v>
          </cell>
          <cell r="P29">
            <v>0.88652627998905875</v>
          </cell>
          <cell r="R29">
            <v>0</v>
          </cell>
          <cell r="S29">
            <v>3.4879287601630784</v>
          </cell>
          <cell r="T29">
            <v>0.80606877911481944</v>
          </cell>
          <cell r="U29">
            <v>0.18202054192020273</v>
          </cell>
          <cell r="V29">
            <v>0</v>
          </cell>
          <cell r="X29">
            <v>9.0724441295534169E-2</v>
          </cell>
          <cell r="Y29">
            <v>0.17008298406787895</v>
          </cell>
          <cell r="Z29">
            <v>2.0976901368371736</v>
          </cell>
        </row>
        <row r="30">
          <cell r="C30">
            <v>0</v>
          </cell>
          <cell r="E30">
            <v>0</v>
          </cell>
          <cell r="F30">
            <v>1.8128805132746628</v>
          </cell>
          <cell r="G30">
            <v>12.645161671431834</v>
          </cell>
          <cell r="H30">
            <v>0</v>
          </cell>
          <cell r="I30">
            <v>0</v>
          </cell>
          <cell r="J30">
            <v>0</v>
          </cell>
          <cell r="O30">
            <v>10.312596778789288</v>
          </cell>
          <cell r="P30">
            <v>0</v>
          </cell>
          <cell r="R30">
            <v>0.19454156759829244</v>
          </cell>
          <cell r="S30">
            <v>1.1617407848078862</v>
          </cell>
          <cell r="T30">
            <v>0.26848110739916653</v>
          </cell>
          <cell r="U30">
            <v>0</v>
          </cell>
          <cell r="V30">
            <v>3.6020074831689883</v>
          </cell>
          <cell r="Y30">
            <v>0</v>
          </cell>
        </row>
        <row r="31"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0.74806534823731718</v>
          </cell>
          <cell r="I31">
            <v>0</v>
          </cell>
          <cell r="J31">
            <v>0</v>
          </cell>
          <cell r="O31">
            <v>0.5812468979923372</v>
          </cell>
          <cell r="P31">
            <v>0</v>
          </cell>
          <cell r="R31">
            <v>0</v>
          </cell>
          <cell r="S31">
            <v>0.70296468959759018</v>
          </cell>
          <cell r="T31">
            <v>0.3344258868859139</v>
          </cell>
          <cell r="U31">
            <v>0.16629129482392738</v>
          </cell>
          <cell r="V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V32">
            <v>3.6020074831689883</v>
          </cell>
          <cell r="W32">
            <v>0.25695606376582447</v>
          </cell>
        </row>
        <row r="33">
          <cell r="C33">
            <v>0.27434281760663276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12.028558955684527</v>
          </cell>
          <cell r="R33">
            <v>-1.6822262748981528E-4</v>
          </cell>
          <cell r="S33">
            <v>0.50215507148984018</v>
          </cell>
          <cell r="T33">
            <v>0.11604925250342706</v>
          </cell>
          <cell r="U33">
            <v>0</v>
          </cell>
        </row>
        <row r="34">
          <cell r="R34">
            <v>0.19437334497080264</v>
          </cell>
          <cell r="Y34">
            <v>0.65603489075550225</v>
          </cell>
        </row>
        <row r="35">
          <cell r="C35">
            <v>0.15821152192605331</v>
          </cell>
          <cell r="O35">
            <v>0.38873602751504727</v>
          </cell>
        </row>
        <row r="43">
          <cell r="B43">
            <v>0.33</v>
          </cell>
        </row>
        <row r="48">
          <cell r="B48">
            <v>0.6</v>
          </cell>
        </row>
      </sheetData>
      <sheetData sheetId="12"/>
      <sheetData sheetId="13">
        <row r="9">
          <cell r="B9">
            <v>17</v>
          </cell>
          <cell r="C9">
            <v>19</v>
          </cell>
        </row>
        <row r="10">
          <cell r="B10">
            <v>2</v>
          </cell>
          <cell r="C10">
            <v>2</v>
          </cell>
        </row>
        <row r="11">
          <cell r="B11">
            <v>40</v>
          </cell>
          <cell r="C11">
            <v>40</v>
          </cell>
        </row>
        <row r="12">
          <cell r="B12">
            <v>4</v>
          </cell>
          <cell r="C12">
            <v>2</v>
          </cell>
        </row>
        <row r="13">
          <cell r="B13">
            <v>1</v>
          </cell>
          <cell r="C13">
            <v>0.5</v>
          </cell>
        </row>
      </sheetData>
      <sheetData sheetId="14"/>
      <sheetData sheetId="15">
        <row r="6">
          <cell r="D6">
            <v>33.040719702149168</v>
          </cell>
          <cell r="E6">
            <v>74.790941325004283</v>
          </cell>
          <cell r="I6">
            <v>422.87000504039253</v>
          </cell>
        </row>
        <row r="7">
          <cell r="D7">
            <v>0</v>
          </cell>
          <cell r="E7">
            <v>2</v>
          </cell>
        </row>
        <row r="8">
          <cell r="D8">
            <v>0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I11">
            <v>323.62681945530738</v>
          </cell>
        </row>
        <row r="13">
          <cell r="D13">
            <v>41.491955339999997</v>
          </cell>
          <cell r="E13">
            <v>89.285032979999997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4">
          <cell r="D24">
            <v>0</v>
          </cell>
          <cell r="E24">
            <v>2</v>
          </cell>
        </row>
      </sheetData>
      <sheetData sheetId="16">
        <row r="6">
          <cell r="F6">
            <v>7526.6543054884487</v>
          </cell>
          <cell r="G6">
            <v>6044.9403520521</v>
          </cell>
        </row>
        <row r="10">
          <cell r="F10">
            <v>3671.8919999999994</v>
          </cell>
          <cell r="G10">
            <v>5315.6879999999992</v>
          </cell>
        </row>
      </sheetData>
      <sheetData sheetId="17">
        <row r="7">
          <cell r="C7">
            <v>10</v>
          </cell>
          <cell r="D7">
            <v>11</v>
          </cell>
          <cell r="E7">
            <v>10</v>
          </cell>
          <cell r="F7">
            <v>11</v>
          </cell>
        </row>
        <row r="8">
          <cell r="C8">
            <v>10.58</v>
          </cell>
          <cell r="D8">
            <v>15</v>
          </cell>
        </row>
        <row r="9">
          <cell r="E9">
            <v>8.9510040160642568</v>
          </cell>
          <cell r="F9">
            <v>13.515151515151516</v>
          </cell>
        </row>
        <row r="11">
          <cell r="C11">
            <v>2</v>
          </cell>
          <cell r="D11">
            <v>7</v>
          </cell>
          <cell r="E11">
            <v>2</v>
          </cell>
          <cell r="F11">
            <v>7</v>
          </cell>
        </row>
        <row r="12">
          <cell r="C12">
            <v>0.51200000000000001</v>
          </cell>
          <cell r="D12">
            <v>0.7</v>
          </cell>
          <cell r="E12">
            <v>0.51200000000000001</v>
          </cell>
          <cell r="F12">
            <v>0.7</v>
          </cell>
        </row>
        <row r="13">
          <cell r="C13">
            <v>0.16</v>
          </cell>
          <cell r="D13">
            <v>0.16</v>
          </cell>
          <cell r="E13">
            <v>0.69</v>
          </cell>
        </row>
        <row r="14">
          <cell r="C14">
            <v>0.05</v>
          </cell>
          <cell r="D14">
            <v>0.8</v>
          </cell>
          <cell r="E14">
            <v>0.05</v>
          </cell>
          <cell r="F14">
            <v>0.8</v>
          </cell>
        </row>
        <row r="17">
          <cell r="C17">
            <v>13.1</v>
          </cell>
          <cell r="D17">
            <v>6</v>
          </cell>
          <cell r="E17">
            <v>14.555555555555555</v>
          </cell>
          <cell r="F17">
            <v>6.6666666666666661</v>
          </cell>
        </row>
        <row r="83">
          <cell r="D83">
            <v>14.511349613544585</v>
          </cell>
        </row>
        <row r="95">
          <cell r="D95">
            <v>13.94590909090909</v>
          </cell>
        </row>
      </sheetData>
      <sheetData sheetId="18">
        <row r="27">
          <cell r="C27">
            <v>0</v>
          </cell>
          <cell r="D27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Cibles THREEME"/>
      <sheetName val="FLUX 2006"/>
      <sheetName val="FLUX 2010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  <sheetName val="Feuil1"/>
    </sheetNames>
    <sheetDataSet>
      <sheetData sheetId="0"/>
      <sheetData sheetId="1">
        <row r="2">
          <cell r="B2">
            <v>272.71929624030639</v>
          </cell>
        </row>
      </sheetData>
      <sheetData sheetId="2">
        <row r="5">
          <cell r="AK5">
            <v>2.8600000000000003</v>
          </cell>
        </row>
      </sheetData>
      <sheetData sheetId="3">
        <row r="10">
          <cell r="G10">
            <v>111.11059799516073</v>
          </cell>
          <cell r="I10">
            <v>74.444100656757684</v>
          </cell>
        </row>
      </sheetData>
      <sheetData sheetId="4">
        <row r="23">
          <cell r="AK23">
            <v>0.28506034800000002</v>
          </cell>
        </row>
      </sheetData>
      <sheetData sheetId="5"/>
      <sheetData sheetId="6"/>
      <sheetData sheetId="7"/>
      <sheetData sheetId="8"/>
      <sheetData sheetId="9"/>
      <sheetData sheetId="10">
        <row r="30">
          <cell r="D30">
            <v>8.7599997641518715E-7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20">
          <cell r="S20">
            <v>7465.3666499637939</v>
          </cell>
        </row>
        <row r="21">
          <cell r="S21">
            <v>4916.4407142295822</v>
          </cell>
        </row>
        <row r="22">
          <cell r="S22">
            <v>2066.0245016134691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/>
  </sheetViews>
  <sheetFormatPr baseColWidth="10" defaultColWidth="11.453125" defaultRowHeight="14.5"/>
  <cols>
    <col min="1" max="1" width="41.26953125" style="256" customWidth="1"/>
    <col min="2" max="16384" width="11.453125" style="256"/>
  </cols>
  <sheetData>
    <row r="1" spans="1:37">
      <c r="A1" s="366" t="s">
        <v>266</v>
      </c>
      <c r="B1" s="256">
        <f>'[1]Cibles THREEME'!AA1</f>
        <v>2015</v>
      </c>
      <c r="C1" s="256">
        <f>B1+1</f>
        <v>2016</v>
      </c>
      <c r="D1" s="256">
        <f t="shared" ref="D1:F1" si="0">C1+1</f>
        <v>2017</v>
      </c>
      <c r="E1" s="256">
        <f t="shared" si="0"/>
        <v>2018</v>
      </c>
      <c r="F1" s="256">
        <f t="shared" si="0"/>
        <v>2019</v>
      </c>
      <c r="G1" s="256">
        <f>'[1]Cibles THREEME'!AB1</f>
        <v>2020</v>
      </c>
      <c r="H1" s="256">
        <f>G1+1</f>
        <v>2021</v>
      </c>
      <c r="I1" s="256">
        <f t="shared" ref="I1:K1" si="1">H1+1</f>
        <v>2022</v>
      </c>
      <c r="J1" s="256">
        <f t="shared" si="1"/>
        <v>2023</v>
      </c>
      <c r="K1" s="256">
        <f t="shared" si="1"/>
        <v>2024</v>
      </c>
      <c r="L1" s="256">
        <f>'[1]Cibles THREEME'!AC1</f>
        <v>2025</v>
      </c>
      <c r="M1" s="256">
        <f>L1+1</f>
        <v>2026</v>
      </c>
      <c r="N1" s="256">
        <f t="shared" ref="N1:P1" si="2">M1+1</f>
        <v>2027</v>
      </c>
      <c r="O1" s="256">
        <f t="shared" si="2"/>
        <v>2028</v>
      </c>
      <c r="P1" s="256">
        <f t="shared" si="2"/>
        <v>2029</v>
      </c>
      <c r="Q1" s="256">
        <f>'[1]Cibles THREEME'!AD1</f>
        <v>2030</v>
      </c>
      <c r="R1" s="256">
        <f>Q1+1</f>
        <v>2031</v>
      </c>
      <c r="S1" s="256">
        <f t="shared" ref="S1:U1" si="3">R1+1</f>
        <v>2032</v>
      </c>
      <c r="T1" s="256">
        <f t="shared" si="3"/>
        <v>2033</v>
      </c>
      <c r="U1" s="256">
        <f t="shared" si="3"/>
        <v>2034</v>
      </c>
      <c r="V1" s="256">
        <f>'[1]Cibles THREEME'!AE1</f>
        <v>2035</v>
      </c>
      <c r="W1" s="256">
        <f>V1+1</f>
        <v>2036</v>
      </c>
      <c r="X1" s="256">
        <f t="shared" ref="X1:AJ1" si="4">W1+1</f>
        <v>2037</v>
      </c>
      <c r="Y1" s="256">
        <f t="shared" si="4"/>
        <v>2038</v>
      </c>
      <c r="Z1" s="256">
        <f t="shared" si="4"/>
        <v>2039</v>
      </c>
      <c r="AA1" s="256">
        <f t="shared" si="4"/>
        <v>2040</v>
      </c>
      <c r="AB1" s="256">
        <f t="shared" si="4"/>
        <v>2041</v>
      </c>
      <c r="AC1" s="256">
        <f t="shared" si="4"/>
        <v>2042</v>
      </c>
      <c r="AD1" s="256">
        <f t="shared" si="4"/>
        <v>2043</v>
      </c>
      <c r="AE1" s="256">
        <f t="shared" si="4"/>
        <v>2044</v>
      </c>
      <c r="AF1" s="256">
        <f t="shared" si="4"/>
        <v>2045</v>
      </c>
      <c r="AG1" s="256">
        <f t="shared" si="4"/>
        <v>2046</v>
      </c>
      <c r="AH1" s="256">
        <f t="shared" si="4"/>
        <v>2047</v>
      </c>
      <c r="AI1" s="256">
        <f t="shared" si="4"/>
        <v>2048</v>
      </c>
      <c r="AJ1" s="256">
        <f t="shared" si="4"/>
        <v>2049</v>
      </c>
      <c r="AK1" s="256">
        <f>'[1]Cibles THREEME'!AF1</f>
        <v>2050</v>
      </c>
    </row>
    <row r="2" spans="1:37">
      <c r="A2" s="256" t="str">
        <f>'[1]Cibles THREEME'!Z23</f>
        <v>Charbon</v>
      </c>
      <c r="B2" s="256">
        <f>'Cibles THREEME'!W23</f>
        <v>1.1313605731176026</v>
      </c>
      <c r="C2" s="256">
        <f>B2*($G2/$B2)^(1/5)</f>
        <v>0.89310476418416984</v>
      </c>
      <c r="D2" s="256">
        <f t="shared" ref="D2:F2" si="5">C2*($G2/$B2)^(1/5)</f>
        <v>0.70502379061211018</v>
      </c>
      <c r="E2" s="256">
        <f t="shared" si="5"/>
        <v>0.55655121914294103</v>
      </c>
      <c r="F2" s="256">
        <f t="shared" si="5"/>
        <v>0.43934582584875032</v>
      </c>
      <c r="G2" s="256">
        <f>'Cibles THREEME'!X23</f>
        <v>0.34682298421332747</v>
      </c>
      <c r="H2" s="256">
        <f>G2*($AK2/$G2)^(1/30)</f>
        <v>0.33969669733495095</v>
      </c>
      <c r="I2" s="256">
        <f t="shared" ref="I2:AJ11" si="6">H2*($AK2/$G2)^(1/30)</f>
        <v>0.3327168366364544</v>
      </c>
      <c r="J2" s="256">
        <f t="shared" si="6"/>
        <v>0.32588039345055847</v>
      </c>
      <c r="K2" s="256">
        <f t="shared" si="6"/>
        <v>0.31918442093006816</v>
      </c>
      <c r="L2" s="256">
        <f t="shared" si="6"/>
        <v>0.31262603277763512</v>
      </c>
      <c r="M2" s="256">
        <f t="shared" si="6"/>
        <v>0.30620240200161991</v>
      </c>
      <c r="N2" s="256">
        <f t="shared" si="6"/>
        <v>0.29991075969751779</v>
      </c>
      <c r="O2" s="256">
        <f t="shared" si="6"/>
        <v>0.2937483938544232</v>
      </c>
      <c r="P2" s="256">
        <f t="shared" si="6"/>
        <v>0.28771264818601799</v>
      </c>
      <c r="Q2" s="256">
        <f t="shared" si="6"/>
        <v>0.28180092098558007</v>
      </c>
      <c r="R2" s="256">
        <f t="shared" si="6"/>
        <v>0.27601066400451812</v>
      </c>
      <c r="S2" s="256">
        <f t="shared" si="6"/>
        <v>0.2703393813539498</v>
      </c>
      <c r="T2" s="256">
        <f t="shared" si="6"/>
        <v>0.26478462842884926</v>
      </c>
      <c r="U2" s="256">
        <f t="shared" si="6"/>
        <v>0.25934401085430098</v>
      </c>
      <c r="V2" s="256">
        <f t="shared" si="6"/>
        <v>0.25401518345340485</v>
      </c>
      <c r="W2" s="256">
        <f t="shared" si="6"/>
        <v>0.24879584923638834</v>
      </c>
      <c r="X2" s="256">
        <f t="shared" si="6"/>
        <v>0.24368375841048948</v>
      </c>
      <c r="Y2" s="256">
        <f t="shared" si="6"/>
        <v>0.23867670741018437</v>
      </c>
      <c r="Z2" s="256">
        <f t="shared" si="6"/>
        <v>0.23377253794734074</v>
      </c>
      <c r="AA2" s="256">
        <f t="shared" si="6"/>
        <v>0.22896913608088829</v>
      </c>
      <c r="AB2" s="256">
        <f t="shared" si="6"/>
        <v>0.224264431305605</v>
      </c>
      <c r="AC2" s="256">
        <f t="shared" si="6"/>
        <v>0.21965639565962636</v>
      </c>
      <c r="AD2" s="256">
        <f t="shared" si="6"/>
        <v>0.21514304285029279</v>
      </c>
      <c r="AE2" s="256">
        <f t="shared" si="6"/>
        <v>0.21072242739795877</v>
      </c>
      <c r="AF2" s="256">
        <f t="shared" si="6"/>
        <v>0.20639264379739422</v>
      </c>
      <c r="AG2" s="256">
        <f t="shared" si="6"/>
        <v>0.20215182569641701</v>
      </c>
      <c r="AH2" s="256">
        <f t="shared" si="6"/>
        <v>0.19799814509140229</v>
      </c>
      <c r="AI2" s="256">
        <f t="shared" si="6"/>
        <v>0.19392981153932184</v>
      </c>
      <c r="AJ2" s="256">
        <f t="shared" si="6"/>
        <v>0.18994507138597422</v>
      </c>
      <c r="AK2" s="256">
        <f>'Cibles THREEME'!AA23</f>
        <v>0.18604220701007254</v>
      </c>
    </row>
    <row r="3" spans="1:37">
      <c r="A3" s="256" t="str">
        <f>'[1]Cibles THREEME'!Z4</f>
        <v>Produits pétroliers</v>
      </c>
      <c r="B3" s="256">
        <f>'Cibles THREEME'!W4</f>
        <v>55.225370516172603</v>
      </c>
      <c r="C3" s="256">
        <f t="shared" ref="C3:F18" si="7">B3*($G3/$B3)^(1/5)</f>
        <v>54.420028983209974</v>
      </c>
      <c r="D3" s="256">
        <f t="shared" si="7"/>
        <v>53.626431599334126</v>
      </c>
      <c r="E3" s="256">
        <f t="shared" si="7"/>
        <v>52.844407101755138</v>
      </c>
      <c r="F3" s="256">
        <f t="shared" si="7"/>
        <v>52.073786725177207</v>
      </c>
      <c r="G3" s="256">
        <f>'Cibles THREEME'!X4</f>
        <v>51.314404165378122</v>
      </c>
      <c r="H3" s="256">
        <f t="shared" ref="H3:W18" si="8">G3*($AK3/$G3)^(1/30)</f>
        <v>49.51071932175558</v>
      </c>
      <c r="I3" s="256">
        <f t="shared" si="8"/>
        <v>47.770433421724569</v>
      </c>
      <c r="J3" s="256">
        <f t="shared" si="8"/>
        <v>46.091318012757618</v>
      </c>
      <c r="K3" s="256">
        <f t="shared" si="8"/>
        <v>44.471222971718667</v>
      </c>
      <c r="L3" s="256">
        <f t="shared" si="8"/>
        <v>42.908073751610083</v>
      </c>
      <c r="M3" s="256">
        <f t="shared" si="8"/>
        <v>41.399868725095629</v>
      </c>
      <c r="N3" s="256">
        <f t="shared" si="8"/>
        <v>39.94467662139779</v>
      </c>
      <c r="O3" s="256">
        <f t="shared" si="8"/>
        <v>38.540634053287263</v>
      </c>
      <c r="P3" s="256">
        <f t="shared" si="8"/>
        <v>37.185943130998062</v>
      </c>
      <c r="Q3" s="256">
        <f t="shared" si="8"/>
        <v>35.878869160012655</v>
      </c>
      <c r="R3" s="256">
        <f t="shared" si="8"/>
        <v>34.617738419769282</v>
      </c>
      <c r="S3" s="256">
        <f t="shared" si="8"/>
        <v>33.400936020446956</v>
      </c>
      <c r="T3" s="256">
        <f t="shared" si="8"/>
        <v>32.226903835083817</v>
      </c>
      <c r="U3" s="256">
        <f t="shared" si="8"/>
        <v>31.094138504380819</v>
      </c>
      <c r="V3" s="256">
        <f t="shared" si="8"/>
        <v>30.001189511635978</v>
      </c>
      <c r="W3" s="256">
        <f t="shared" si="8"/>
        <v>28.94665732534402</v>
      </c>
      <c r="X3" s="256">
        <f t="shared" si="6"/>
        <v>27.929191607083084</v>
      </c>
      <c r="Y3" s="256">
        <f t="shared" si="6"/>
        <v>26.947489482393618</v>
      </c>
      <c r="Z3" s="256">
        <f t="shared" si="6"/>
        <v>26.000293872435336</v>
      </c>
      <c r="AA3" s="256">
        <f t="shared" si="6"/>
        <v>25.086391884285881</v>
      </c>
      <c r="AB3" s="256">
        <f t="shared" si="6"/>
        <v>24.204613257820004</v>
      </c>
      <c r="AC3" s="256">
        <f t="shared" si="6"/>
        <v>23.353828867180408</v>
      </c>
      <c r="AD3" s="256">
        <f t="shared" si="6"/>
        <v>22.532949274921432</v>
      </c>
      <c r="AE3" s="256">
        <f t="shared" si="6"/>
        <v>21.740923336974113</v>
      </c>
      <c r="AF3" s="256">
        <f t="shared" si="6"/>
        <v>20.976736856646287</v>
      </c>
      <c r="AG3" s="256">
        <f t="shared" si="6"/>
        <v>20.239411285934139</v>
      </c>
      <c r="AH3" s="256">
        <f t="shared" si="6"/>
        <v>19.52800247248225</v>
      </c>
      <c r="AI3" s="256">
        <f t="shared" si="6"/>
        <v>18.841599450587584</v>
      </c>
      <c r="AJ3" s="256">
        <f t="shared" si="6"/>
        <v>18.179323274699318</v>
      </c>
      <c r="AK3" s="256">
        <f>'Cibles THREEME'!AA4</f>
        <v>17.540325893920723</v>
      </c>
    </row>
    <row r="4" spans="1:37">
      <c r="A4" s="256" t="str">
        <f>'[1]Cibles THREEME'!Z5</f>
        <v>Biocarburants liquides et gazeux</v>
      </c>
      <c r="B4" s="256">
        <f>'Cibles THREEME'!W5</f>
        <v>2.9481554218018502</v>
      </c>
      <c r="C4" s="256">
        <f t="shared" si="7"/>
        <v>3.0761401443018168</v>
      </c>
      <c r="D4" s="256">
        <f t="shared" si="7"/>
        <v>3.2096809134987323</v>
      </c>
      <c r="E4" s="256">
        <f t="shared" si="7"/>
        <v>3.3490189273597886</v>
      </c>
      <c r="F4" s="256">
        <f t="shared" si="7"/>
        <v>3.4944058546891874</v>
      </c>
      <c r="G4" s="256">
        <f>'Cibles THREEME'!X5</f>
        <v>3.6461042896859799</v>
      </c>
      <c r="H4" s="256">
        <f t="shared" si="8"/>
        <v>3.6446257350699516</v>
      </c>
      <c r="I4" s="256">
        <f t="shared" si="6"/>
        <v>3.6431477800318781</v>
      </c>
      <c r="J4" s="256">
        <f t="shared" si="6"/>
        <v>3.6416704243286206</v>
      </c>
      <c r="K4" s="256">
        <f t="shared" si="6"/>
        <v>3.6401936677171394</v>
      </c>
      <c r="L4" s="256">
        <f t="shared" si="6"/>
        <v>3.6387175099544926</v>
      </c>
      <c r="M4" s="256">
        <f t="shared" si="6"/>
        <v>3.6372419507978373</v>
      </c>
      <c r="N4" s="256">
        <f t="shared" si="6"/>
        <v>3.6357669900044294</v>
      </c>
      <c r="O4" s="256">
        <f t="shared" si="6"/>
        <v>3.6342926273316225</v>
      </c>
      <c r="P4" s="256">
        <f t="shared" si="6"/>
        <v>3.6328188625368689</v>
      </c>
      <c r="Q4" s="256">
        <f t="shared" si="6"/>
        <v>3.6313456953777199</v>
      </c>
      <c r="R4" s="256">
        <f t="shared" si="6"/>
        <v>3.629873125611824</v>
      </c>
      <c r="S4" s="256">
        <f t="shared" si="6"/>
        <v>3.6284011529969287</v>
      </c>
      <c r="T4" s="256">
        <f t="shared" si="6"/>
        <v>3.6269297772908793</v>
      </c>
      <c r="U4" s="256">
        <f t="shared" si="6"/>
        <v>3.6254589982516201</v>
      </c>
      <c r="V4" s="256">
        <f t="shared" si="6"/>
        <v>3.6239888156371927</v>
      </c>
      <c r="W4" s="256">
        <f t="shared" si="6"/>
        <v>3.6225192292057371</v>
      </c>
      <c r="X4" s="256">
        <f t="shared" si="6"/>
        <v>3.6210502387154913</v>
      </c>
      <c r="Y4" s="256">
        <f t="shared" si="6"/>
        <v>3.6195818439247915</v>
      </c>
      <c r="Z4" s="256">
        <f t="shared" si="6"/>
        <v>3.6181140445920721</v>
      </c>
      <c r="AA4" s="256">
        <f t="shared" si="6"/>
        <v>3.6166468404758647</v>
      </c>
      <c r="AB4" s="256">
        <f t="shared" si="6"/>
        <v>3.6151802313347998</v>
      </c>
      <c r="AC4" s="256">
        <f t="shared" si="6"/>
        <v>3.6137142169276051</v>
      </c>
      <c r="AD4" s="256">
        <f t="shared" si="6"/>
        <v>3.6122487970131063</v>
      </c>
      <c r="AE4" s="256">
        <f t="shared" si="6"/>
        <v>3.610783971350227</v>
      </c>
      <c r="AF4" s="256">
        <f t="shared" si="6"/>
        <v>3.6093197396979884</v>
      </c>
      <c r="AG4" s="256">
        <f t="shared" si="6"/>
        <v>3.6078561018155098</v>
      </c>
      <c r="AH4" s="256">
        <f t="shared" si="6"/>
        <v>3.6063930574620078</v>
      </c>
      <c r="AI4" s="256">
        <f t="shared" si="6"/>
        <v>3.6049306063967967</v>
      </c>
      <c r="AJ4" s="256">
        <f t="shared" si="6"/>
        <v>3.6034687483792882</v>
      </c>
      <c r="AK4" s="256">
        <f>'Cibles THREEME'!AA5</f>
        <v>3.6020074831689883</v>
      </c>
    </row>
    <row r="5" spans="1:37">
      <c r="A5" s="256" t="str">
        <f>'[1]Cibles THREEME'!Z8</f>
        <v>Centrale nucléaire</v>
      </c>
      <c r="B5" s="256">
        <f>'Cibles THREEME'!W8</f>
        <v>30.28250283717669</v>
      </c>
      <c r="C5" s="256">
        <f t="shared" si="7"/>
        <v>29.762542953774208</v>
      </c>
      <c r="D5" s="256">
        <f t="shared" si="7"/>
        <v>29.251510941419955</v>
      </c>
      <c r="E5" s="256">
        <f t="shared" si="7"/>
        <v>28.749253505823354</v>
      </c>
      <c r="F5" s="256">
        <f t="shared" si="7"/>
        <v>28.255619984803928</v>
      </c>
      <c r="G5" s="256">
        <f>'Cibles THREEME'!X8</f>
        <v>27.770462303097148</v>
      </c>
      <c r="H5" s="256">
        <f t="shared" si="8"/>
        <v>27.517921578674493</v>
      </c>
      <c r="I5" s="256">
        <f t="shared" si="6"/>
        <v>27.267677424499599</v>
      </c>
      <c r="J5" s="256">
        <f t="shared" si="6"/>
        <v>27.019708955881832</v>
      </c>
      <c r="K5" s="256">
        <f t="shared" si="6"/>
        <v>26.773995478053028</v>
      </c>
      <c r="L5" s="256">
        <f t="shared" si="6"/>
        <v>26.530516484440366</v>
      </c>
      <c r="M5" s="256">
        <f t="shared" si="6"/>
        <v>26.289251654954956</v>
      </c>
      <c r="N5" s="256">
        <f t="shared" si="6"/>
        <v>26.050180854295963</v>
      </c>
      <c r="O5" s="256">
        <f t="shared" si="6"/>
        <v>25.813284130270183</v>
      </c>
      <c r="P5" s="256">
        <f t="shared" si="6"/>
        <v>25.578541712126889</v>
      </c>
      <c r="Q5" s="256">
        <f t="shared" si="6"/>
        <v>25.345934008907804</v>
      </c>
      <c r="R5" s="256">
        <f t="shared" si="6"/>
        <v>25.115441607812109</v>
      </c>
      <c r="S5" s="256">
        <f t="shared" si="6"/>
        <v>24.887045272576291</v>
      </c>
      <c r="T5" s="256">
        <f t="shared" si="6"/>
        <v>24.660725941868755</v>
      </c>
      <c r="U5" s="256">
        <f t="shared" si="6"/>
        <v>24.436464727698993</v>
      </c>
      <c r="V5" s="256">
        <f t="shared" si="6"/>
        <v>24.214242913841272</v>
      </c>
      <c r="W5" s="256">
        <f t="shared" si="6"/>
        <v>23.9940419542726</v>
      </c>
      <c r="X5" s="256">
        <f t="shared" si="6"/>
        <v>23.775843471624949</v>
      </c>
      <c r="Y5" s="256">
        <f t="shared" si="6"/>
        <v>23.559629255651519</v>
      </c>
      <c r="Z5" s="256">
        <f t="shared" si="6"/>
        <v>23.345381261706965</v>
      </c>
      <c r="AA5" s="256">
        <f t="shared" si="6"/>
        <v>23.133081609241437</v>
      </c>
      <c r="AB5" s="256">
        <f t="shared" si="6"/>
        <v>22.922712580308321</v>
      </c>
      <c r="AC5" s="256">
        <f t="shared" si="6"/>
        <v>22.714256618085546</v>
      </c>
      <c r="AD5" s="256">
        <f t="shared" si="6"/>
        <v>22.507696325410343</v>
      </c>
      <c r="AE5" s="256">
        <f t="shared" si="6"/>
        <v>22.303014463327322</v>
      </c>
      <c r="AF5" s="256">
        <f t="shared" si="6"/>
        <v>22.100193949649757</v>
      </c>
      <c r="AG5" s="256">
        <f t="shared" si="6"/>
        <v>21.899217857533952</v>
      </c>
      <c r="AH5" s="256">
        <f t="shared" si="6"/>
        <v>21.700069414066579</v>
      </c>
      <c r="AI5" s="256">
        <f t="shared" si="6"/>
        <v>21.502731998864849</v>
      </c>
      <c r="AJ5" s="256">
        <f t="shared" si="6"/>
        <v>21.307189142689428</v>
      </c>
      <c r="AK5" s="256">
        <f>'Cibles THREEME'!AA8</f>
        <v>21.11342452606997</v>
      </c>
    </row>
    <row r="6" spans="1:37">
      <c r="A6" s="256" t="str">
        <f>'[1]Cibles THREEME'!Z9</f>
        <v>Centrale au fioul</v>
      </c>
      <c r="B6" s="256">
        <f>'Cibles THREEME'!W9</f>
        <v>0.16048734404512444</v>
      </c>
      <c r="C6" s="256">
        <f t="shared" si="7"/>
        <v>0.14599992472489351</v>
      </c>
      <c r="D6" s="256">
        <f t="shared" si="7"/>
        <v>0.13282030521784402</v>
      </c>
      <c r="E6" s="256">
        <f t="shared" si="7"/>
        <v>0.12083042858688099</v>
      </c>
      <c r="F6" s="256">
        <f t="shared" si="7"/>
        <v>0.10992289506143885</v>
      </c>
      <c r="G6" s="256">
        <f>'Cibles THREEME'!X9</f>
        <v>0.1</v>
      </c>
      <c r="H6" s="256">
        <f t="shared" si="8"/>
        <v>0.1</v>
      </c>
      <c r="I6" s="256">
        <f t="shared" si="6"/>
        <v>0.1</v>
      </c>
      <c r="J6" s="256">
        <f t="shared" si="6"/>
        <v>0.1</v>
      </c>
      <c r="K6" s="256">
        <f t="shared" si="6"/>
        <v>0.1</v>
      </c>
      <c r="L6" s="256">
        <f t="shared" si="6"/>
        <v>0.1</v>
      </c>
      <c r="M6" s="256">
        <f t="shared" si="6"/>
        <v>0.1</v>
      </c>
      <c r="N6" s="256">
        <f t="shared" si="6"/>
        <v>0.1</v>
      </c>
      <c r="O6" s="256">
        <f t="shared" si="6"/>
        <v>0.1</v>
      </c>
      <c r="P6" s="256">
        <f t="shared" si="6"/>
        <v>0.1</v>
      </c>
      <c r="Q6" s="256">
        <f t="shared" si="6"/>
        <v>0.1</v>
      </c>
      <c r="R6" s="256">
        <f t="shared" si="6"/>
        <v>0.1</v>
      </c>
      <c r="S6" s="256">
        <f t="shared" si="6"/>
        <v>0.1</v>
      </c>
      <c r="T6" s="256">
        <f t="shared" si="6"/>
        <v>0.1</v>
      </c>
      <c r="U6" s="256">
        <f t="shared" si="6"/>
        <v>0.1</v>
      </c>
      <c r="V6" s="256">
        <f t="shared" si="6"/>
        <v>0.1</v>
      </c>
      <c r="W6" s="256">
        <f t="shared" si="6"/>
        <v>0.1</v>
      </c>
      <c r="X6" s="256">
        <f t="shared" si="6"/>
        <v>0.1</v>
      </c>
      <c r="Y6" s="256">
        <f t="shared" si="6"/>
        <v>0.1</v>
      </c>
      <c r="Z6" s="256">
        <f t="shared" si="6"/>
        <v>0.1</v>
      </c>
      <c r="AA6" s="256">
        <f t="shared" si="6"/>
        <v>0.1</v>
      </c>
      <c r="AB6" s="256">
        <f t="shared" si="6"/>
        <v>0.1</v>
      </c>
      <c r="AC6" s="256">
        <f t="shared" si="6"/>
        <v>0.1</v>
      </c>
      <c r="AD6" s="256">
        <f t="shared" si="6"/>
        <v>0.1</v>
      </c>
      <c r="AE6" s="256">
        <f t="shared" si="6"/>
        <v>0.1</v>
      </c>
      <c r="AF6" s="256">
        <f t="shared" si="6"/>
        <v>0.1</v>
      </c>
      <c r="AG6" s="256">
        <f t="shared" si="6"/>
        <v>0.1</v>
      </c>
      <c r="AH6" s="256">
        <f t="shared" si="6"/>
        <v>0.1</v>
      </c>
      <c r="AI6" s="256">
        <f t="shared" si="6"/>
        <v>0.1</v>
      </c>
      <c r="AJ6" s="256">
        <f t="shared" si="6"/>
        <v>0.1</v>
      </c>
      <c r="AK6" s="256">
        <f>'Cibles THREEME'!AA9</f>
        <v>0.1</v>
      </c>
    </row>
    <row r="7" spans="1:37">
      <c r="A7" s="256" t="str">
        <f>'[1]Cibles THREEME'!Z10</f>
        <v>Centrale au gaz naturel</v>
      </c>
      <c r="B7" s="256">
        <f>'Cibles THREEME'!W10</f>
        <v>1.0779937364293994</v>
      </c>
      <c r="C7" s="256">
        <f t="shared" si="7"/>
        <v>1.1819106200889611</v>
      </c>
      <c r="D7" s="256">
        <f t="shared" si="7"/>
        <v>1.2958449262479179</v>
      </c>
      <c r="E7" s="256">
        <f t="shared" si="7"/>
        <v>1.4207623185212424</v>
      </c>
      <c r="F7" s="256">
        <f t="shared" si="7"/>
        <v>1.5577215489623093</v>
      </c>
      <c r="G7" s="256">
        <f>'Cibles THREEME'!X10</f>
        <v>1.7078834316404745</v>
      </c>
      <c r="H7" s="256">
        <f t="shared" si="8"/>
        <v>1.7393988359342565</v>
      </c>
      <c r="I7" s="256">
        <f t="shared" si="6"/>
        <v>1.7714957908710156</v>
      </c>
      <c r="J7" s="256">
        <f t="shared" si="6"/>
        <v>1.8041850277473328</v>
      </c>
      <c r="K7" s="256">
        <f t="shared" si="6"/>
        <v>1.8374774758833452</v>
      </c>
      <c r="L7" s="256">
        <f t="shared" si="6"/>
        <v>1.8713842662768549</v>
      </c>
      <c r="M7" s="256">
        <f t="shared" si="6"/>
        <v>1.9059167353248672</v>
      </c>
      <c r="N7" s="256">
        <f t="shared" si="6"/>
        <v>1.9410864286138017</v>
      </c>
      <c r="O7" s="256">
        <f t="shared" si="6"/>
        <v>1.9769051047796438</v>
      </c>
      <c r="P7" s="256">
        <f t="shared" si="6"/>
        <v>2.0133847394393278</v>
      </c>
      <c r="Q7" s="256">
        <f t="shared" si="6"/>
        <v>2.0505375291946644</v>
      </c>
      <c r="R7" s="256">
        <f t="shared" si="6"/>
        <v>2.0883758957101528</v>
      </c>
      <c r="S7" s="256">
        <f t="shared" si="6"/>
        <v>2.126912489866041</v>
      </c>
      <c r="T7" s="256">
        <f t="shared" si="6"/>
        <v>2.1661601959880201</v>
      </c>
      <c r="U7" s="256">
        <f t="shared" si="6"/>
        <v>2.2061321361549715</v>
      </c>
      <c r="V7" s="256">
        <f t="shared" si="6"/>
        <v>2.2468416745862014</v>
      </c>
      <c r="W7" s="256">
        <f t="shared" si="6"/>
        <v>2.2883024221096355</v>
      </c>
      <c r="X7" s="256">
        <f t="shared" si="6"/>
        <v>2.3305282407124635</v>
      </c>
      <c r="Y7" s="256">
        <f t="shared" si="6"/>
        <v>2.3735332481757543</v>
      </c>
      <c r="Z7" s="256">
        <f t="shared" si="6"/>
        <v>2.4173318227945981</v>
      </c>
      <c r="AA7" s="256">
        <f t="shared" si="6"/>
        <v>2.4619386081853438</v>
      </c>
      <c r="AB7" s="256">
        <f t="shared" si="6"/>
        <v>2.5073685181815462</v>
      </c>
      <c r="AC7" s="256">
        <f t="shared" si="6"/>
        <v>2.5536367418202581</v>
      </c>
      <c r="AD7" s="256">
        <f t="shared" si="6"/>
        <v>2.6007587484203332</v>
      </c>
      <c r="AE7" s="256">
        <f t="shared" si="6"/>
        <v>2.6487502927544382</v>
      </c>
      <c r="AF7" s="256">
        <f t="shared" si="6"/>
        <v>2.6976274203165036</v>
      </c>
      <c r="AG7" s="256">
        <f t="shared" si="6"/>
        <v>2.7474064726863747</v>
      </c>
      <c r="AH7" s="256">
        <f t="shared" si="6"/>
        <v>2.7981040929934564</v>
      </c>
      <c r="AI7" s="256">
        <f t="shared" si="6"/>
        <v>2.8497372314811762</v>
      </c>
      <c r="AJ7" s="256">
        <f t="shared" si="6"/>
        <v>2.9023231511741301</v>
      </c>
      <c r="AK7" s="256">
        <f>'Cibles THREEME'!AA10</f>
        <v>2.955879433649796</v>
      </c>
    </row>
    <row r="8" spans="1:37">
      <c r="A8" s="256" t="str">
        <f>'[1]Cibles THREEME'!Z11</f>
        <v>Centrale au charbon</v>
      </c>
      <c r="B8" s="256">
        <f>'Cibles THREEME'!W11</f>
        <v>0.84312582943921199</v>
      </c>
      <c r="C8" s="256">
        <f t="shared" si="7"/>
        <v>0.76565089011160614</v>
      </c>
      <c r="D8" s="256">
        <f t="shared" si="7"/>
        <v>0.69529513277823307</v>
      </c>
      <c r="E8" s="256">
        <f t="shared" si="7"/>
        <v>0.63140437490333501</v>
      </c>
      <c r="F8" s="256">
        <f t="shared" si="7"/>
        <v>0.57338454686727824</v>
      </c>
      <c r="G8" s="256">
        <f>'Cibles THREEME'!X11</f>
        <v>0.52069616818307152</v>
      </c>
      <c r="H8" s="256">
        <f t="shared" si="8"/>
        <v>0.49283124702914832</v>
      </c>
      <c r="I8" s="256">
        <f t="shared" si="6"/>
        <v>0.4664575099444756</v>
      </c>
      <c r="J8" s="256">
        <f t="shared" si="6"/>
        <v>0.44149515659816047</v>
      </c>
      <c r="K8" s="256">
        <f t="shared" si="6"/>
        <v>0.41786865715343752</v>
      </c>
      <c r="L8" s="256">
        <f t="shared" si="6"/>
        <v>0.39550652373327677</v>
      </c>
      <c r="M8" s="256">
        <f t="shared" si="6"/>
        <v>0.37434109411595101</v>
      </c>
      <c r="N8" s="256">
        <f t="shared" si="6"/>
        <v>0.35430832700607884</v>
      </c>
      <c r="O8" s="256">
        <f t="shared" si="6"/>
        <v>0.33534760826168497</v>
      </c>
      <c r="P8" s="256">
        <f t="shared" si="6"/>
        <v>0.31740156749096976</v>
      </c>
      <c r="Q8" s="256">
        <f t="shared" si="6"/>
        <v>0.30041590446385508</v>
      </c>
      <c r="R8" s="256">
        <f t="shared" si="6"/>
        <v>0.28433922481307133</v>
      </c>
      <c r="S8" s="256">
        <f t="shared" si="6"/>
        <v>0.26912288452765909</v>
      </c>
      <c r="T8" s="256">
        <f t="shared" si="6"/>
        <v>0.25472084276836005</v>
      </c>
      <c r="U8" s="256">
        <f t="shared" si="6"/>
        <v>0.24108952255955507</v>
      </c>
      <c r="V8" s="256">
        <f t="shared" si="6"/>
        <v>0.22818767893623687</v>
      </c>
      <c r="W8" s="256">
        <f t="shared" si="6"/>
        <v>0.2159762741470635</v>
      </c>
      <c r="X8" s="256">
        <f t="shared" si="6"/>
        <v>0.20441835953588838</v>
      </c>
      <c r="Y8" s="256">
        <f t="shared" si="6"/>
        <v>0.1934789637443696</v>
      </c>
      <c r="Z8" s="256">
        <f t="shared" si="6"/>
        <v>0.18312498689738788</v>
      </c>
      <c r="AA8" s="256">
        <f t="shared" si="6"/>
        <v>0.17332510045110458</v>
      </c>
      <c r="AB8" s="256">
        <f t="shared" si="6"/>
        <v>0.16404965240062502</v>
      </c>
      <c r="AC8" s="256">
        <f t="shared" si="6"/>
        <v>0.15527057756044929</v>
      </c>
      <c r="AD8" s="256">
        <f t="shared" si="6"/>
        <v>0.14696131264624152</v>
      </c>
      <c r="AE8" s="256">
        <f t="shared" si="6"/>
        <v>0.13909671590097644</v>
      </c>
      <c r="AF8" s="256">
        <f t="shared" si="6"/>
        <v>0.13165299102227207</v>
      </c>
      <c r="AG8" s="256">
        <f t="shared" si="6"/>
        <v>0.12460761516073134</v>
      </c>
      <c r="AH8" s="256">
        <f t="shared" si="6"/>
        <v>0.11793927077143405</v>
      </c>
      <c r="AI8" s="256">
        <f t="shared" si="6"/>
        <v>0.1116277811123787</v>
      </c>
      <c r="AJ8" s="256">
        <f t="shared" si="6"/>
        <v>0.10565404919470842</v>
      </c>
      <c r="AK8" s="256">
        <f>'Cibles THREEME'!AA11</f>
        <v>0.1</v>
      </c>
    </row>
    <row r="9" spans="1:37">
      <c r="A9" s="256" t="str">
        <f>'[1]Cibles THREEME'!Z12</f>
        <v xml:space="preserve">Eolien </v>
      </c>
      <c r="B9" s="256">
        <f>'Cibles THREEME'!W12</f>
        <v>1.3972125814710372</v>
      </c>
      <c r="C9" s="256">
        <f t="shared" si="7"/>
        <v>1.5948782491509397</v>
      </c>
      <c r="D9" s="256">
        <f t="shared" si="7"/>
        <v>1.8205079623150344</v>
      </c>
      <c r="E9" s="256">
        <f t="shared" si="7"/>
        <v>2.0780578345819407</v>
      </c>
      <c r="F9" s="256">
        <f t="shared" si="7"/>
        <v>2.3720436566374703</v>
      </c>
      <c r="G9" s="256">
        <f>'Cibles THREEME'!X12</f>
        <v>2.7076200745519721</v>
      </c>
      <c r="H9" s="256">
        <f t="shared" si="8"/>
        <v>2.8462103716886702</v>
      </c>
      <c r="I9" s="256">
        <f t="shared" si="6"/>
        <v>2.9918944522704538</v>
      </c>
      <c r="J9" s="256">
        <f t="shared" si="6"/>
        <v>3.145035413603595</v>
      </c>
      <c r="K9" s="256">
        <f t="shared" si="6"/>
        <v>3.3060149382323902</v>
      </c>
      <c r="L9" s="256">
        <f t="shared" si="6"/>
        <v>3.4752342452298111</v>
      </c>
      <c r="M9" s="256">
        <f t="shared" si="6"/>
        <v>3.6531150901802327</v>
      </c>
      <c r="N9" s="256">
        <f t="shared" si="6"/>
        <v>3.8401008163465629</v>
      </c>
      <c r="O9" s="256">
        <f t="shared" si="6"/>
        <v>4.0366574596416562</v>
      </c>
      <c r="P9" s="256">
        <f t="shared" si="6"/>
        <v>4.2432749101580018</v>
      </c>
      <c r="Q9" s="256">
        <f t="shared" si="6"/>
        <v>4.4604681331506342</v>
      </c>
      <c r="R9" s="256">
        <f t="shared" si="6"/>
        <v>4.6887784525163996</v>
      </c>
      <c r="S9" s="256">
        <f t="shared" si="6"/>
        <v>4.9287748999684746</v>
      </c>
      <c r="T9" s="256">
        <f t="shared" si="6"/>
        <v>5.1810556332687545</v>
      </c>
      <c r="U9" s="256">
        <f t="shared" si="6"/>
        <v>5.4462494270528747</v>
      </c>
      <c r="V9" s="256">
        <f t="shared" si="6"/>
        <v>5.7250172399635266</v>
      </c>
      <c r="W9" s="256">
        <f t="shared" si="6"/>
        <v>6.0180538619979353</v>
      </c>
      <c r="X9" s="256">
        <f t="shared" si="6"/>
        <v>6.3260896461752836</v>
      </c>
      <c r="Y9" s="256">
        <f t="shared" si="6"/>
        <v>6.6498923288400196</v>
      </c>
      <c r="Z9" s="256">
        <f t="shared" si="6"/>
        <v>6.9902689431379041</v>
      </c>
      <c r="AA9" s="256">
        <f t="shared" si="6"/>
        <v>7.3480678304338696</v>
      </c>
      <c r="AB9" s="256">
        <f t="shared" si="6"/>
        <v>7.7241807546848653</v>
      </c>
      <c r="AC9" s="256">
        <f t="shared" si="6"/>
        <v>8.1195451250374795</v>
      </c>
      <c r="AD9" s="256">
        <f t="shared" si="6"/>
        <v>8.5351463321898429</v>
      </c>
      <c r="AE9" s="256">
        <f t="shared" si="6"/>
        <v>8.9720202043408754</v>
      </c>
      <c r="AF9" s="256">
        <f t="shared" si="6"/>
        <v>9.431255588847991</v>
      </c>
      <c r="AG9" s="256">
        <f t="shared" si="6"/>
        <v>9.9139970660276759</v>
      </c>
      <c r="AH9" s="256">
        <f t="shared" si="6"/>
        <v>10.421447801862717</v>
      </c>
      <c r="AI9" s="256">
        <f t="shared" si="6"/>
        <v>10.954872546726056</v>
      </c>
      <c r="AJ9" s="256">
        <f t="shared" si="6"/>
        <v>11.515600787595169</v>
      </c>
      <c r="AK9" s="256">
        <f>'Cibles THREEME'!AA12</f>
        <v>12.10503006161345</v>
      </c>
    </row>
    <row r="10" spans="1:37">
      <c r="A10" s="256" t="str">
        <f>'[1]Cibles THREEME'!Z13</f>
        <v>Photovoltaïque</v>
      </c>
      <c r="B10" s="256">
        <f>'Cibles THREEME'!W13</f>
        <v>0.49001768260121925</v>
      </c>
      <c r="C10" s="256">
        <f t="shared" si="7"/>
        <v>0.57716238832775391</v>
      </c>
      <c r="D10" s="256">
        <f t="shared" si="7"/>
        <v>0.67980490159431683</v>
      </c>
      <c r="E10" s="256">
        <f t="shared" si="7"/>
        <v>0.8007013512620399</v>
      </c>
      <c r="F10" s="256">
        <f t="shared" si="7"/>
        <v>0.94309801592965803</v>
      </c>
      <c r="G10" s="256">
        <f>'Cibles THREEME'!X13</f>
        <v>1.1108184921238859</v>
      </c>
      <c r="H10" s="256">
        <f t="shared" si="8"/>
        <v>1.170051435847</v>
      </c>
      <c r="I10" s="256">
        <f t="shared" si="6"/>
        <v>1.2324428988484502</v>
      </c>
      <c r="J10" s="256">
        <f t="shared" si="6"/>
        <v>1.298161305039063</v>
      </c>
      <c r="K10" s="256">
        <f t="shared" si="6"/>
        <v>1.3673840593144999</v>
      </c>
      <c r="L10" s="256">
        <f t="shared" si="6"/>
        <v>1.44029802645453</v>
      </c>
      <c r="M10" s="256">
        <f t="shared" si="6"/>
        <v>1.5171000355589828</v>
      </c>
      <c r="N10" s="256">
        <f t="shared" si="6"/>
        <v>1.5979974113820865</v>
      </c>
      <c r="O10" s="256">
        <f t="shared" si="6"/>
        <v>1.6832085339995162</v>
      </c>
      <c r="P10" s="256">
        <f t="shared" si="6"/>
        <v>1.7729634283189557</v>
      </c>
      <c r="Q10" s="256">
        <f t="shared" si="6"/>
        <v>1.8675043850255384</v>
      </c>
      <c r="R10" s="256">
        <f t="shared" si="6"/>
        <v>1.9670866146383934</v>
      </c>
      <c r="S10" s="256">
        <f t="shared" si="6"/>
        <v>2.0719789364439003</v>
      </c>
      <c r="T10" s="256">
        <f t="shared" si="6"/>
        <v>2.1824645041654103</v>
      </c>
      <c r="U10" s="256">
        <f t="shared" si="6"/>
        <v>2.2988415703283547</v>
      </c>
      <c r="V10" s="256">
        <f t="shared" si="6"/>
        <v>2.4214242913841257</v>
      </c>
      <c r="W10" s="256">
        <f t="shared" si="6"/>
        <v>2.5505435757661332</v>
      </c>
      <c r="X10" s="256">
        <f t="shared" si="6"/>
        <v>2.6865479771673444</v>
      </c>
      <c r="Y10" s="256">
        <f t="shared" si="6"/>
        <v>2.8298046354506776</v>
      </c>
      <c r="Z10" s="256">
        <f t="shared" si="6"/>
        <v>2.9807002677322143</v>
      </c>
      <c r="AA10" s="256">
        <f t="shared" si="6"/>
        <v>3.1396422123126277</v>
      </c>
      <c r="AB10" s="256">
        <f t="shared" si="6"/>
        <v>3.3070595282748885</v>
      </c>
      <c r="AC10" s="256">
        <f t="shared" si="6"/>
        <v>3.4834041537165827</v>
      </c>
      <c r="AD10" s="256">
        <f t="shared" si="6"/>
        <v>3.6691521257434512</v>
      </c>
      <c r="AE10" s="256">
        <f t="shared" si="6"/>
        <v>3.8648048655174909</v>
      </c>
      <c r="AF10" s="256">
        <f t="shared" si="6"/>
        <v>4.0708905318285655</v>
      </c>
      <c r="AG10" s="256">
        <f t="shared" si="6"/>
        <v>4.2879654468434536</v>
      </c>
      <c r="AH10" s="256">
        <f t="shared" si="6"/>
        <v>4.5166155978810982</v>
      </c>
      <c r="AI10" s="256">
        <f t="shared" si="6"/>
        <v>4.7574582192680612</v>
      </c>
      <c r="AJ10" s="256">
        <f t="shared" si="6"/>
        <v>5.0111434585443471</v>
      </c>
      <c r="AK10" s="256">
        <f>'Cibles THREEME'!AA13</f>
        <v>5.2783561315174925</v>
      </c>
    </row>
    <row r="11" spans="1:37">
      <c r="A11" s="256" t="str">
        <f>'[1]Cibles THREEME'!Z14</f>
        <v>Hydroélectricité et énergies marine</v>
      </c>
      <c r="B11" s="256">
        <f>'Cibles THREEME'!W14</f>
        <v>3.4983289421381669</v>
      </c>
      <c r="C11" s="256">
        <f t="shared" si="7"/>
        <v>3.6346207790736269</v>
      </c>
      <c r="D11" s="256">
        <f t="shared" si="7"/>
        <v>3.776222426813753</v>
      </c>
      <c r="E11" s="256">
        <f t="shared" si="7"/>
        <v>3.9233407509450346</v>
      </c>
      <c r="F11" s="256">
        <f t="shared" si="7"/>
        <v>4.0761906763563447</v>
      </c>
      <c r="G11" s="256">
        <f>'Cibles THREEME'!X14</f>
        <v>4.2349955012223148</v>
      </c>
      <c r="H11" s="256">
        <f t="shared" si="8"/>
        <v>4.2735947658359166</v>
      </c>
      <c r="I11" s="256">
        <f t="shared" si="6"/>
        <v>4.3125458379610686</v>
      </c>
      <c r="J11" s="256">
        <f t="shared" si="6"/>
        <v>4.3518519240973355</v>
      </c>
      <c r="K11" s="256">
        <f t="shared" si="6"/>
        <v>4.3915162599694666</v>
      </c>
      <c r="L11" s="256">
        <f t="shared" si="6"/>
        <v>4.4315421107937638</v>
      </c>
      <c r="M11" s="256">
        <f t="shared" si="6"/>
        <v>4.4719327715468813</v>
      </c>
      <c r="N11" s="256">
        <f t="shared" si="6"/>
        <v>4.5126915672370664</v>
      </c>
      <c r="O11" s="256">
        <f t="shared" si="6"/>
        <v>4.5538218531778849</v>
      </c>
      <c r="P11" s="256">
        <f t="shared" si="6"/>
        <v>4.5953270152644281</v>
      </c>
      <c r="Q11" s="256">
        <f t="shared" si="6"/>
        <v>4.6372104702520494</v>
      </c>
      <c r="R11" s="256">
        <f t="shared" si="6"/>
        <v>4.6794756660376322</v>
      </c>
      <c r="S11" s="256">
        <f t="shared" si="6"/>
        <v>4.7221260819434256</v>
      </c>
      <c r="T11" s="256">
        <f t="shared" si="6"/>
        <v>4.7651652290034683</v>
      </c>
      <c r="U11" s="256">
        <f t="shared" si="6"/>
        <v>4.8085966502526176</v>
      </c>
      <c r="V11" s="256">
        <f t="shared" si="6"/>
        <v>4.8524239210182207</v>
      </c>
      <c r="W11" s="256">
        <f t="shared" si="6"/>
        <v>4.8966506492144362</v>
      </c>
      <c r="X11" s="256">
        <f t="shared" si="6"/>
        <v>4.9412804756392434</v>
      </c>
      <c r="Y11" s="256">
        <f t="shared" si="6"/>
        <v>4.9863170742741589</v>
      </c>
      <c r="Z11" s="256">
        <f t="shared" si="6"/>
        <v>5.031764152586681</v>
      </c>
      <c r="AA11" s="256">
        <f t="shared" ref="I11:AJ18" si="9">Z11*($AK11/$G11)^(1/30)</f>
        <v>5.0776254518354929</v>
      </c>
      <c r="AB11" s="256">
        <f t="shared" si="9"/>
        <v>5.1239047473784494</v>
      </c>
      <c r="AC11" s="256">
        <f t="shared" si="9"/>
        <v>5.1706058489833664</v>
      </c>
      <c r="AD11" s="256">
        <f t="shared" si="9"/>
        <v>5.2177326011416492</v>
      </c>
      <c r="AE11" s="256">
        <f t="shared" si="9"/>
        <v>5.2652888833847715</v>
      </c>
      <c r="AF11" s="256">
        <f t="shared" si="9"/>
        <v>5.3132786106036471</v>
      </c>
      <c r="AG11" s="256">
        <f t="shared" si="9"/>
        <v>5.3617057333709059</v>
      </c>
      <c r="AH11" s="256">
        <f t="shared" si="9"/>
        <v>5.4105742382661095</v>
      </c>
      <c r="AI11" s="256">
        <f t="shared" si="9"/>
        <v>5.4598881482039339</v>
      </c>
      <c r="AJ11" s="256">
        <f t="shared" si="9"/>
        <v>5.5096515227653393</v>
      </c>
      <c r="AK11" s="256">
        <f>'Cibles THREEME'!AA14</f>
        <v>5.5598684585317599</v>
      </c>
    </row>
    <row r="12" spans="1:37">
      <c r="A12" s="256" t="str">
        <f>'[1]Cibles THREEME'!Z15</f>
        <v>Autres (méthanisation, UIOM, bois, géothermie, énergie fatale, PAC aérothermique)</v>
      </c>
      <c r="B12" s="256">
        <f>'Cibles THREEME'!W15</f>
        <v>0.33284532024539132</v>
      </c>
      <c r="C12" s="256">
        <f t="shared" si="7"/>
        <v>0.38556587383793811</v>
      </c>
      <c r="D12" s="256">
        <f t="shared" si="7"/>
        <v>0.44663702334409255</v>
      </c>
      <c r="E12" s="256">
        <f t="shared" si="7"/>
        <v>0.51738144933832841</v>
      </c>
      <c r="F12" s="256">
        <f t="shared" si="7"/>
        <v>0.59933133647365322</v>
      </c>
      <c r="G12" s="256">
        <f>'Cibles THREEME'!X15</f>
        <v>0.69426155757742869</v>
      </c>
      <c r="H12" s="256">
        <f t="shared" si="8"/>
        <v>0.71038402228264796</v>
      </c>
      <c r="I12" s="256">
        <f t="shared" si="9"/>
        <v>0.72688089035981551</v>
      </c>
      <c r="J12" s="256">
        <f t="shared" si="9"/>
        <v>0.74376085637812339</v>
      </c>
      <c r="K12" s="256">
        <f t="shared" si="9"/>
        <v>0.76103281681609225</v>
      </c>
      <c r="L12" s="256">
        <f t="shared" si="9"/>
        <v>0.77870587475040354</v>
      </c>
      <c r="M12" s="256">
        <f t="shared" si="9"/>
        <v>0.79678934465361806</v>
      </c>
      <c r="N12" s="256">
        <f t="shared" si="9"/>
        <v>0.81529275730330963</v>
      </c>
      <c r="O12" s="256">
        <f t="shared" si="9"/>
        <v>0.83422586480520033</v>
      </c>
      <c r="P12" s="256">
        <f t="shared" si="9"/>
        <v>0.85359864573294586</v>
      </c>
      <c r="Q12" s="256">
        <f t="shared" si="9"/>
        <v>0.87342131038727899</v>
      </c>
      <c r="R12" s="256">
        <f t="shared" si="9"/>
        <v>0.89370430617728391</v>
      </c>
      <c r="S12" s="256">
        <f t="shared" si="9"/>
        <v>0.91445832312663633</v>
      </c>
      <c r="T12" s="256">
        <f t="shared" si="9"/>
        <v>0.93569429950771221</v>
      </c>
      <c r="U12" s="256">
        <f t="shared" si="9"/>
        <v>0.95742342760653465</v>
      </c>
      <c r="V12" s="256">
        <f t="shared" si="9"/>
        <v>0.97965715962159716</v>
      </c>
      <c r="W12" s="256">
        <f t="shared" si="9"/>
        <v>1.0024072136996713</v>
      </c>
      <c r="X12" s="256">
        <f t="shared" si="9"/>
        <v>1.0256855801117821</v>
      </c>
      <c r="Y12" s="256">
        <f t="shared" si="9"/>
        <v>1.0495045275726032</v>
      </c>
      <c r="Z12" s="256">
        <f t="shared" si="9"/>
        <v>1.073876609706605</v>
      </c>
      <c r="AA12" s="256">
        <f t="shared" si="9"/>
        <v>1.0988146716643628</v>
      </c>
      <c r="AB12" s="256">
        <f t="shared" si="9"/>
        <v>1.1243318568925107</v>
      </c>
      <c r="AC12" s="256">
        <f t="shared" si="9"/>
        <v>1.1504416140609126</v>
      </c>
      <c r="AD12" s="256">
        <f t="shared" si="9"/>
        <v>1.1771577041506969</v>
      </c>
      <c r="AE12" s="256">
        <f t="shared" si="9"/>
        <v>1.2044942077068943</v>
      </c>
      <c r="AF12" s="256">
        <f t="shared" si="9"/>
        <v>1.2324655322594995</v>
      </c>
      <c r="AG12" s="256">
        <f t="shared" si="9"/>
        <v>1.2610864199168677</v>
      </c>
      <c r="AH12" s="256">
        <f t="shared" si="9"/>
        <v>1.2903719551354491</v>
      </c>
      <c r="AI12" s="256">
        <f t="shared" si="9"/>
        <v>1.3203375726699558</v>
      </c>
      <c r="AJ12" s="256">
        <f t="shared" si="9"/>
        <v>1.3509990657081501</v>
      </c>
      <c r="AK12" s="256">
        <f>'Cibles THREEME'!AA15</f>
        <v>1.3823725941945482</v>
      </c>
    </row>
    <row r="13" spans="1:37">
      <c r="A13" s="256" t="str">
        <f>'[1]Cibles THREEME'!Z17</f>
        <v>Gaz naturel (réseau de gaz et de chaleur)</v>
      </c>
      <c r="B13" s="256">
        <f>'Cibles THREEME'!W17</f>
        <v>30.891463326716561</v>
      </c>
      <c r="C13" s="256">
        <f t="shared" si="7"/>
        <v>30.471485809175729</v>
      </c>
      <c r="D13" s="256">
        <f t="shared" si="7"/>
        <v>30.057217995748754</v>
      </c>
      <c r="E13" s="256">
        <f t="shared" si="7"/>
        <v>29.648582261515958</v>
      </c>
      <c r="F13" s="256">
        <f t="shared" si="7"/>
        <v>29.24550203688873</v>
      </c>
      <c r="G13" s="256">
        <f>'Cibles THREEME'!X17</f>
        <v>28.847901793262025</v>
      </c>
      <c r="H13" s="256">
        <f t="shared" si="8"/>
        <v>28.58372687362915</v>
      </c>
      <c r="I13" s="256">
        <f t="shared" si="9"/>
        <v>28.32197113819425</v>
      </c>
      <c r="J13" s="256">
        <f t="shared" si="9"/>
        <v>28.062612433256316</v>
      </c>
      <c r="K13" s="256">
        <f t="shared" si="9"/>
        <v>27.805628807987055</v>
      </c>
      <c r="L13" s="256">
        <f t="shared" si="9"/>
        <v>27.550998512573084</v>
      </c>
      <c r="M13" s="256">
        <f t="shared" si="9"/>
        <v>27.298699996375124</v>
      </c>
      <c r="N13" s="256">
        <f t="shared" si="9"/>
        <v>27.048711906104071</v>
      </c>
      <c r="O13" s="256">
        <f t="shared" si="9"/>
        <v>26.801013084013764</v>
      </c>
      <c r="P13" s="256">
        <f t="shared" si="9"/>
        <v>26.555582566110285</v>
      </c>
      <c r="Q13" s="256">
        <f t="shared" si="9"/>
        <v>26.312399580377679</v>
      </c>
      <c r="R13" s="256">
        <f t="shared" si="9"/>
        <v>26.071443545019921</v>
      </c>
      <c r="S13" s="256">
        <f t="shared" si="9"/>
        <v>25.832694066718958</v>
      </c>
      <c r="T13" s="256">
        <f t="shared" si="9"/>
        <v>25.596130938908736</v>
      </c>
      <c r="U13" s="256">
        <f t="shared" si="9"/>
        <v>25.36173414006501</v>
      </c>
      <c r="V13" s="256">
        <f t="shared" si="9"/>
        <v>25.129483832010823</v>
      </c>
      <c r="W13" s="256">
        <f t="shared" si="9"/>
        <v>24.899360358237502</v>
      </c>
      <c r="X13" s="256">
        <f t="shared" si="9"/>
        <v>24.671344242241023</v>
      </c>
      <c r="Y13" s="256">
        <f t="shared" si="9"/>
        <v>24.445416185873633</v>
      </c>
      <c r="Z13" s="256">
        <f t="shared" si="9"/>
        <v>24.221557067710531</v>
      </c>
      <c r="AA13" s="256">
        <f t="shared" si="9"/>
        <v>23.99974794143154</v>
      </c>
      <c r="AB13" s="256">
        <f t="shared" si="9"/>
        <v>23.77997003421758</v>
      </c>
      <c r="AC13" s="256">
        <f t="shared" si="9"/>
        <v>23.562204745161829</v>
      </c>
      <c r="AD13" s="256">
        <f t="shared" si="9"/>
        <v>23.346433643695434</v>
      </c>
      <c r="AE13" s="256">
        <f t="shared" si="9"/>
        <v>23.132638468027647</v>
      </c>
      <c r="AF13" s="256">
        <f t="shared" si="9"/>
        <v>22.920801123600228</v>
      </c>
      <c r="AG13" s="256">
        <f t="shared" si="9"/>
        <v>22.710903681556019</v>
      </c>
      <c r="AH13" s="256">
        <f t="shared" si="9"/>
        <v>22.502928377221533</v>
      </c>
      <c r="AI13" s="256">
        <f t="shared" si="9"/>
        <v>22.296857608603435</v>
      </c>
      <c r="AJ13" s="256">
        <f t="shared" si="9"/>
        <v>22.092673934898809</v>
      </c>
      <c r="AK13" s="256">
        <f>'Cibles THREEME'!AA17</f>
        <v>21.890360075019018</v>
      </c>
    </row>
    <row r="14" spans="1:37">
      <c r="A14" s="256" t="str">
        <f>'[1]Cibles THREEME'!Z18</f>
        <v>Bois énergie direct et réseau chaleur</v>
      </c>
      <c r="B14" s="256">
        <f>'Cibles THREEME'!W18</f>
        <v>3.2513986252148359</v>
      </c>
      <c r="C14" s="256">
        <f t="shared" si="7"/>
        <v>4.2042067607800746</v>
      </c>
      <c r="D14" s="256">
        <f t="shared" si="7"/>
        <v>5.4362311499781084</v>
      </c>
      <c r="E14" s="256">
        <f t="shared" si="7"/>
        <v>7.0292948937908406</v>
      </c>
      <c r="F14" s="256">
        <f t="shared" si="7"/>
        <v>9.0891989947986236</v>
      </c>
      <c r="G14" s="256">
        <f>'Cibles THREEME'!X18</f>
        <v>11.752748976291061</v>
      </c>
      <c r="H14" s="256">
        <f t="shared" si="8"/>
        <v>11.507607184033002</v>
      </c>
      <c r="I14" s="256">
        <f t="shared" si="9"/>
        <v>11.267578620895444</v>
      </c>
      <c r="J14" s="256">
        <f t="shared" si="9"/>
        <v>11.032556633860153</v>
      </c>
      <c r="K14" s="256">
        <f t="shared" si="9"/>
        <v>10.802436794504365</v>
      </c>
      <c r="L14" s="256">
        <f t="shared" si="9"/>
        <v>10.577116852599598</v>
      </c>
      <c r="M14" s="256">
        <f t="shared" si="9"/>
        <v>10.356496690678345</v>
      </c>
      <c r="N14" s="256">
        <f t="shared" si="9"/>
        <v>10.140478279548395</v>
      </c>
      <c r="O14" s="256">
        <f t="shared" si="9"/>
        <v>9.9289656347350714</v>
      </c>
      <c r="P14" s="256">
        <f t="shared" si="9"/>
        <v>9.7218647738319959</v>
      </c>
      <c r="Q14" s="256">
        <f t="shared" si="9"/>
        <v>9.5190836747414433</v>
      </c>
      <c r="R14" s="256">
        <f t="shared" si="9"/>
        <v>9.3205322347857376</v>
      </c>
      <c r="S14" s="256">
        <f t="shared" si="9"/>
        <v>9.1261222306714966</v>
      </c>
      <c r="T14" s="256">
        <f t="shared" si="9"/>
        <v>8.9357672792889709</v>
      </c>
      <c r="U14" s="256">
        <f t="shared" si="9"/>
        <v>8.7493827993290232</v>
      </c>
      <c r="V14" s="256">
        <f t="shared" si="9"/>
        <v>8.5668859737007246</v>
      </c>
      <c r="W14" s="256">
        <f t="shared" si="9"/>
        <v>8.3881957127328466</v>
      </c>
      <c r="X14" s="256">
        <f t="shared" si="9"/>
        <v>8.2132326181429018</v>
      </c>
      <c r="Y14" s="256">
        <f t="shared" si="9"/>
        <v>8.041918947757738</v>
      </c>
      <c r="Z14" s="256">
        <f t="shared" si="9"/>
        <v>7.8741785809699918</v>
      </c>
      <c r="AA14" s="256">
        <f t="shared" si="9"/>
        <v>7.7099369849150605</v>
      </c>
      <c r="AB14" s="256">
        <f t="shared" si="9"/>
        <v>7.5491211813535664</v>
      </c>
      <c r="AC14" s="256">
        <f t="shared" si="9"/>
        <v>7.3916597142445921</v>
      </c>
      <c r="AD14" s="256">
        <f t="shared" si="9"/>
        <v>7.2374826179952816</v>
      </c>
      <c r="AE14" s="256">
        <f t="shared" si="9"/>
        <v>7.0865213863727021</v>
      </c>
      <c r="AF14" s="256">
        <f t="shared" si="9"/>
        <v>6.9387089420641459</v>
      </c>
      <c r="AG14" s="256">
        <f t="shared" si="9"/>
        <v>6.7939796068723535</v>
      </c>
      <c r="AH14" s="256">
        <f t="shared" si="9"/>
        <v>6.6522690725324134</v>
      </c>
      <c r="AI14" s="256">
        <f t="shared" si="9"/>
        <v>6.5135143721373678</v>
      </c>
      <c r="AJ14" s="256">
        <f t="shared" si="9"/>
        <v>6.3776538521598303</v>
      </c>
      <c r="AK14" s="256">
        <f>'Cibles THREEME'!AA18</f>
        <v>6.2446271450571915</v>
      </c>
    </row>
    <row r="15" spans="1:37">
      <c r="A15" s="256" t="str">
        <f>'[1]Cibles THREEME'!Z19</f>
        <v>Biogaz, biométhane, BtG et H2 direct et réseau de chaleur</v>
      </c>
      <c r="B15" s="256">
        <f>'Cibles THREEME'!W19</f>
        <v>0.10634565778159931</v>
      </c>
      <c r="C15" s="256">
        <f t="shared" si="7"/>
        <v>0.10504510257272096</v>
      </c>
      <c r="D15" s="256">
        <f t="shared" si="7"/>
        <v>0.10376045251584057</v>
      </c>
      <c r="E15" s="256">
        <f t="shared" si="7"/>
        <v>0.10249151309875418</v>
      </c>
      <c r="F15" s="256">
        <f t="shared" si="7"/>
        <v>0.10123809218804659</v>
      </c>
      <c r="G15" s="256">
        <f>'Cibles THREEME'!X19</f>
        <v>0.1</v>
      </c>
      <c r="H15" s="256">
        <f t="shared" si="8"/>
        <v>0.11416460867310266</v>
      </c>
      <c r="I15" s="256">
        <f t="shared" si="9"/>
        <v>0.13033557873482665</v>
      </c>
      <c r="J15" s="256">
        <f t="shared" si="9"/>
        <v>0.14879710342443844</v>
      </c>
      <c r="K15" s="256">
        <f t="shared" si="9"/>
        <v>0.16987363084142199</v>
      </c>
      <c r="L15" s="256">
        <f t="shared" si="9"/>
        <v>0.19393556588890043</v>
      </c>
      <c r="M15" s="256">
        <f t="shared" si="9"/>
        <v>0.22140577987503032</v>
      </c>
      <c r="N15" s="256">
        <f t="shared" si="9"/>
        <v>0.25276704217395946</v>
      </c>
      <c r="O15" s="256">
        <f t="shared" si="9"/>
        <v>0.28857050455247718</v>
      </c>
      <c r="P15" s="256">
        <f t="shared" si="9"/>
        <v>0.32944538726833344</v>
      </c>
      <c r="Q15" s="256">
        <f t="shared" si="9"/>
        <v>0.37611003716648045</v>
      </c>
      <c r="R15" s="256">
        <f t="shared" si="9"/>
        <v>0.42938455211137333</v>
      </c>
      <c r="S15" s="256">
        <f t="shared" si="9"/>
        <v>0.49020519362070392</v>
      </c>
      <c r="T15" s="256">
        <f t="shared" si="9"/>
        <v>0.55964084099230182</v>
      </c>
      <c r="U15" s="256">
        <f t="shared" si="9"/>
        <v>0.63891177609372207</v>
      </c>
      <c r="V15" s="256">
        <f t="shared" si="9"/>
        <v>0.72941112894376758</v>
      </c>
      <c r="W15" s="256">
        <f t="shared" si="9"/>
        <v>0.83272936097671246</v>
      </c>
      <c r="X15" s="256">
        <f t="shared" si="9"/>
        <v>0.95068221626509219</v>
      </c>
      <c r="Y15" s="256">
        <f t="shared" si="9"/>
        <v>1.085342631923822</v>
      </c>
      <c r="Z15" s="256">
        <f t="shared" si="9"/>
        <v>1.2390771684981843</v>
      </c>
      <c r="AA15" s="256">
        <f t="shared" si="9"/>
        <v>1.4145876005737128</v>
      </c>
      <c r="AB15" s="256">
        <f t="shared" si="9"/>
        <v>1.6149583985332117</v>
      </c>
      <c r="AC15" s="256">
        <f t="shared" si="9"/>
        <v>1.8437109359188466</v>
      </c>
      <c r="AD15" s="256">
        <f t="shared" si="9"/>
        <v>2.1048653750549495</v>
      </c>
      <c r="AE15" s="256">
        <f t="shared" si="9"/>
        <v>2.4030113185271174</v>
      </c>
      <c r="AF15" s="256">
        <f t="shared" si="9"/>
        <v>2.7433884681668479</v>
      </c>
      <c r="AG15" s="256">
        <f t="shared" si="9"/>
        <v>3.1319787090657072</v>
      </c>
      <c r="AH15" s="256">
        <f t="shared" si="9"/>
        <v>3.575611236929757</v>
      </c>
      <c r="AI15" s="256">
        <f t="shared" si="9"/>
        <v>4.0820825763123425</v>
      </c>
      <c r="AJ15" s="256">
        <f t="shared" si="9"/>
        <v>4.6602935989598926</v>
      </c>
      <c r="AK15" s="256">
        <f>'Cibles THREEME'!AA19</f>
        <v>5.3204059502702163</v>
      </c>
    </row>
    <row r="16" spans="1:37">
      <c r="A16" s="256" t="str">
        <f>'[1]Cibles THREEME'!Z20</f>
        <v>UIOM et déchets directs</v>
      </c>
      <c r="B16" s="256">
        <f>'Cibles THREEME'!W20</f>
        <v>0.48</v>
      </c>
      <c r="C16" s="256">
        <f t="shared" si="7"/>
        <v>0.49034442429875374</v>
      </c>
      <c r="D16" s="256">
        <f t="shared" si="7"/>
        <v>0.50091178008515891</v>
      </c>
      <c r="E16" s="256">
        <f t="shared" si="7"/>
        <v>0.51170687172983587</v>
      </c>
      <c r="F16" s="256">
        <f t="shared" si="7"/>
        <v>0.52273460714183873</v>
      </c>
      <c r="G16" s="256">
        <f>'Cibles THREEME'!X20</f>
        <v>0.53400000000000003</v>
      </c>
      <c r="H16" s="256">
        <f t="shared" si="8"/>
        <v>0.54646695489788888</v>
      </c>
      <c r="I16" s="256">
        <f t="shared" si="9"/>
        <v>0.55922496778159425</v>
      </c>
      <c r="J16" s="256">
        <f t="shared" si="9"/>
        <v>0.57228083379490224</v>
      </c>
      <c r="K16" s="256">
        <f t="shared" si="9"/>
        <v>0.58564150672345516</v>
      </c>
      <c r="L16" s="256">
        <f t="shared" si="9"/>
        <v>0.59931410269846075</v>
      </c>
      <c r="M16" s="256">
        <f t="shared" si="9"/>
        <v>0.61330590398686979</v>
      </c>
      <c r="N16" s="256">
        <f t="shared" si="9"/>
        <v>0.62762436287004064</v>
      </c>
      <c r="O16" s="256">
        <f t="shared" si="9"/>
        <v>0.64227710561295637</v>
      </c>
      <c r="P16" s="256">
        <f t="shared" si="9"/>
        <v>0.6572719365261086</v>
      </c>
      <c r="Q16" s="256">
        <f t="shared" si="9"/>
        <v>0.67261684212221173</v>
      </c>
      <c r="R16" s="256">
        <f t="shared" si="9"/>
        <v>0.68831999536996091</v>
      </c>
      <c r="S16" s="256">
        <f t="shared" si="9"/>
        <v>0.70438976004710019</v>
      </c>
      <c r="T16" s="256">
        <f t="shared" si="9"/>
        <v>0.72083469519511878</v>
      </c>
      <c r="U16" s="256">
        <f t="shared" si="9"/>
        <v>0.73766355967794839</v>
      </c>
      <c r="V16" s="256">
        <f t="shared" si="9"/>
        <v>0.75488531684708904</v>
      </c>
      <c r="W16" s="256">
        <f t="shared" si="9"/>
        <v>0.77250913931564935</v>
      </c>
      <c r="X16" s="256">
        <f t="shared" si="9"/>
        <v>0.79054441384384244</v>
      </c>
      <c r="Y16" s="256">
        <f t="shared" si="9"/>
        <v>0.80900074633854124</v>
      </c>
      <c r="Z16" s="256">
        <f t="shared" si="9"/>
        <v>0.82788796696955436</v>
      </c>
      <c r="AA16" s="256">
        <f t="shared" si="9"/>
        <v>0.84721613540534901</v>
      </c>
      <c r="AB16" s="256">
        <f t="shared" si="9"/>
        <v>0.86699554617100849</v>
      </c>
      <c r="AC16" s="256">
        <f t="shared" si="9"/>
        <v>0.88723673413127901</v>
      </c>
      <c r="AD16" s="256">
        <f t="shared" si="9"/>
        <v>0.90795048010162516</v>
      </c>
      <c r="AE16" s="256">
        <f t="shared" si="9"/>
        <v>0.92914781659028334</v>
      </c>
      <c r="AF16" s="256">
        <f t="shared" si="9"/>
        <v>0.95084003367437131</v>
      </c>
      <c r="AG16" s="256">
        <f t="shared" si="9"/>
        <v>0.97303868501318314</v>
      </c>
      <c r="AH16" s="256">
        <f t="shared" si="9"/>
        <v>0.99575559400187308</v>
      </c>
      <c r="AI16" s="256">
        <f t="shared" si="9"/>
        <v>1.0190028600688055</v>
      </c>
      <c r="AJ16" s="256">
        <f t="shared" si="9"/>
        <v>1.0427928651199245</v>
      </c>
      <c r="AK16" s="256">
        <f>'Cibles THREEME'!AA20</f>
        <v>1.0671382801335763</v>
      </c>
    </row>
    <row r="17" spans="1:37">
      <c r="A17" s="256" t="str">
        <f>'[1]Cibles THREEME'!Z21</f>
        <v>Géothermie et  PAC géothermique</v>
      </c>
      <c r="B17" s="256">
        <f>'Cibles THREEME'!W21</f>
        <v>0.26724398732615506</v>
      </c>
      <c r="C17" s="256">
        <f t="shared" si="7"/>
        <v>0.28256960457451613</v>
      </c>
      <c r="D17" s="256">
        <f t="shared" si="7"/>
        <v>0.29877409863650822</v>
      </c>
      <c r="E17" s="256">
        <f t="shared" si="7"/>
        <v>0.31590787038284474</v>
      </c>
      <c r="F17" s="256">
        <f t="shared" si="7"/>
        <v>0.3340242110185036</v>
      </c>
      <c r="G17" s="256">
        <f>'Cibles THREEME'!X21</f>
        <v>0.3531794678344698</v>
      </c>
      <c r="H17" s="256">
        <f t="shared" si="8"/>
        <v>0.3671524055747466</v>
      </c>
      <c r="I17" s="256">
        <f t="shared" si="9"/>
        <v>0.38167815854601855</v>
      </c>
      <c r="J17" s="256">
        <f t="shared" si="9"/>
        <v>0.39677859793137543</v>
      </c>
      <c r="K17" s="256">
        <f t="shared" si="9"/>
        <v>0.41247646020962064</v>
      </c>
      <c r="L17" s="256">
        <f t="shared" si="9"/>
        <v>0.42879538138920653</v>
      </c>
      <c r="M17" s="256">
        <f t="shared" si="9"/>
        <v>0.44575993259657676</v>
      </c>
      <c r="N17" s="256">
        <f t="shared" si="9"/>
        <v>0.46339565707250013</v>
      </c>
      <c r="O17" s="256">
        <f t="shared" si="9"/>
        <v>0.48172910863210056</v>
      </c>
      <c r="P17" s="256">
        <f t="shared" si="9"/>
        <v>0.50078789164649196</v>
      </c>
      <c r="Q17" s="256">
        <f t="shared" si="9"/>
        <v>0.52060070260621782</v>
      </c>
      <c r="R17" s="256">
        <f t="shared" si="9"/>
        <v>0.54119737332907658</v>
      </c>
      <c r="S17" s="256">
        <f t="shared" si="9"/>
        <v>0.56260891587739026</v>
      </c>
      <c r="T17" s="256">
        <f t="shared" si="9"/>
        <v>0.58486756925234773</v>
      </c>
      <c r="U17" s="256">
        <f t="shared" si="9"/>
        <v>0.60800684793572901</v>
      </c>
      <c r="V17" s="256">
        <f t="shared" si="9"/>
        <v>0.63206159235209947</v>
      </c>
      <c r="W17" s="256">
        <f t="shared" si="9"/>
        <v>0.65706802132745379</v>
      </c>
      <c r="X17" s="256">
        <f t="shared" si="9"/>
        <v>0.68306378662329614</v>
      </c>
      <c r="Y17" s="256">
        <f t="shared" si="9"/>
        <v>0.71008802962826711</v>
      </c>
      <c r="Z17" s="256">
        <f t="shared" si="9"/>
        <v>0.73818144029267729</v>
      </c>
      <c r="AA17" s="256">
        <f t="shared" si="9"/>
        <v>0.76738631839468441</v>
      </c>
      <c r="AB17" s="256">
        <f t="shared" si="9"/>
        <v>0.79774663723036121</v>
      </c>
      <c r="AC17" s="256">
        <f t="shared" si="9"/>
        <v>0.82930810982355119</v>
      </c>
      <c r="AD17" s="256">
        <f t="shared" si="9"/>
        <v>0.86211825775520334</v>
      </c>
      <c r="AE17" s="256">
        <f t="shared" si="9"/>
        <v>0.89622648271582117</v>
      </c>
      <c r="AF17" s="256">
        <f t="shared" si="9"/>
        <v>0.93168414088876106</v>
      </c>
      <c r="AG17" s="256">
        <f t="shared" si="9"/>
        <v>0.96854462027637789</v>
      </c>
      <c r="AH17" s="256">
        <f t="shared" si="9"/>
        <v>1.0068634210854464</v>
      </c>
      <c r="AI17" s="256">
        <f t="shared" si="9"/>
        <v>1.0466982392928936</v>
      </c>
      <c r="AJ17" s="256">
        <f t="shared" si="9"/>
        <v>1.0881090535176654</v>
      </c>
      <c r="AK17" s="256">
        <f>'Cibles THREEME'!AA21</f>
        <v>1.1311582153295254</v>
      </c>
    </row>
    <row r="18" spans="1:37">
      <c r="A18" s="256" t="str">
        <f>'[1]Cibles THREEME'!Z22</f>
        <v>Autres (solaire thermique, chaleur fatale, pac AEROTHERMIQUE)</v>
      </c>
      <c r="B18" s="256">
        <f>'Cibles THREEME'!W22</f>
        <v>1.118498178805428</v>
      </c>
      <c r="C18" s="256">
        <f t="shared" si="7"/>
        <v>1.1944611766924531</v>
      </c>
      <c r="D18" s="256">
        <f t="shared" si="7"/>
        <v>1.2755832147615078</v>
      </c>
      <c r="E18" s="256">
        <f t="shared" si="7"/>
        <v>1.3622146701217128</v>
      </c>
      <c r="F18" s="256">
        <f t="shared" si="7"/>
        <v>1.4547297158043495</v>
      </c>
      <c r="G18" s="256">
        <f>'Cibles THREEME'!X22</f>
        <v>1.5535279368670427</v>
      </c>
      <c r="H18" s="256">
        <f t="shared" si="8"/>
        <v>1.6382229634020025</v>
      </c>
      <c r="I18" s="256">
        <f t="shared" si="9"/>
        <v>1.7275353819706218</v>
      </c>
      <c r="J18" s="256">
        <f t="shared" si="9"/>
        <v>1.8217169229290358</v>
      </c>
      <c r="K18" s="256">
        <f t="shared" si="9"/>
        <v>1.9210330404349836</v>
      </c>
      <c r="L18" s="256">
        <f t="shared" si="9"/>
        <v>2.0257636606401741</v>
      </c>
      <c r="M18" s="256">
        <f t="shared" si="9"/>
        <v>2.1362039706725007</v>
      </c>
      <c r="N18" s="256">
        <f t="shared" si="9"/>
        <v>2.2526652506318827</v>
      </c>
      <c r="O18" s="256">
        <f t="shared" si="9"/>
        <v>2.3754757509447444</v>
      </c>
      <c r="P18" s="256">
        <f t="shared" si="9"/>
        <v>2.5049816175499853</v>
      </c>
      <c r="Q18" s="256">
        <f t="shared" si="9"/>
        <v>2.6415478675241175</v>
      </c>
      <c r="R18" s="256">
        <f t="shared" si="9"/>
        <v>2.7855594178953993</v>
      </c>
      <c r="S18" s="256">
        <f t="shared" si="9"/>
        <v>2.9374221705467209</v>
      </c>
      <c r="T18" s="256">
        <f t="shared" si="9"/>
        <v>3.0975641562650797</v>
      </c>
      <c r="U18" s="256">
        <f t="shared" si="9"/>
        <v>3.2664367411621895</v>
      </c>
      <c r="V18" s="256">
        <f t="shared" si="9"/>
        <v>3.4445158988665652</v>
      </c>
      <c r="W18" s="256">
        <f t="shared" si="9"/>
        <v>3.6323035520728055</v>
      </c>
      <c r="X18" s="256">
        <f t="shared" si="9"/>
        <v>3.8303289872292794</v>
      </c>
      <c r="Y18" s="256">
        <f t="shared" si="9"/>
        <v>4.039150346351561</v>
      </c>
      <c r="Z18" s="256">
        <f t="shared" si="9"/>
        <v>4.2593562001663514</v>
      </c>
      <c r="AA18" s="256">
        <f t="shared" si="9"/>
        <v>4.49156720701985</v>
      </c>
      <c r="AB18" s="256">
        <f t="shared" si="9"/>
        <v>4.7364378622262642</v>
      </c>
      <c r="AC18" s="256">
        <f t="shared" si="9"/>
        <v>4.9946583427870674</v>
      </c>
      <c r="AD18" s="256">
        <f t="shared" si="9"/>
        <v>5.2669564526804162</v>
      </c>
      <c r="AE18" s="256">
        <f t="shared" si="9"/>
        <v>5.5540996742035853</v>
      </c>
      <c r="AF18" s="256">
        <f t="shared" si="9"/>
        <v>5.8568973311502228</v>
      </c>
      <c r="AG18" s="256">
        <f t="shared" si="9"/>
        <v>6.1762028699194023</v>
      </c>
      <c r="AH18" s="256">
        <f t="shared" si="9"/>
        <v>6.5129162649858774</v>
      </c>
      <c r="AI18" s="256">
        <f t="shared" si="9"/>
        <v>6.8679865555114343</v>
      </c>
      <c r="AJ18" s="256">
        <f t="shared" si="9"/>
        <v>7.242414520246883</v>
      </c>
      <c r="AK18" s="256">
        <f>'Cibles THREEME'!AA22</f>
        <v>7.637255498264012</v>
      </c>
    </row>
    <row r="20" spans="1:37" hidden="1">
      <c r="A20" s="366" t="s">
        <v>266</v>
      </c>
    </row>
    <row r="21" spans="1:37" hidden="1">
      <c r="A21" s="256" t="str">
        <f>'[1]Cibles THREEME'!R23</f>
        <v>Charbon</v>
      </c>
      <c r="B21" s="256">
        <f>'Cibles THREEME'!W23</f>
        <v>1.1313605731176026</v>
      </c>
    </row>
    <row r="22" spans="1:37" hidden="1">
      <c r="A22" s="256" t="str">
        <f>'[1]Cibles THREEME'!R4</f>
        <v>Produits pétroliers</v>
      </c>
      <c r="B22" s="256">
        <f>'Cibles THREEME'!V4</f>
        <v>83.9034027651321</v>
      </c>
    </row>
    <row r="23" spans="1:37" hidden="1">
      <c r="A23" s="256" t="str">
        <f>'[1]Cibles THREEME'!R5</f>
        <v>Biocarburants liquides et gazeux</v>
      </c>
      <c r="B23" s="256">
        <f>'Cibles THREEME'!V5</f>
        <v>0.7</v>
      </c>
    </row>
    <row r="24" spans="1:37" hidden="1">
      <c r="A24" s="256" t="str">
        <f>'[1]Cibles THREEME'!R8</f>
        <v>Centrale nucléaire</v>
      </c>
      <c r="B24" s="256">
        <f>'Cibles THREEME'!W8</f>
        <v>30.28250283717669</v>
      </c>
    </row>
    <row r="25" spans="1:37" hidden="1">
      <c r="A25" s="256" t="str">
        <f>'[1]Cibles THREEME'!R9</f>
        <v>Centrale au fioul</v>
      </c>
      <c r="B25" s="256">
        <f>'Cibles THREEME'!W9</f>
        <v>0.16048734404512444</v>
      </c>
    </row>
    <row r="26" spans="1:37" hidden="1">
      <c r="A26" s="256" t="str">
        <f>'[1]Cibles THREEME'!R10</f>
        <v>Centrale au gaz naturel</v>
      </c>
      <c r="B26" s="256">
        <f>'Cibles THREEME'!W10</f>
        <v>1.0779937364293994</v>
      </c>
    </row>
    <row r="27" spans="1:37" hidden="1">
      <c r="A27" s="256" t="str">
        <f>'[1]Cibles THREEME'!R11</f>
        <v>Centrale au charbon</v>
      </c>
      <c r="B27" s="256">
        <f>'Cibles THREEME'!W11</f>
        <v>0.84312582943921199</v>
      </c>
    </row>
    <row r="28" spans="1:37" hidden="1">
      <c r="A28" s="256" t="str">
        <f>'[1]Cibles THREEME'!R12</f>
        <v xml:space="preserve">Eolien </v>
      </c>
      <c r="B28" s="256">
        <f>'Cibles THREEME'!W12</f>
        <v>1.3972125814710372</v>
      </c>
    </row>
    <row r="29" spans="1:37" hidden="1">
      <c r="A29" s="256" t="str">
        <f>'[1]Cibles THREEME'!R13</f>
        <v>Photovoltaïque</v>
      </c>
      <c r="B29" s="256">
        <f>'Cibles THREEME'!W13</f>
        <v>0.49001768260121925</v>
      </c>
    </row>
    <row r="30" spans="1:37" hidden="1">
      <c r="A30" s="256" t="str">
        <f>'[1]Cibles THREEME'!R14</f>
        <v>Hydroélectricité et énergies marine</v>
      </c>
      <c r="B30" s="256">
        <f>'Cibles THREEME'!W14</f>
        <v>3.4983289421381669</v>
      </c>
    </row>
    <row r="31" spans="1:37" hidden="1">
      <c r="A31" s="256" t="str">
        <f>'[1]Cibles THREEME'!R15</f>
        <v>Autres (méthanisation, UIOM, bois, géothermie, énergie fatale, PAC aérothermique)</v>
      </c>
      <c r="B31" s="256">
        <f>'Cibles THREEME'!W15</f>
        <v>0.33284532024539132</v>
      </c>
    </row>
    <row r="32" spans="1:37" hidden="1">
      <c r="A32" s="256" t="str">
        <f>'[1]Cibles THREEME'!R17</f>
        <v>Gaz naturel (réseau de gaz et de chaleur)</v>
      </c>
      <c r="B32" s="256">
        <f>'Cibles THREEME'!W17</f>
        <v>30.891463326716561</v>
      </c>
    </row>
    <row r="33" spans="1:37" hidden="1">
      <c r="A33" s="256" t="str">
        <f>'[1]Cibles THREEME'!R18</f>
        <v>Bois énergie direct et réseau chaleur</v>
      </c>
      <c r="B33" s="256">
        <f>'Cibles THREEME'!W18</f>
        <v>3.2513986252148359</v>
      </c>
    </row>
    <row r="34" spans="1:37" hidden="1">
      <c r="A34" s="256" t="str">
        <f>'[1]Cibles THREEME'!R19</f>
        <v>Biogaz, biométhane, BtG et H2 direct et réseau de chaleur</v>
      </c>
      <c r="B34" s="256">
        <f>'Cibles THREEME'!W19</f>
        <v>0.10634565778159931</v>
      </c>
    </row>
    <row r="35" spans="1:37" hidden="1">
      <c r="A35" s="256" t="str">
        <f>'[1]Cibles THREEME'!R20</f>
        <v>UIOM et déchets directs</v>
      </c>
      <c r="B35" s="256">
        <f>'Cibles THREEME'!W20</f>
        <v>0.48</v>
      </c>
    </row>
    <row r="36" spans="1:37" hidden="1">
      <c r="A36" s="256" t="str">
        <f>'[1]Cibles THREEME'!R21</f>
        <v>Géothermie et  PAC géothermique</v>
      </c>
      <c r="B36" s="256">
        <f>'Cibles THREEME'!W21</f>
        <v>0.26724398732615506</v>
      </c>
    </row>
    <row r="37" spans="1:37" hidden="1">
      <c r="A37" s="256" t="str">
        <f>'[1]Cibles THREEME'!R22</f>
        <v>Autres (solaire thermique, chaleur fatale, pac AEROTHERMIQUE)</v>
      </c>
      <c r="B37" s="256">
        <f>'Cibles THREEME'!W22</f>
        <v>1.118498178805428</v>
      </c>
    </row>
    <row r="39" spans="1:37">
      <c r="A39" s="366"/>
    </row>
    <row r="41" spans="1:37">
      <c r="A41" s="256" t="str">
        <f>A1</f>
        <v>PhiY_ener</v>
      </c>
    </row>
    <row r="42" spans="1:37">
      <c r="A42" s="256" t="str">
        <f t="shared" ref="A42:A58" si="10">A2</f>
        <v>Charbon</v>
      </c>
      <c r="B42" s="256">
        <v>1</v>
      </c>
      <c r="C42" s="256">
        <f>B42</f>
        <v>1</v>
      </c>
      <c r="D42" s="256">
        <f t="shared" ref="D42:AK42" si="11">C42</f>
        <v>1</v>
      </c>
      <c r="E42" s="256">
        <f t="shared" si="11"/>
        <v>1</v>
      </c>
      <c r="F42" s="256">
        <f t="shared" si="11"/>
        <v>1</v>
      </c>
      <c r="G42" s="256">
        <f t="shared" si="11"/>
        <v>1</v>
      </c>
      <c r="H42" s="256">
        <f t="shared" si="11"/>
        <v>1</v>
      </c>
      <c r="I42" s="256">
        <f t="shared" si="11"/>
        <v>1</v>
      </c>
      <c r="J42" s="256">
        <f t="shared" si="11"/>
        <v>1</v>
      </c>
      <c r="K42" s="256">
        <f t="shared" si="11"/>
        <v>1</v>
      </c>
      <c r="L42" s="256">
        <f t="shared" si="11"/>
        <v>1</v>
      </c>
      <c r="M42" s="256">
        <f t="shared" si="11"/>
        <v>1</v>
      </c>
      <c r="N42" s="256">
        <f t="shared" si="11"/>
        <v>1</v>
      </c>
      <c r="O42" s="256">
        <f t="shared" si="11"/>
        <v>1</v>
      </c>
      <c r="P42" s="256">
        <f t="shared" si="11"/>
        <v>1</v>
      </c>
      <c r="Q42" s="256">
        <f t="shared" si="11"/>
        <v>1</v>
      </c>
      <c r="R42" s="256">
        <f t="shared" si="11"/>
        <v>1</v>
      </c>
      <c r="S42" s="256">
        <f t="shared" si="11"/>
        <v>1</v>
      </c>
      <c r="T42" s="256">
        <f t="shared" si="11"/>
        <v>1</v>
      </c>
      <c r="U42" s="256">
        <f t="shared" si="11"/>
        <v>1</v>
      </c>
      <c r="V42" s="256">
        <f t="shared" si="11"/>
        <v>1</v>
      </c>
      <c r="W42" s="256">
        <f t="shared" si="11"/>
        <v>1</v>
      </c>
      <c r="X42" s="256">
        <f t="shared" si="11"/>
        <v>1</v>
      </c>
      <c r="Y42" s="256">
        <f t="shared" si="11"/>
        <v>1</v>
      </c>
      <c r="Z42" s="256">
        <f t="shared" si="11"/>
        <v>1</v>
      </c>
      <c r="AA42" s="256">
        <f t="shared" si="11"/>
        <v>1</v>
      </c>
      <c r="AB42" s="256">
        <f t="shared" si="11"/>
        <v>1</v>
      </c>
      <c r="AC42" s="256">
        <f t="shared" si="11"/>
        <v>1</v>
      </c>
      <c r="AD42" s="256">
        <f t="shared" si="11"/>
        <v>1</v>
      </c>
      <c r="AE42" s="256">
        <f t="shared" si="11"/>
        <v>1</v>
      </c>
      <c r="AF42" s="256">
        <f t="shared" si="11"/>
        <v>1</v>
      </c>
      <c r="AG42" s="256">
        <f t="shared" si="11"/>
        <v>1</v>
      </c>
      <c r="AH42" s="256">
        <f t="shared" si="11"/>
        <v>1</v>
      </c>
      <c r="AI42" s="256">
        <f t="shared" si="11"/>
        <v>1</v>
      </c>
      <c r="AJ42" s="256">
        <f t="shared" si="11"/>
        <v>1</v>
      </c>
      <c r="AK42" s="256">
        <f t="shared" si="11"/>
        <v>1</v>
      </c>
    </row>
    <row r="43" spans="1:37">
      <c r="A43" s="256" t="str">
        <f t="shared" si="10"/>
        <v>Produits pétroliers</v>
      </c>
      <c r="B43" s="256">
        <f>B3/SUM(B$3:B$4)</f>
        <v>0.94932135581836274</v>
      </c>
      <c r="C43" s="256">
        <f t="shared" ref="C43:AK43" si="12">C3/SUM(C$3:C$4)</f>
        <v>0.94649834604667793</v>
      </c>
      <c r="D43" s="256">
        <f t="shared" si="12"/>
        <v>0.9435274375464362</v>
      </c>
      <c r="E43" s="256">
        <f t="shared" si="12"/>
        <v>0.9404019444263001</v>
      </c>
      <c r="F43" s="256">
        <f t="shared" si="12"/>
        <v>0.93711499884278604</v>
      </c>
      <c r="G43" s="256">
        <f t="shared" si="12"/>
        <v>0.93365956043388776</v>
      </c>
      <c r="H43" s="256">
        <f t="shared" si="12"/>
        <v>0.93143444499939421</v>
      </c>
      <c r="I43" s="256">
        <f t="shared" si="12"/>
        <v>0.92914036145944623</v>
      </c>
      <c r="J43" s="256">
        <f t="shared" si="12"/>
        <v>0.92677555604897044</v>
      </c>
      <c r="K43" s="256">
        <f t="shared" si="12"/>
        <v>0.92433825644756928</v>
      </c>
      <c r="L43" s="256">
        <f t="shared" si="12"/>
        <v>0.92182667351854342</v>
      </c>
      <c r="M43" s="256">
        <f t="shared" si="12"/>
        <v>0.91923900320842067</v>
      </c>
      <c r="N43" s="256">
        <f t="shared" si="12"/>
        <v>0.91657342861344393</v>
      </c>
      <c r="O43" s="256">
        <f t="shared" si="12"/>
        <v>0.91382812221931542</v>
      </c>
      <c r="P43" s="256">
        <f t="shared" si="12"/>
        <v>0.91100124832026375</v>
      </c>
      <c r="Q43" s="256">
        <f t="shared" si="12"/>
        <v>0.90809096562322811</v>
      </c>
      <c r="R43" s="256">
        <f t="shared" si="12"/>
        <v>0.90509543004260673</v>
      </c>
      <c r="S43" s="256">
        <f t="shared" si="12"/>
        <v>0.90201279769060816</v>
      </c>
      <c r="T43" s="256">
        <f t="shared" si="12"/>
        <v>0.89884122806775468</v>
      </c>
      <c r="U43" s="256">
        <f t="shared" si="12"/>
        <v>0.89557888745753067</v>
      </c>
      <c r="V43" s="256">
        <f t="shared" si="12"/>
        <v>0.89222395252851949</v>
      </c>
      <c r="W43" s="256">
        <f t="shared" si="12"/>
        <v>0.88877461414664816</v>
      </c>
      <c r="X43" s="256">
        <f t="shared" si="12"/>
        <v>0.88522908139933354</v>
      </c>
      <c r="Y43" s="256">
        <f t="shared" si="12"/>
        <v>0.88158558583241464</v>
      </c>
      <c r="Z43" s="256">
        <f t="shared" si="12"/>
        <v>0.87784238589974839</v>
      </c>
      <c r="AA43" s="256">
        <f t="shared" si="12"/>
        <v>0.87399777162423464</v>
      </c>
      <c r="AB43" s="256">
        <f t="shared" si="12"/>
        <v>0.87005006946783647</v>
      </c>
      <c r="AC43" s="256">
        <f t="shared" si="12"/>
        <v>0.86599764740685004</v>
      </c>
      <c r="AD43" s="256">
        <f t="shared" si="12"/>
        <v>0.86183892020727659</v>
      </c>
      <c r="AE43" s="256">
        <f t="shared" si="12"/>
        <v>0.85757235489364414</v>
      </c>
      <c r="AF43" s="256">
        <f t="shared" si="12"/>
        <v>0.85319647640302509</v>
      </c>
      <c r="AG43" s="256">
        <f t="shared" si="12"/>
        <v>0.84870987341430715</v>
      </c>
      <c r="AH43" s="256">
        <f t="shared" si="12"/>
        <v>0.84411120434099807</v>
      </c>
      <c r="AI43" s="256">
        <f t="shared" si="12"/>
        <v>0.83939920347398644</v>
      </c>
      <c r="AJ43" s="256">
        <f t="shared" si="12"/>
        <v>0.83457268725875655</v>
      </c>
      <c r="AK43" s="256">
        <f t="shared" si="12"/>
        <v>0.82963056068956875</v>
      </c>
    </row>
    <row r="44" spans="1:37">
      <c r="A44" s="256" t="str">
        <f t="shared" si="10"/>
        <v>Biocarburants liquides et gazeux</v>
      </c>
      <c r="B44" s="256">
        <f>B4/SUM(B$3:B$4)</f>
        <v>5.0678644181637207E-2</v>
      </c>
      <c r="C44" s="256">
        <f t="shared" ref="C44:AK44" si="13">C4/SUM(C$3:C$4)</f>
        <v>5.3501653953322091E-2</v>
      </c>
      <c r="D44" s="256">
        <f t="shared" si="13"/>
        <v>5.6472562453563802E-2</v>
      </c>
      <c r="E44" s="256">
        <f t="shared" si="13"/>
        <v>5.9598055573699953E-2</v>
      </c>
      <c r="F44" s="256">
        <f t="shared" si="13"/>
        <v>6.2885001157213988E-2</v>
      </c>
      <c r="G44" s="256">
        <f t="shared" si="13"/>
        <v>6.6340439566112228E-2</v>
      </c>
      <c r="H44" s="256">
        <f t="shared" si="13"/>
        <v>6.8565555000605821E-2</v>
      </c>
      <c r="I44" s="256">
        <f t="shared" si="13"/>
        <v>7.0859638540553896E-2</v>
      </c>
      <c r="J44" s="256">
        <f t="shared" si="13"/>
        <v>7.3224443951029519E-2</v>
      </c>
      <c r="K44" s="256">
        <f t="shared" si="13"/>
        <v>7.5661743552430702E-2</v>
      </c>
      <c r="L44" s="256">
        <f t="shared" si="13"/>
        <v>7.8173326481456459E-2</v>
      </c>
      <c r="M44" s="256">
        <f t="shared" si="13"/>
        <v>8.0760996791579373E-2</v>
      </c>
      <c r="N44" s="256">
        <f t="shared" si="13"/>
        <v>8.3426571386556098E-2</v>
      </c>
      <c r="O44" s="256">
        <f t="shared" si="13"/>
        <v>8.6171877780684539E-2</v>
      </c>
      <c r="P44" s="256">
        <f t="shared" si="13"/>
        <v>8.8998751679736185E-2</v>
      </c>
      <c r="Q44" s="256">
        <f t="shared" si="13"/>
        <v>9.1909034376771961E-2</v>
      </c>
      <c r="R44" s="256">
        <f t="shared" si="13"/>
        <v>9.4904569957393284E-2</v>
      </c>
      <c r="S44" s="256">
        <f t="shared" si="13"/>
        <v>9.7987202309391813E-2</v>
      </c>
      <c r="T44" s="256">
        <f t="shared" si="13"/>
        <v>0.10115877193224519</v>
      </c>
      <c r="U44" s="256">
        <f t="shared" si="13"/>
        <v>0.10442111254246936</v>
      </c>
      <c r="V44" s="256">
        <f t="shared" si="13"/>
        <v>0.10777604747148058</v>
      </c>
      <c r="W44" s="256">
        <f t="shared" si="13"/>
        <v>0.11122538585335184</v>
      </c>
      <c r="X44" s="256">
        <f t="shared" si="13"/>
        <v>0.11477091860066653</v>
      </c>
      <c r="Y44" s="256">
        <f t="shared" si="13"/>
        <v>0.11841441416758539</v>
      </c>
      <c r="Z44" s="256">
        <f t="shared" si="13"/>
        <v>0.12215761410025164</v>
      </c>
      <c r="AA44" s="256">
        <f t="shared" si="13"/>
        <v>0.1260022283757653</v>
      </c>
      <c r="AB44" s="256">
        <f t="shared" si="13"/>
        <v>0.12994993053216344</v>
      </c>
      <c r="AC44" s="256">
        <f t="shared" si="13"/>
        <v>0.13400235259314999</v>
      </c>
      <c r="AD44" s="256">
        <f t="shared" si="13"/>
        <v>0.13816107979272343</v>
      </c>
      <c r="AE44" s="256">
        <f t="shared" si="13"/>
        <v>0.14242764510635586</v>
      </c>
      <c r="AF44" s="256">
        <f t="shared" si="13"/>
        <v>0.14680352359697496</v>
      </c>
      <c r="AG44" s="256">
        <f t="shared" si="13"/>
        <v>0.15129012658569288</v>
      </c>
      <c r="AH44" s="256">
        <f t="shared" si="13"/>
        <v>0.15588879565900193</v>
      </c>
      <c r="AI44" s="256">
        <f t="shared" si="13"/>
        <v>0.16060079652601361</v>
      </c>
      <c r="AJ44" s="256">
        <f t="shared" si="13"/>
        <v>0.16542731274124348</v>
      </c>
      <c r="AK44" s="256">
        <f t="shared" si="13"/>
        <v>0.17036943931043114</v>
      </c>
    </row>
    <row r="45" spans="1:37">
      <c r="A45" s="256" t="str">
        <f t="shared" si="10"/>
        <v>Centrale nucléaire</v>
      </c>
      <c r="B45" s="256">
        <f>B5/SUM(B$5:B$12)</f>
        <v>0.79518129028083173</v>
      </c>
      <c r="C45" s="256">
        <f t="shared" ref="C45:AK52" si="14">C5/SUM(C$5:C$12)</f>
        <v>0.78222990707712647</v>
      </c>
      <c r="D45" s="256">
        <f t="shared" si="14"/>
        <v>0.76778352619017398</v>
      </c>
      <c r="E45" s="256">
        <f t="shared" si="14"/>
        <v>0.75177697221786188</v>
      </c>
      <c r="F45" s="256">
        <f t="shared" si="14"/>
        <v>0.73415414148591196</v>
      </c>
      <c r="G45" s="256">
        <f t="shared" si="14"/>
        <v>0.71487244669639038</v>
      </c>
      <c r="H45" s="256">
        <f t="shared" si="14"/>
        <v>0.70830485819636591</v>
      </c>
      <c r="I45" s="256">
        <f t="shared" si="14"/>
        <v>0.70152050376570196</v>
      </c>
      <c r="J45" s="256">
        <f t="shared" si="14"/>
        <v>0.69451909821773505</v>
      </c>
      <c r="K45" s="256">
        <f t="shared" si="14"/>
        <v>0.68730063861063573</v>
      </c>
      <c r="L45" s="256">
        <f t="shared" si="14"/>
        <v>0.67986543802714483</v>
      </c>
      <c r="M45" s="256">
        <f t="shared" si="14"/>
        <v>0.67221415974191234</v>
      </c>
      <c r="N45" s="256">
        <f t="shared" si="14"/>
        <v>0.66434785151264941</v>
      </c>
      <c r="O45" s="256">
        <f t="shared" si="14"/>
        <v>0.65626797969879591</v>
      </c>
      <c r="P45" s="256">
        <f t="shared" si="14"/>
        <v>0.64797646287934252</v>
      </c>
      <c r="Q45" s="256">
        <f t="shared" si="14"/>
        <v>0.6394757046106011</v>
      </c>
      <c r="R45" s="256">
        <f t="shared" si="14"/>
        <v>0.63076862493593799</v>
      </c>
      <c r="S45" s="256">
        <f t="shared" si="14"/>
        <v>0.6218586902336809</v>
      </c>
      <c r="T45" s="256">
        <f t="shared" si="14"/>
        <v>0.61274994096759694</v>
      </c>
      <c r="U45" s="256">
        <f t="shared" si="14"/>
        <v>0.60344701688751079</v>
      </c>
      <c r="V45" s="256">
        <f t="shared" si="14"/>
        <v>0.59395517921686136</v>
      </c>
      <c r="W45" s="256">
        <f t="shared" si="14"/>
        <v>0.58428032936027408</v>
      </c>
      <c r="X45" s="256">
        <f t="shared" si="14"/>
        <v>0.57442902366855353</v>
      </c>
      <c r="Y45" s="256">
        <f t="shared" si="14"/>
        <v>0.56440848381171016</v>
      </c>
      <c r="Z45" s="256">
        <f t="shared" si="14"/>
        <v>0.55422660233349508</v>
      </c>
      <c r="AA45" s="256">
        <f t="shared" si="14"/>
        <v>0.54389194299394283</v>
      </c>
      <c r="AB45" s="256">
        <f t="shared" si="14"/>
        <v>0.53341373554995519</v>
      </c>
      <c r="AC45" s="256">
        <f t="shared" si="14"/>
        <v>0.52280186467803069</v>
      </c>
      <c r="AD45" s="256">
        <f t="shared" si="14"/>
        <v>0.51206685280763253</v>
      </c>
      <c r="AE45" s="256">
        <f t="shared" si="14"/>
        <v>0.5012198367077656</v>
      </c>
      <c r="AF45" s="256">
        <f t="shared" si="14"/>
        <v>0.49027253775222335</v>
      </c>
      <c r="AG45" s="256">
        <f t="shared" si="14"/>
        <v>0.47923722587934181</v>
      </c>
      <c r="AH45" s="256">
        <f t="shared" si="14"/>
        <v>0.4681266773583817</v>
      </c>
      <c r="AI45" s="256">
        <f t="shared" si="14"/>
        <v>0.45695412657488704</v>
      </c>
      <c r="AJ45" s="256">
        <f t="shared" si="14"/>
        <v>0.44573321214935413</v>
      </c>
      <c r="AK45" s="256">
        <f t="shared" si="14"/>
        <v>0.43447791780486927</v>
      </c>
    </row>
    <row r="46" spans="1:37">
      <c r="A46" s="256" t="str">
        <f t="shared" si="10"/>
        <v>Centrale au fioul</v>
      </c>
      <c r="B46" s="256">
        <f t="shared" ref="B46:Q52" si="15">B6/SUM(B$5:B$12)</f>
        <v>4.2142003254392758E-3</v>
      </c>
      <c r="C46" s="256">
        <f t="shared" si="15"/>
        <v>3.8372227711926223E-3</v>
      </c>
      <c r="D46" s="256">
        <f t="shared" si="15"/>
        <v>3.4862213611472738E-3</v>
      </c>
      <c r="E46" s="256">
        <f t="shared" si="15"/>
        <v>3.1596484317908367E-3</v>
      </c>
      <c r="F46" s="256">
        <f t="shared" si="15"/>
        <v>2.8560813281349991E-3</v>
      </c>
      <c r="G46" s="256">
        <f t="shared" si="15"/>
        <v>2.5742187468613476E-3</v>
      </c>
      <c r="H46" s="256">
        <f t="shared" si="15"/>
        <v>2.5739765853002483E-3</v>
      </c>
      <c r="I46" s="256">
        <f t="shared" si="15"/>
        <v>2.5727182144798162E-3</v>
      </c>
      <c r="J46" s="256">
        <f t="shared" si="15"/>
        <v>2.5704166516070021E-3</v>
      </c>
      <c r="K46" s="256">
        <f t="shared" si="15"/>
        <v>2.567045472066448E-3</v>
      </c>
      <c r="L46" s="256">
        <f t="shared" si="15"/>
        <v>2.5625789774046531E-3</v>
      </c>
      <c r="M46" s="256">
        <f t="shared" si="15"/>
        <v>2.5569923730225865E-3</v>
      </c>
      <c r="N46" s="256">
        <f t="shared" si="15"/>
        <v>2.5502619549111157E-3</v>
      </c>
      <c r="O46" s="256">
        <f t="shared" si="15"/>
        <v>2.5423653045728396E-3</v>
      </c>
      <c r="P46" s="256">
        <f t="shared" si="15"/>
        <v>2.5332814910716131E-3</v>
      </c>
      <c r="Q46" s="256">
        <f t="shared" si="15"/>
        <v>2.5229912789398803E-3</v>
      </c>
      <c r="R46" s="256">
        <f t="shared" si="14"/>
        <v>2.5114773404571102E-3</v>
      </c>
      <c r="S46" s="256">
        <f t="shared" si="14"/>
        <v>2.4987244705940398E-3</v>
      </c>
      <c r="T46" s="256">
        <f t="shared" si="14"/>
        <v>2.4847198027016541E-3</v>
      </c>
      <c r="U46" s="256">
        <f t="shared" si="14"/>
        <v>2.4694530228159283E-3</v>
      </c>
      <c r="V46" s="256">
        <f t="shared" si="14"/>
        <v>2.4529165802551129E-3</v>
      </c>
      <c r="W46" s="256">
        <f t="shared" si="14"/>
        <v>2.4351058920117951E-3</v>
      </c>
      <c r="X46" s="256">
        <f t="shared" si="14"/>
        <v>2.416019538293564E-3</v>
      </c>
      <c r="Y46" s="256">
        <f t="shared" si="14"/>
        <v>2.3956594464504106E-3</v>
      </c>
      <c r="Z46" s="256">
        <f t="shared" si="14"/>
        <v>2.3740310604504181E-3</v>
      </c>
      <c r="AA46" s="256">
        <f t="shared" si="14"/>
        <v>2.3511434930340775E-3</v>
      </c>
      <c r="AB46" s="256">
        <f t="shared" si="14"/>
        <v>2.3270096576972418E-3</v>
      </c>
      <c r="AC46" s="256">
        <f t="shared" si="14"/>
        <v>2.301646377728098E-3</v>
      </c>
      <c r="AD46" s="256">
        <f t="shared" si="14"/>
        <v>2.2750744696583111E-3</v>
      </c>
      <c r="AE46" s="256">
        <f t="shared" si="14"/>
        <v>2.2473187986848937E-3</v>
      </c>
      <c r="AF46" s="256">
        <f t="shared" si="14"/>
        <v>2.2184083038782254E-3</v>
      </c>
      <c r="AG46" s="256">
        <f t="shared" si="14"/>
        <v>2.1883759913118115E-3</v>
      </c>
      <c r="AH46" s="256">
        <f t="shared" si="14"/>
        <v>2.1572588936279126E-3</v>
      </c>
      <c r="AI46" s="256">
        <f t="shared" si="14"/>
        <v>2.1250979949850564E-3</v>
      </c>
      <c r="AJ46" s="256">
        <f t="shared" si="14"/>
        <v>2.091938120811617E-3</v>
      </c>
      <c r="AK46" s="256">
        <f t="shared" si="14"/>
        <v>2.0578277923052899E-3</v>
      </c>
    </row>
    <row r="47" spans="1:37">
      <c r="A47" s="256" t="str">
        <f t="shared" si="10"/>
        <v>Centrale au gaz naturel</v>
      </c>
      <c r="B47" s="256">
        <f t="shared" si="15"/>
        <v>2.8306790058192678E-2</v>
      </c>
      <c r="C47" s="256">
        <f t="shared" si="14"/>
        <v>3.1063401939867414E-2</v>
      </c>
      <c r="D47" s="256">
        <f t="shared" si="14"/>
        <v>3.4012888731209438E-2</v>
      </c>
      <c r="E47" s="256">
        <f t="shared" si="14"/>
        <v>3.7152143579755173E-2</v>
      </c>
      <c r="F47" s="256">
        <f t="shared" si="14"/>
        <v>4.0473637707032072E-2</v>
      </c>
      <c r="G47" s="256">
        <f t="shared" si="14"/>
        <v>4.3964655471828006E-2</v>
      </c>
      <c r="H47" s="256">
        <f t="shared" si="14"/>
        <v>4.4771718761932845E-2</v>
      </c>
      <c r="I47" s="256">
        <f t="shared" si="14"/>
        <v>4.5575594880481886E-2</v>
      </c>
      <c r="J47" s="256">
        <f t="shared" si="14"/>
        <v>4.6375072379017848E-2</v>
      </c>
      <c r="K47" s="256">
        <f t="shared" si="14"/>
        <v>4.7168882344904267E-2</v>
      </c>
      <c r="L47" s="256">
        <f t="shared" si="14"/>
        <v>4.7955699794069002E-2</v>
      </c>
      <c r="M47" s="256">
        <f t="shared" si="14"/>
        <v>4.873414555841793E-2</v>
      </c>
      <c r="N47" s="256">
        <f t="shared" si="14"/>
        <v>4.9502788700880693E-2</v>
      </c>
      <c r="O47" s="256">
        <f t="shared" si="14"/>
        <v>5.0260149488246995E-2</v>
      </c>
      <c r="P47" s="256">
        <f t="shared" si="14"/>
        <v>5.1004702948276914E-2</v>
      </c>
      <c r="Q47" s="256">
        <f t="shared" si="14"/>
        <v>5.1734883032970684E-2</v>
      </c>
      <c r="R47" s="256">
        <f t="shared" si="14"/>
        <v>5.2449087404328694E-2</v>
      </c>
      <c r="S47" s="256">
        <f t="shared" si="14"/>
        <v>5.3145682852403744E-2</v>
      </c>
      <c r="T47" s="256">
        <f t="shared" si="14"/>
        <v>5.3823011347955294E-2</v>
      </c>
      <c r="U47" s="256">
        <f t="shared" si="14"/>
        <v>5.4479396723592546E-2</v>
      </c>
      <c r="V47" s="256">
        <f t="shared" si="14"/>
        <v>5.5113151968006563E-2</v>
      </c>
      <c r="W47" s="256">
        <f t="shared" si="14"/>
        <v>5.5722587107840345E-2</v>
      </c>
      <c r="X47" s="256">
        <f t="shared" si="14"/>
        <v>5.6306017641062377E-2</v>
      </c>
      <c r="Y47" s="256">
        <f t="shared" si="14"/>
        <v>5.6861773474563719E-2</v>
      </c>
      <c r="Z47" s="256">
        <f t="shared" si="14"/>
        <v>5.7388208307296018E-2</v>
      </c>
      <c r="AA47" s="256">
        <f t="shared" si="14"/>
        <v>5.7883709388843435E-2</v>
      </c>
      <c r="AB47" s="256">
        <f t="shared" si="14"/>
        <v>5.8346707572144794E-2</v>
      </c>
      <c r="AC47" s="256">
        <f t="shared" si="14"/>
        <v>5.8775687568439788E-2</v>
      </c>
      <c r="AD47" s="256">
        <f t="shared" si="14"/>
        <v>5.9169198302716025E-2</v>
      </c>
      <c r="AE47" s="256">
        <f t="shared" si="14"/>
        <v>5.9525863259291642E-2</v>
      </c>
      <c r="AF47" s="256">
        <f t="shared" si="14"/>
        <v>5.9844390699997273E-2</v>
      </c>
      <c r="AG47" s="256">
        <f t="shared" si="14"/>
        <v>6.0123583632015323E-2</v>
      </c>
      <c r="AH47" s="256">
        <f t="shared" si="14"/>
        <v>6.0362349399067976E-2</v>
      </c>
      <c r="AI47" s="256">
        <f t="shared" si="14"/>
        <v>6.0559708768549131E-2</v>
      </c>
      <c r="AJ47" s="256">
        <f t="shared" si="14"/>
        <v>6.0714804388552604E-2</v>
      </c>
      <c r="AK47" s="256">
        <f t="shared" si="14"/>
        <v>6.0826908492681707E-2</v>
      </c>
    </row>
    <row r="48" spans="1:37">
      <c r="A48" s="256" t="str">
        <f t="shared" si="10"/>
        <v>Centrale au charbon</v>
      </c>
      <c r="B48" s="256">
        <f t="shared" si="15"/>
        <v>2.2139447605351092E-2</v>
      </c>
      <c r="C48" s="256">
        <f t="shared" si="14"/>
        <v>2.0123113322531874E-2</v>
      </c>
      <c r="D48" s="256">
        <f t="shared" si="14"/>
        <v>1.8249865788349019E-2</v>
      </c>
      <c r="E48" s="256">
        <f t="shared" si="14"/>
        <v>1.6510872851491335E-2</v>
      </c>
      <c r="F48" s="256">
        <f t="shared" si="14"/>
        <v>1.4898014624100502E-2</v>
      </c>
      <c r="G48" s="256">
        <f t="shared" si="14"/>
        <v>1.3403858375557319E-2</v>
      </c>
      <c r="H48" s="256">
        <f t="shared" si="14"/>
        <v>1.2685360903573504E-2</v>
      </c>
      <c r="I48" s="256">
        <f t="shared" si="14"/>
        <v>1.2000637321150523E-2</v>
      </c>
      <c r="J48" s="256">
        <f t="shared" si="14"/>
        <v>1.1348265021237525E-2</v>
      </c>
      <c r="K48" s="256">
        <f t="shared" si="14"/>
        <v>1.0726878442642186E-2</v>
      </c>
      <c r="L48" s="256">
        <f t="shared" si="14"/>
        <v>1.0135167031452896E-2</v>
      </c>
      <c r="M48" s="256">
        <f t="shared" si="14"/>
        <v>9.5718732256341692E-3</v>
      </c>
      <c r="N48" s="256">
        <f t="shared" si="14"/>
        <v>9.0357904667180949E-3</v>
      </c>
      <c r="O48" s="256">
        <f t="shared" si="14"/>
        <v>8.5257612421599186E-3</v>
      </c>
      <c r="P48" s="256">
        <f t="shared" si="14"/>
        <v>8.0406751616199108E-3</v>
      </c>
      <c r="Q48" s="256">
        <f t="shared" si="14"/>
        <v>7.5794670701714263E-3</v>
      </c>
      <c r="R48" s="256">
        <f t="shared" si="14"/>
        <v>7.141115201211687E-3</v>
      </c>
      <c r="S48" s="256">
        <f t="shared" si="14"/>
        <v>6.7246393716611586E-3</v>
      </c>
      <c r="T48" s="256">
        <f t="shared" si="14"/>
        <v>6.3290992218739857E-3</v>
      </c>
      <c r="U48" s="256">
        <f t="shared" si="14"/>
        <v>5.9535925025394213E-3</v>
      </c>
      <c r="V48" s="256">
        <f t="shared" si="14"/>
        <v>5.5972534107262585E-3</v>
      </c>
      <c r="W48" s="256">
        <f t="shared" si="14"/>
        <v>5.2592509771026905E-3</v>
      </c>
      <c r="X48" s="256">
        <f t="shared" si="14"/>
        <v>4.9387875062462481E-3</v>
      </c>
      <c r="Y48" s="256">
        <f t="shared" si="14"/>
        <v>4.6350970718363549E-3</v>
      </c>
      <c r="Z48" s="256">
        <f t="shared" si="14"/>
        <v>4.3474440683897459E-3</v>
      </c>
      <c r="AA48" s="256">
        <f t="shared" si="14"/>
        <v>4.0751218210509236E-3</v>
      </c>
      <c r="AB48" s="256">
        <f t="shared" si="14"/>
        <v>3.8174512547812988E-3</v>
      </c>
      <c r="AC48" s="256">
        <f t="shared" si="14"/>
        <v>3.5737796240975775E-3</v>
      </c>
      <c r="AD48" s="256">
        <f t="shared" si="14"/>
        <v>3.3434793042893714E-3</v>
      </c>
      <c r="AE48" s="256">
        <f t="shared" si="14"/>
        <v>3.1259466447959628E-3</v>
      </c>
      <c r="AF48" s="256">
        <f t="shared" si="14"/>
        <v>2.9206008851421382E-3</v>
      </c>
      <c r="AG48" s="256">
        <f t="shared" si="14"/>
        <v>2.7268831335236611E-3</v>
      </c>
      <c r="AH48" s="256">
        <f t="shared" si="14"/>
        <v>2.5442554077966663E-3</v>
      </c>
      <c r="AI48" s="256">
        <f t="shared" si="14"/>
        <v>2.3721997382654672E-3</v>
      </c>
      <c r="AJ48" s="256">
        <f t="shared" si="14"/>
        <v>2.2102173312851647E-3</v>
      </c>
      <c r="AK48" s="256">
        <f t="shared" si="14"/>
        <v>2.0578277923052899E-3</v>
      </c>
    </row>
    <row r="49" spans="1:37">
      <c r="A49" s="256" t="str">
        <f t="shared" si="10"/>
        <v xml:space="preserve">Eolien </v>
      </c>
      <c r="B49" s="256">
        <f t="shared" si="15"/>
        <v>3.66890844295331E-2</v>
      </c>
      <c r="C49" s="256">
        <f t="shared" si="14"/>
        <v>4.1917166371513485E-2</v>
      </c>
      <c r="D49" s="256">
        <f t="shared" si="14"/>
        <v>4.7784062353658174E-2</v>
      </c>
      <c r="E49" s="256">
        <f t="shared" si="14"/>
        <v>5.434005535688697E-2</v>
      </c>
      <c r="F49" s="256">
        <f t="shared" si="14"/>
        <v>6.163183378182277E-2</v>
      </c>
      <c r="G49" s="256">
        <f t="shared" si="14"/>
        <v>6.9700063552898067E-2</v>
      </c>
      <c r="H49" s="256">
        <f t="shared" si="14"/>
        <v>7.3260788535653543E-2</v>
      </c>
      <c r="I49" s="256">
        <f t="shared" si="14"/>
        <v>7.6973013531573084E-2</v>
      </c>
      <c r="J49" s="256">
        <f t="shared" si="14"/>
        <v>8.0840513970203948E-2</v>
      </c>
      <c r="K49" s="256">
        <f t="shared" si="14"/>
        <v>8.4866906777734938E-2</v>
      </c>
      <c r="L49" s="256">
        <f t="shared" si="14"/>
        <v>8.9055622183826413E-2</v>
      </c>
      <c r="M49" s="256">
        <f t="shared" si="14"/>
        <v>9.3409874233645732E-2</v>
      </c>
      <c r="N49" s="256">
        <f t="shared" si="14"/>
        <v>9.7932630149517558E-2</v>
      </c>
      <c r="O49" s="256">
        <f t="shared" si="14"/>
        <v>0.10262657871838082</v>
      </c>
      <c r="P49" s="256">
        <f t="shared" si="14"/>
        <v>0.10749409791431827</v>
      </c>
      <c r="Q49" s="256">
        <f t="shared" si="14"/>
        <v>0.11253722199928298</v>
      </c>
      <c r="R49" s="256">
        <f t="shared" si="14"/>
        <v>0.11775760837918491</v>
      </c>
      <c r="S49" s="256">
        <f t="shared" si="14"/>
        <v>0.12315650452600918</v>
      </c>
      <c r="T49" s="256">
        <f t="shared" si="14"/>
        <v>0.12873471530881833</v>
      </c>
      <c r="U49" s="256">
        <f t="shared" si="14"/>
        <v>0.13449257110645238</v>
      </c>
      <c r="V49" s="256">
        <f t="shared" si="14"/>
        <v>0.14042989710152901</v>
      </c>
      <c r="W49" s="256">
        <f t="shared" si="14"/>
        <v>0.14654598417795509</v>
      </c>
      <c r="X49" s="256">
        <f t="shared" si="14"/>
        <v>0.15283956186156103</v>
      </c>
      <c r="Y49" s="256">
        <f t="shared" si="14"/>
        <v>0.15930877375463712</v>
      </c>
      <c r="Z49" s="256">
        <f t="shared" si="14"/>
        <v>0.165951155919113</v>
      </c>
      <c r="AA49" s="256">
        <f t="shared" si="14"/>
        <v>0.17276361865897621</v>
      </c>
      <c r="AB49" s="256">
        <f t="shared" si="14"/>
        <v>0.1797424321395085</v>
      </c>
      <c r="AC49" s="256">
        <f t="shared" si="14"/>
        <v>0.1868832162584235</v>
      </c>
      <c r="AD49" s="256">
        <f t="shared" si="14"/>
        <v>0.19418093515162885</v>
      </c>
      <c r="AE49" s="256">
        <f t="shared" si="14"/>
        <v>0.20162989667395928</v>
      </c>
      <c r="AF49" s="256">
        <f t="shared" si="14"/>
        <v>0.20922375714298305</v>
      </c>
      <c r="AG49" s="256">
        <f t="shared" si="14"/>
        <v>0.21695553157230704</v>
      </c>
      <c r="AH49" s="256">
        <f t="shared" si="14"/>
        <v>0.22481760955047406</v>
      </c>
      <c r="AI49" s="256">
        <f t="shared" si="14"/>
        <v>0.23280177684364381</v>
      </c>
      <c r="AJ49" s="256">
        <f t="shared" si="14"/>
        <v>0.24089924271618615</v>
      </c>
      <c r="AK49" s="256">
        <f t="shared" si="14"/>
        <v>0.24910067287479173</v>
      </c>
    </row>
    <row r="50" spans="1:37">
      <c r="A50" s="256" t="str">
        <f t="shared" si="10"/>
        <v>Photovoltaïque</v>
      </c>
      <c r="B50" s="256">
        <f t="shared" si="15"/>
        <v>1.2867261837845794E-2</v>
      </c>
      <c r="C50" s="256">
        <f t="shared" si="14"/>
        <v>1.516919041801096E-2</v>
      </c>
      <c r="D50" s="256">
        <f t="shared" si="14"/>
        <v>1.7843283566196261E-2</v>
      </c>
      <c r="E50" s="256">
        <f t="shared" si="14"/>
        <v>2.0937894522395105E-2</v>
      </c>
      <c r="F50" s="256">
        <f t="shared" si="14"/>
        <v>2.4504127483108547E-2</v>
      </c>
      <c r="G50" s="256">
        <f t="shared" si="14"/>
        <v>2.8594897867855615E-2</v>
      </c>
      <c r="H50" s="256">
        <f t="shared" si="14"/>
        <v>3.0116849994671138E-2</v>
      </c>
      <c r="I50" s="256">
        <f t="shared" si="14"/>
        <v>3.1707282941737129E-2</v>
      </c>
      <c r="J50" s="256">
        <f t="shared" si="14"/>
        <v>3.336815434944284E-2</v>
      </c>
      <c r="K50" s="256">
        <f t="shared" si="14"/>
        <v>3.5101370580391256E-2</v>
      </c>
      <c r="L50" s="256">
        <f t="shared" si="14"/>
        <v>3.6908774437897897E-2</v>
      </c>
      <c r="M50" s="256">
        <f t="shared" si="14"/>
        <v>3.879213220036614E-2</v>
      </c>
      <c r="N50" s="256">
        <f t="shared" si="14"/>
        <v>4.0753120022941819E-2</v>
      </c>
      <c r="O50" s="256">
        <f t="shared" si="14"/>
        <v>4.2793309772012823E-2</v>
      </c>
      <c r="P50" s="256">
        <f t="shared" si="14"/>
        <v>4.4914154373072827E-2</v>
      </c>
      <c r="Q50" s="256">
        <f t="shared" si="14"/>
        <v>4.711697276801418E-2</v>
      </c>
      <c r="R50" s="256">
        <f t="shared" si="14"/>
        <v>4.9402934593808123E-2</v>
      </c>
      <c r="S50" s="256">
        <f t="shared" si="14"/>
        <v>5.1773044710477868E-2</v>
      </c>
      <c r="T50" s="256">
        <f t="shared" si="14"/>
        <v>5.4228127721932411E-2</v>
      </c>
      <c r="U50" s="256">
        <f t="shared" si="14"/>
        <v>5.67688126482227E-2</v>
      </c>
      <c r="V50" s="256">
        <f t="shared" si="14"/>
        <v>5.9395517921686097E-2</v>
      </c>
      <c r="W50" s="256">
        <f t="shared" si="14"/>
        <v>6.2108436891809428E-2</v>
      </c>
      <c r="X50" s="256">
        <f t="shared" si="14"/>
        <v>6.4907524033993552E-2</v>
      </c>
      <c r="Y50" s="256">
        <f t="shared" si="14"/>
        <v>6.7792482065265752E-2</v>
      </c>
      <c r="Z50" s="256">
        <f t="shared" si="14"/>
        <v>7.0762750174891531E-2</v>
      </c>
      <c r="AA50" s="256">
        <f t="shared" si="14"/>
        <v>7.3817493579339491E-2</v>
      </c>
      <c r="AB50" s="256">
        <f t="shared" si="14"/>
        <v>7.6955594608753494E-2</v>
      </c>
      <c r="AC50" s="256">
        <f t="shared" si="14"/>
        <v>8.0175645525647821E-2</v>
      </c>
      <c r="AD50" s="256">
        <f t="shared" si="14"/>
        <v>8.3475943265714461E-2</v>
      </c>
      <c r="AE50" s="256">
        <f t="shared" si="14"/>
        <v>8.6854486275262988E-2</v>
      </c>
      <c r="AF50" s="256">
        <f t="shared" si="14"/>
        <v>9.0308973599877343E-2</v>
      </c>
      <c r="AG50" s="256">
        <f t="shared" si="14"/>
        <v>9.3836806354468366E-2</v>
      </c>
      <c r="AH50" s="256">
        <f t="shared" si="14"/>
        <v>9.7435091676275509E-2</v>
      </c>
      <c r="AI50" s="256">
        <f t="shared" si="14"/>
        <v>0.10110064922991734</v>
      </c>
      <c r="AJ50" s="256">
        <f t="shared" si="14"/>
        <v>0.10483002029784688</v>
      </c>
      <c r="AK50" s="256">
        <f t="shared" si="14"/>
        <v>0.10861947945121732</v>
      </c>
    </row>
    <row r="51" spans="1:37">
      <c r="A51" s="256" t="str">
        <f t="shared" si="10"/>
        <v>Hydroélectricité et énergies marine</v>
      </c>
      <c r="B51" s="256">
        <f t="shared" si="15"/>
        <v>9.1861816607215388E-2</v>
      </c>
      <c r="C51" s="256">
        <f t="shared" si="14"/>
        <v>9.5526416499125785E-2</v>
      </c>
      <c r="D51" s="256">
        <f t="shared" si="14"/>
        <v>9.9116978139821788E-2</v>
      </c>
      <c r="E51" s="256">
        <f t="shared" si="14"/>
        <v>0.10259317620636565</v>
      </c>
      <c r="F51" s="256">
        <f t="shared" si="14"/>
        <v>0.10590998421350113</v>
      </c>
      <c r="G51" s="256">
        <f t="shared" si="14"/>
        <v>0.10901804812119952</v>
      </c>
      <c r="H51" s="256">
        <f t="shared" si="14"/>
        <v>0.11000132862323347</v>
      </c>
      <c r="I51" s="256">
        <f t="shared" si="14"/>
        <v>0.11094965228101562</v>
      </c>
      <c r="J51" s="256">
        <f t="shared" si="14"/>
        <v>0.11186072651027762</v>
      </c>
      <c r="K51" s="256">
        <f t="shared" si="14"/>
        <v>0.112732219306608</v>
      </c>
      <c r="L51" s="256">
        <f t="shared" si="14"/>
        <v>0.11356176650603542</v>
      </c>
      <c r="M51" s="256">
        <f t="shared" si="14"/>
        <v>0.11434697989515133</v>
      </c>
      <c r="N51" s="256">
        <f t="shared" si="14"/>
        <v>0.11508545618172906</v>
      </c>
      <c r="O51" s="256">
        <f t="shared" si="14"/>
        <v>0.11577478682725045</v>
      </c>
      <c r="P51" s="256">
        <f t="shared" si="14"/>
        <v>0.11641256873190735</v>
      </c>
      <c r="Q51" s="256">
        <f t="shared" si="14"/>
        <v>0.11699641575054621</v>
      </c>
      <c r="R51" s="256">
        <f t="shared" si="14"/>
        <v>0.11752397100473956</v>
      </c>
      <c r="S51" s="256">
        <f t="shared" si="14"/>
        <v>0.11799291994182394</v>
      </c>
      <c r="T51" s="256">
        <f t="shared" si="14"/>
        <v>0.11840100407650279</v>
      </c>
      <c r="U51" s="256">
        <f t="shared" si="14"/>
        <v>0.11874603533468872</v>
      </c>
      <c r="V51" s="256">
        <f t="shared" si="14"/>
        <v>0.11902591090292121</v>
      </c>
      <c r="W51" s="256">
        <f t="shared" si="14"/>
        <v>0.11923862847025454</v>
      </c>
      <c r="X51" s="256">
        <f t="shared" si="14"/>
        <v>0.11938230173332927</v>
      </c>
      <c r="Y51" s="256">
        <f t="shared" si="14"/>
        <v>0.11945517601981862</v>
      </c>
      <c r="Z51" s="256">
        <f t="shared" si="14"/>
        <v>0.11945564387101756</v>
      </c>
      <c r="AA51" s="256">
        <f t="shared" si="14"/>
        <v>0.11938226041147236</v>
      </c>
      <c r="AB51" s="256">
        <f t="shared" si="14"/>
        <v>0.11923375832270397</v>
      </c>
      <c r="AC51" s="256">
        <f t="shared" si="14"/>
        <v>0.11900906222972281</v>
      </c>
      <c r="AD51" s="256">
        <f t="shared" si="14"/>
        <v>0.11870730230361218</v>
      </c>
      <c r="AE51" s="256">
        <f t="shared" si="14"/>
        <v>0.11832782688137189</v>
      </c>
      <c r="AF51" s="256">
        <f t="shared" si="14"/>
        <v>0.11787021390581691</v>
      </c>
      <c r="AG51" s="256">
        <f t="shared" si="14"/>
        <v>0.11733428099387778</v>
      </c>
      <c r="AH51" s="256">
        <f t="shared" si="14"/>
        <v>0.11672009395133633</v>
      </c>
      <c r="AI51" s="256">
        <f t="shared" si="14"/>
        <v>0.11602797356590852</v>
      </c>
      <c r="AJ51" s="256">
        <f t="shared" si="14"/>
        <v>0.11525850052860588</v>
      </c>
      <c r="AK51" s="256">
        <f t="shared" si="14"/>
        <v>0.11441251835528227</v>
      </c>
    </row>
    <row r="52" spans="1:37">
      <c r="A52" s="256" t="str">
        <f t="shared" si="10"/>
        <v>Autres (méthanisation, UIOM, bois, géothermie, énergie fatale, PAC aérothermique)</v>
      </c>
      <c r="B52" s="256">
        <f t="shared" si="15"/>
        <v>8.7401088555909782E-3</v>
      </c>
      <c r="C52" s="256">
        <f t="shared" si="14"/>
        <v>1.0133581600631178E-2</v>
      </c>
      <c r="D52" s="256">
        <f t="shared" si="14"/>
        <v>1.1723173869444025E-2</v>
      </c>
      <c r="E52" s="256">
        <f t="shared" si="14"/>
        <v>1.352923683345281E-2</v>
      </c>
      <c r="F52" s="256">
        <f t="shared" si="14"/>
        <v>1.5572179376387956E-2</v>
      </c>
      <c r="G52" s="256">
        <f t="shared" si="14"/>
        <v>1.7871811167409758E-2</v>
      </c>
      <c r="H52" s="256">
        <f t="shared" si="14"/>
        <v>1.8285118399269457E-2</v>
      </c>
      <c r="I52" s="256">
        <f t="shared" si="14"/>
        <v>1.8700597063860035E-2</v>
      </c>
      <c r="J52" s="256">
        <f t="shared" si="14"/>
        <v>1.9117752900478121E-2</v>
      </c>
      <c r="K52" s="256">
        <f t="shared" si="14"/>
        <v>1.9536058465017239E-2</v>
      </c>
      <c r="L52" s="256">
        <f t="shared" si="14"/>
        <v>1.9954953042168849E-2</v>
      </c>
      <c r="M52" s="256">
        <f t="shared" si="14"/>
        <v>2.0373842771849664E-2</v>
      </c>
      <c r="N52" s="256">
        <f t="shared" si="14"/>
        <v>2.0792101010652122E-2</v>
      </c>
      <c r="O52" s="256">
        <f t="shared" si="14"/>
        <v>2.1209068948580132E-2</v>
      </c>
      <c r="P52" s="256">
        <f t="shared" si="14"/>
        <v>2.1624056500390666E-2</v>
      </c>
      <c r="Q52" s="256">
        <f t="shared" si="14"/>
        <v>2.2036343489473472E-2</v>
      </c>
      <c r="R52" s="256">
        <f t="shared" si="14"/>
        <v>2.2445181140331918E-2</v>
      </c>
      <c r="S52" s="256">
        <f t="shared" si="14"/>
        <v>2.284979389334918E-2</v>
      </c>
      <c r="T52" s="256">
        <f t="shared" si="14"/>
        <v>2.3249381552618648E-2</v>
      </c>
      <c r="U52" s="256">
        <f t="shared" si="14"/>
        <v>2.3643121774177437E-2</v>
      </c>
      <c r="V52" s="256">
        <f t="shared" si="14"/>
        <v>2.4030172898014453E-2</v>
      </c>
      <c r="W52" s="256">
        <f t="shared" si="14"/>
        <v>2.4409677122751959E-2</v>
      </c>
      <c r="X52" s="256">
        <f t="shared" si="14"/>
        <v>2.478076401696034E-2</v>
      </c>
      <c r="Y52" s="256">
        <f t="shared" si="14"/>
        <v>2.5142554355717821E-2</v>
      </c>
      <c r="Z52" s="256">
        <f t="shared" si="14"/>
        <v>2.5494164265346713E-2</v>
      </c>
      <c r="AA52" s="256">
        <f t="shared" si="14"/>
        <v>2.5834709653340424E-2</v>
      </c>
      <c r="AB52" s="256">
        <f t="shared" ref="AB52:AK52" si="16">AB12/SUM(AB$5:AB$12)</f>
        <v>2.6163310894455453E-2</v>
      </c>
      <c r="AC52" s="256">
        <f t="shared" si="16"/>
        <v>2.6479097737909657E-2</v>
      </c>
      <c r="AD52" s="256">
        <f t="shared" si="16"/>
        <v>2.6781214394748416E-2</v>
      </c>
      <c r="AE52" s="256">
        <f t="shared" si="16"/>
        <v>2.7068824758867703E-2</v>
      </c>
      <c r="AF52" s="256">
        <f t="shared" si="16"/>
        <v>2.7341117710081703E-2</v>
      </c>
      <c r="AG52" s="256">
        <f t="shared" si="16"/>
        <v>2.7597312443154384E-2</v>
      </c>
      <c r="AH52" s="256">
        <f t="shared" si="16"/>
        <v>2.7836663763039851E-2</v>
      </c>
      <c r="AI52" s="256">
        <f t="shared" si="16"/>
        <v>2.8058467283843591E-2</v>
      </c>
      <c r="AJ52" s="256">
        <f t="shared" si="16"/>
        <v>2.826206446735758E-2</v>
      </c>
      <c r="AK52" s="256">
        <f t="shared" si="16"/>
        <v>2.8446847436547035E-2</v>
      </c>
    </row>
    <row r="53" spans="1:37">
      <c r="A53" s="256" t="str">
        <f t="shared" si="10"/>
        <v>Gaz naturel (réseau de gaz et de chaleur)</v>
      </c>
      <c r="B53" s="256">
        <f>B13/SUM(B$13:B$18)</f>
        <v>0.85536498094144553</v>
      </c>
      <c r="C53" s="256">
        <f t="shared" ref="C53:AK58" si="17">C13/SUM(C$13:C$18)</f>
        <v>0.82919865600336584</v>
      </c>
      <c r="D53" s="256">
        <f t="shared" si="17"/>
        <v>0.7978561283877057</v>
      </c>
      <c r="E53" s="256">
        <f t="shared" si="17"/>
        <v>0.76080142575013265</v>
      </c>
      <c r="F53" s="256">
        <f t="shared" si="17"/>
        <v>0.71772633802717345</v>
      </c>
      <c r="G53" s="256">
        <f t="shared" si="17"/>
        <v>0.66868320827408589</v>
      </c>
      <c r="H53" s="256">
        <f t="shared" si="17"/>
        <v>0.66851039404377233</v>
      </c>
      <c r="I53" s="256">
        <f t="shared" si="17"/>
        <v>0.66815501459807891</v>
      </c>
      <c r="J53" s="256">
        <f t="shared" si="17"/>
        <v>0.66760519388063799</v>
      </c>
      <c r="K53" s="256">
        <f t="shared" si="17"/>
        <v>0.66684818167109738</v>
      </c>
      <c r="L53" s="256">
        <f t="shared" si="17"/>
        <v>0.66587028877245524</v>
      </c>
      <c r="M53" s="256">
        <f t="shared" si="17"/>
        <v>0.66465681949282862</v>
      </c>
      <c r="N53" s="256">
        <f t="shared" si="17"/>
        <v>0.66319200211605389</v>
      </c>
      <c r="O53" s="256">
        <f t="shared" si="17"/>
        <v>0.66145891835994286</v>
      </c>
      <c r="P53" s="256">
        <f t="shared" si="17"/>
        <v>0.65943943320272913</v>
      </c>
      <c r="Q53" s="256">
        <f t="shared" si="17"/>
        <v>0.65711412693067939</v>
      </c>
      <c r="R53" s="256">
        <f t="shared" si="17"/>
        <v>0.65446223183711538</v>
      </c>
      <c r="S53" s="256">
        <f t="shared" si="17"/>
        <v>0.65146157669899529</v>
      </c>
      <c r="T53" s="256">
        <f t="shared" si="17"/>
        <v>0.64808854298405549</v>
      </c>
      <c r="U53" s="256">
        <f t="shared" si="17"/>
        <v>0.64431803770817742</v>
      </c>
      <c r="V53" s="256">
        <f t="shared" si="17"/>
        <v>0.64012348897189808</v>
      </c>
      <c r="W53" s="256">
        <f t="shared" si="17"/>
        <v>0.63547687144982057</v>
      </c>
      <c r="X53" s="256">
        <f t="shared" si="17"/>
        <v>0.63034877046557647</v>
      </c>
      <c r="Y53" s="256">
        <f t="shared" si="17"/>
        <v>0.62470849471582723</v>
      </c>
      <c r="Z53" s="256">
        <f t="shared" si="17"/>
        <v>0.61852424913966619</v>
      </c>
      <c r="AA53" s="256">
        <f t="shared" si="17"/>
        <v>0.61176338075872205</v>
      </c>
      <c r="AB53" s="256">
        <f t="shared" si="17"/>
        <v>0.60439271138771034</v>
      </c>
      <c r="AC53" s="256">
        <f t="shared" si="17"/>
        <v>0.59637897173203414</v>
      </c>
      <c r="AD53" s="256">
        <f t="shared" si="17"/>
        <v>0.58768935128742439</v>
      </c>
      <c r="AE53" s="256">
        <f t="shared" si="17"/>
        <v>0.57829217731781257</v>
      </c>
      <c r="AF53" s="256">
        <f t="shared" si="17"/>
        <v>0.56815773364379307</v>
      </c>
      <c r="AG53" s="256">
        <f t="shared" si="17"/>
        <v>0.55725922563030494</v>
      </c>
      <c r="AH53" s="256">
        <f t="shared" si="17"/>
        <v>0.54557389123647182</v>
      </c>
      <c r="AI53" s="256">
        <f t="shared" si="17"/>
        <v>0.53308424897588869</v>
      </c>
      <c r="AJ53" s="256">
        <f t="shared" si="17"/>
        <v>0.51977946198563141</v>
      </c>
      <c r="AK53" s="256">
        <f t="shared" si="17"/>
        <v>0.50565678323848373</v>
      </c>
    </row>
    <row r="54" spans="1:37">
      <c r="A54" s="256" t="str">
        <f t="shared" si="10"/>
        <v>Bois énergie direct et réseau chaleur</v>
      </c>
      <c r="B54" s="256">
        <f t="shared" ref="B54:Q58" si="18">B14/SUM(B$13:B$18)</f>
        <v>9.0029160926302282E-2</v>
      </c>
      <c r="C54" s="256">
        <f t="shared" si="18"/>
        <v>0.11440605874720237</v>
      </c>
      <c r="D54" s="256">
        <f t="shared" si="18"/>
        <v>0.14430245470341413</v>
      </c>
      <c r="E54" s="256">
        <f t="shared" si="18"/>
        <v>0.18037616537758713</v>
      </c>
      <c r="F54" s="256">
        <f t="shared" si="18"/>
        <v>0.22306190886751104</v>
      </c>
      <c r="G54" s="256">
        <f t="shared" si="18"/>
        <v>0.27242417655976187</v>
      </c>
      <c r="H54" s="256">
        <f t="shared" si="18"/>
        <v>0.26913757772420621</v>
      </c>
      <c r="I54" s="256">
        <f t="shared" si="18"/>
        <v>0.26581798001258039</v>
      </c>
      <c r="J54" s="256">
        <f t="shared" si="18"/>
        <v>0.26246280983515208</v>
      </c>
      <c r="K54" s="256">
        <f t="shared" si="18"/>
        <v>0.25906931951716883</v>
      </c>
      <c r="L54" s="256">
        <f t="shared" si="18"/>
        <v>0.25563457708461573</v>
      </c>
      <c r="M54" s="256">
        <f t="shared" si="18"/>
        <v>0.2521554562095743</v>
      </c>
      <c r="N54" s="256">
        <f t="shared" si="18"/>
        <v>0.24862862660422697</v>
      </c>
      <c r="O54" s="256">
        <f t="shared" si="18"/>
        <v>0.24505054523861786</v>
      </c>
      <c r="P54" s="256">
        <f t="shared" si="18"/>
        <v>0.2414174488610511</v>
      </c>
      <c r="Q54" s="256">
        <f t="shared" si="18"/>
        <v>0.23772534842365842</v>
      </c>
      <c r="R54" s="256">
        <f t="shared" si="17"/>
        <v>0.23397002616116511</v>
      </c>
      <c r="S54" s="256">
        <f t="shared" si="17"/>
        <v>0.23014703623965177</v>
      </c>
      <c r="T54" s="256">
        <f t="shared" si="17"/>
        <v>0.22625171008466044</v>
      </c>
      <c r="U54" s="256">
        <f t="shared" si="17"/>
        <v>0.22227916771336781</v>
      </c>
      <c r="V54" s="256">
        <f t="shared" si="17"/>
        <v>0.21822433663059101</v>
      </c>
      <c r="W54" s="256">
        <f t="shared" si="17"/>
        <v>0.21408198009684076</v>
      </c>
      <c r="X54" s="256">
        <f t="shared" si="17"/>
        <v>0.2098467368279838</v>
      </c>
      <c r="Y54" s="256">
        <f t="shared" si="17"/>
        <v>0.20551317442423336</v>
      </c>
      <c r="Z54" s="256">
        <f t="shared" si="17"/>
        <v>0.20107585902802008</v>
      </c>
      <c r="AA54" s="256">
        <f t="shared" si="17"/>
        <v>0.19652944384410923</v>
      </c>
      <c r="AB54" s="256">
        <f t="shared" si="17"/>
        <v>0.19186877917959488</v>
      </c>
      <c r="AC54" s="256">
        <f t="shared" si="17"/>
        <v>0.18708904652394465</v>
      </c>
      <c r="AD54" s="256">
        <f t="shared" si="17"/>
        <v>0.18218591882757479</v>
      </c>
      <c r="AE54" s="256">
        <f t="shared" si="17"/>
        <v>0.17715574848060672</v>
      </c>
      <c r="AF54" s="256">
        <f t="shared" si="17"/>
        <v>0.17199578346665845</v>
      </c>
      <c r="AG54" s="256">
        <f t="shared" si="17"/>
        <v>0.16670441069892186</v>
      </c>
      <c r="AH54" s="256">
        <f t="shared" si="17"/>
        <v>0.16128142358250971</v>
      </c>
      <c r="AI54" s="256">
        <f t="shared" si="17"/>
        <v>0.15572830836596038</v>
      </c>
      <c r="AJ54" s="256">
        <f t="shared" si="17"/>
        <v>0.15004854087715072</v>
      </c>
      <c r="AK54" s="256">
        <f t="shared" si="17"/>
        <v>0.14424788189285151</v>
      </c>
    </row>
    <row r="55" spans="1:37">
      <c r="A55" s="256" t="str">
        <f t="shared" si="10"/>
        <v>Biogaz, biométhane, BtG et H2 direct et réseau de chaleur</v>
      </c>
      <c r="B55" s="256">
        <f t="shared" si="18"/>
        <v>2.9446436570355807E-3</v>
      </c>
      <c r="C55" s="256">
        <f t="shared" si="17"/>
        <v>2.8585169236088562E-3</v>
      </c>
      <c r="D55" s="256">
        <f t="shared" si="17"/>
        <v>2.7542772899259685E-3</v>
      </c>
      <c r="E55" s="256">
        <f t="shared" si="17"/>
        <v>2.6299972324151733E-3</v>
      </c>
      <c r="F55" s="256">
        <f t="shared" si="17"/>
        <v>2.4845271961251693E-3</v>
      </c>
      <c r="G55" s="256">
        <f t="shared" si="17"/>
        <v>2.317961330658265E-3</v>
      </c>
      <c r="H55" s="256">
        <f t="shared" si="17"/>
        <v>2.670058661955682E-3</v>
      </c>
      <c r="I55" s="256">
        <f t="shared" si="17"/>
        <v>3.0747990698563182E-3</v>
      </c>
      <c r="J55" s="256">
        <f t="shared" si="17"/>
        <v>3.5398599940334443E-3</v>
      </c>
      <c r="K55" s="256">
        <f t="shared" si="17"/>
        <v>4.0739924503318658E-3</v>
      </c>
      <c r="L55" s="256">
        <f t="shared" si="17"/>
        <v>4.6871597485934891E-3</v>
      </c>
      <c r="M55" s="256">
        <f t="shared" si="17"/>
        <v>5.3906911863424844E-3</v>
      </c>
      <c r="N55" s="256">
        <f t="shared" si="17"/>
        <v>6.1974515219141175E-3</v>
      </c>
      <c r="O55" s="256">
        <f t="shared" si="17"/>
        <v>7.1220268134460536E-3</v>
      </c>
      <c r="P55" s="256">
        <f t="shared" si="17"/>
        <v>8.1809268883723408E-3</v>
      </c>
      <c r="Q55" s="256">
        <f t="shared" si="17"/>
        <v>9.3928042536578771E-3</v>
      </c>
      <c r="R55" s="256">
        <f t="shared" si="17"/>
        <v>1.0778688637088078E-2</v>
      </c>
      <c r="S55" s="256">
        <f t="shared" si="17"/>
        <v>1.236223552670831E-2</v>
      </c>
      <c r="T55" s="256">
        <f t="shared" si="17"/>
        <v>1.4169986006820122E-2</v>
      </c>
      <c r="U55" s="256">
        <f t="shared" si="17"/>
        <v>1.6231633829448311E-2</v>
      </c>
      <c r="V55" s="256">
        <f t="shared" si="17"/>
        <v>1.8580293963684404E-2</v>
      </c>
      <c r="W55" s="256">
        <f t="shared" si="17"/>
        <v>2.1252764788506698E-2</v>
      </c>
      <c r="X55" s="256">
        <f t="shared" si="17"/>
        <v>2.4289773603019378E-2</v>
      </c>
      <c r="Y55" s="256">
        <f t="shared" si="17"/>
        <v>2.7736192204076957E-2</v>
      </c>
      <c r="Z55" s="256">
        <f t="shared" si="17"/>
        <v>3.1641205936059361E-2</v>
      </c>
      <c r="AA55" s="256">
        <f t="shared" si="17"/>
        <v>3.6058415905793229E-2</v>
      </c>
      <c r="AB55" s="256">
        <f t="shared" si="17"/>
        <v>4.104585009414867E-2</v>
      </c>
      <c r="AC55" s="256">
        <f t="shared" si="17"/>
        <v>4.6665855085575782E-2</v>
      </c>
      <c r="AD55" s="256">
        <f t="shared" si="17"/>
        <v>5.2984836386239707E-2</v>
      </c>
      <c r="AE55" s="256">
        <f t="shared" si="17"/>
        <v>6.0072812248851915E-2</v>
      </c>
      <c r="AF55" s="256">
        <f t="shared" si="17"/>
        <v>6.8002744152485722E-2</v>
      </c>
      <c r="AG55" s="256">
        <f t="shared" si="17"/>
        <v>7.6849607332973316E-2</v>
      </c>
      <c r="AH55" s="256">
        <f t="shared" si="17"/>
        <v>8.6689167888712129E-2</v>
      </c>
      <c r="AI55" s="256">
        <f t="shared" si="17"/>
        <v>9.7596439940099949E-2</v>
      </c>
      <c r="AJ55" s="256">
        <f t="shared" si="17"/>
        <v>0.10964380801981677</v>
      </c>
      <c r="AK55" s="256">
        <f t="shared" si="17"/>
        <v>0.12289881706453329</v>
      </c>
    </row>
    <row r="56" spans="1:37">
      <c r="A56" s="256" t="str">
        <f t="shared" si="10"/>
        <v>UIOM et déchets directs</v>
      </c>
      <c r="B56" s="256">
        <f t="shared" si="18"/>
        <v>1.3290894850449084E-2</v>
      </c>
      <c r="C56" s="256">
        <f t="shared" si="17"/>
        <v>1.3343390609618236E-2</v>
      </c>
      <c r="D56" s="256">
        <f t="shared" si="17"/>
        <v>1.32964911649197E-2</v>
      </c>
      <c r="E56" s="256">
        <f t="shared" si="17"/>
        <v>1.3130722883958019E-2</v>
      </c>
      <c r="F56" s="256">
        <f t="shared" si="17"/>
        <v>1.2828652928260638E-2</v>
      </c>
      <c r="G56" s="256">
        <f t="shared" si="17"/>
        <v>1.2377913505715136E-2</v>
      </c>
      <c r="H56" s="256">
        <f t="shared" si="17"/>
        <v>1.2780658063442554E-2</v>
      </c>
      <c r="I56" s="256">
        <f t="shared" si="17"/>
        <v>1.319290118221427E-2</v>
      </c>
      <c r="J56" s="256">
        <f t="shared" si="17"/>
        <v>1.3614472205982208E-2</v>
      </c>
      <c r="K56" s="256">
        <f t="shared" si="17"/>
        <v>1.4045140880161591E-2</v>
      </c>
      <c r="L56" s="256">
        <f t="shared" si="17"/>
        <v>1.448460949417542E-2</v>
      </c>
      <c r="M56" s="256">
        <f t="shared" si="17"/>
        <v>1.4932504169583735E-2</v>
      </c>
      <c r="N56" s="256">
        <f t="shared" si="17"/>
        <v>1.5388365229128093E-2</v>
      </c>
      <c r="O56" s="256">
        <f t="shared" si="17"/>
        <v>1.5851636586809062E-2</v>
      </c>
      <c r="P56" s="256">
        <f t="shared" si="17"/>
        <v>1.6321654108088498E-2</v>
      </c>
      <c r="Q56" s="256">
        <f t="shared" si="17"/>
        <v>1.6797632903827454E-2</v>
      </c>
      <c r="R56" s="256">
        <f t="shared" si="17"/>
        <v>1.7278653543293599E-2</v>
      </c>
      <c r="S56" s="256">
        <f t="shared" si="17"/>
        <v>1.7763647202484526E-2</v>
      </c>
      <c r="T56" s="256">
        <f t="shared" si="17"/>
        <v>1.8251379806438719E-2</v>
      </c>
      <c r="U56" s="256">
        <f t="shared" si="17"/>
        <v>1.8740435280791348E-2</v>
      </c>
      <c r="V56" s="256">
        <f t="shared" si="17"/>
        <v>1.922919810148559E-2</v>
      </c>
      <c r="W56" s="256">
        <f t="shared" si="17"/>
        <v>1.9715835425318191E-2</v>
      </c>
      <c r="X56" s="256">
        <f t="shared" si="17"/>
        <v>2.0198279200843054E-2</v>
      </c>
      <c r="Y56" s="256">
        <f t="shared" si="17"/>
        <v>2.0674208801615017E-2</v>
      </c>
      <c r="Z56" s="256">
        <f t="shared" si="17"/>
        <v>2.1141034893427276E-2</v>
      </c>
      <c r="AA56" s="256">
        <f t="shared" si="17"/>
        <v>2.1595885444036886E-2</v>
      </c>
      <c r="AB56" s="256">
        <f t="shared" si="17"/>
        <v>2.2035595005265349E-2</v>
      </c>
      <c r="AC56" s="256">
        <f t="shared" si="17"/>
        <v>2.245669863694524E-2</v>
      </c>
      <c r="AD56" s="256">
        <f t="shared" si="17"/>
        <v>2.2855432088494734E-2</v>
      </c>
      <c r="AE56" s="256">
        <f t="shared" si="17"/>
        <v>2.3227740088910827E-2</v>
      </c>
      <c r="AF56" s="256">
        <f t="shared" si="17"/>
        <v>2.3569294793713735E-2</v>
      </c>
      <c r="AG56" s="256">
        <f t="shared" si="17"/>
        <v>2.3875526563002264E-2</v>
      </c>
      <c r="AH56" s="256">
        <f t="shared" si="17"/>
        <v>2.4141669254477853E-2</v>
      </c>
      <c r="AI56" s="256">
        <f t="shared" si="17"/>
        <v>2.4362822057690216E-2</v>
      </c>
      <c r="AJ56" s="256">
        <f t="shared" si="17"/>
        <v>2.4534029515471237E-2</v>
      </c>
      <c r="AK56" s="256">
        <f t="shared" si="17"/>
        <v>2.4650380722552972E-2</v>
      </c>
    </row>
    <row r="57" spans="1:37">
      <c r="A57" s="256" t="str">
        <f t="shared" si="10"/>
        <v>Géothermie et  PAC géothermique</v>
      </c>
      <c r="B57" s="256">
        <f t="shared" si="18"/>
        <v>7.3998161145139053E-3</v>
      </c>
      <c r="C57" s="256">
        <f t="shared" si="17"/>
        <v>7.6893636827527392E-3</v>
      </c>
      <c r="D57" s="256">
        <f t="shared" si="17"/>
        <v>7.9308319763448116E-3</v>
      </c>
      <c r="E57" s="256">
        <f t="shared" si="17"/>
        <v>8.1063963218545951E-3</v>
      </c>
      <c r="F57" s="256">
        <f t="shared" si="17"/>
        <v>8.1974306163160957E-3</v>
      </c>
      <c r="G57" s="256">
        <f t="shared" si="17"/>
        <v>8.1865634922276553E-3</v>
      </c>
      <c r="H57" s="256">
        <f t="shared" si="17"/>
        <v>8.5868858322787935E-3</v>
      </c>
      <c r="I57" s="256">
        <f t="shared" si="17"/>
        <v>9.0043229812902942E-3</v>
      </c>
      <c r="J57" s="256">
        <f t="shared" si="17"/>
        <v>9.43930125641999E-3</v>
      </c>
      <c r="K57" s="256">
        <f t="shared" si="17"/>
        <v>9.8922120903054932E-3</v>
      </c>
      <c r="L57" s="256">
        <f t="shared" si="17"/>
        <v>1.0363403137625887E-2</v>
      </c>
      <c r="M57" s="256">
        <f t="shared" si="17"/>
        <v>1.0853168066476418E-2</v>
      </c>
      <c r="N57" s="256">
        <f t="shared" si="17"/>
        <v>1.1361734882334372E-2</v>
      </c>
      <c r="O57" s="256">
        <f t="shared" si="17"/>
        <v>1.1889252624123865E-2</v>
      </c>
      <c r="P57" s="256">
        <f t="shared" si="17"/>
        <v>1.2435776266629424E-2</v>
      </c>
      <c r="Q57" s="256">
        <f t="shared" si="17"/>
        <v>1.3001249662828084E-2</v>
      </c>
      <c r="R57" s="256">
        <f t="shared" si="17"/>
        <v>1.3585486365636581E-2</v>
      </c>
      <c r="S57" s="256">
        <f t="shared" si="17"/>
        <v>1.4188148183684544E-2</v>
      </c>
      <c r="T57" s="256">
        <f t="shared" si="17"/>
        <v>1.4808721353241383E-2</v>
      </c>
      <c r="U57" s="256">
        <f t="shared" si="17"/>
        <v>1.5446490252266281E-2</v>
      </c>
      <c r="V57" s="256">
        <f t="shared" si="17"/>
        <v>1.6100508647382918E-2</v>
      </c>
      <c r="W57" s="256">
        <f t="shared" si="17"/>
        <v>1.6769568555794444E-2</v>
      </c>
      <c r="X57" s="256">
        <f t="shared" si="17"/>
        <v>1.7452166927749247E-2</v>
      </c>
      <c r="Y57" s="256">
        <f t="shared" si="17"/>
        <v>1.8146470517493015E-2</v>
      </c>
      <c r="Z57" s="256">
        <f t="shared" si="17"/>
        <v>1.8850279517931202E-2</v>
      </c>
      <c r="AA57" s="256">
        <f t="shared" si="17"/>
        <v>1.9560990791852414E-2</v>
      </c>
      <c r="AB57" s="256">
        <f t="shared" si="17"/>
        <v>2.0275561843951254E-2</v>
      </c>
      <c r="AC57" s="256">
        <f t="shared" si="17"/>
        <v>2.0990477042992412E-2</v>
      </c>
      <c r="AD57" s="256">
        <f t="shared" si="17"/>
        <v>2.170171801679097E-2</v>
      </c>
      <c r="AE57" s="256">
        <f t="shared" si="17"/>
        <v>2.2404740590916569E-2</v>
      </c>
      <c r="AF57" s="256">
        <f t="shared" si="17"/>
        <v>2.3094461101282729E-2</v>
      </c>
      <c r="AG57" s="256">
        <f t="shared" si="17"/>
        <v>2.3765255343931469E-2</v>
      </c>
      <c r="AH57" s="256">
        <f t="shared" si="17"/>
        <v>2.4410973779808044E-2</v>
      </c>
      <c r="AI57" s="256">
        <f t="shared" si="17"/>
        <v>2.5024976819268758E-2</v>
      </c>
      <c r="AJ57" s="256">
        <f t="shared" si="17"/>
        <v>2.5600193986735596E-2</v>
      </c>
      <c r="AK57" s="256">
        <f t="shared" si="17"/>
        <v>2.6129210416691372E-2</v>
      </c>
    </row>
    <row r="58" spans="1:37">
      <c r="A58" s="256" t="str">
        <f t="shared" si="10"/>
        <v>Autres (solaire thermique, chaleur fatale, pac AEROTHERMIQUE)</v>
      </c>
      <c r="B58" s="256">
        <f t="shared" si="18"/>
        <v>3.0970503510253627E-2</v>
      </c>
      <c r="C58" s="256">
        <f t="shared" si="17"/>
        <v>3.2504014033451989E-2</v>
      </c>
      <c r="D58" s="256">
        <f t="shared" si="17"/>
        <v>3.3859816477689528E-2</v>
      </c>
      <c r="E58" s="256">
        <f t="shared" si="17"/>
        <v>3.4955292434052293E-2</v>
      </c>
      <c r="F58" s="256">
        <f t="shared" si="17"/>
        <v>3.5701142364613768E-2</v>
      </c>
      <c r="G58" s="256">
        <f t="shared" si="17"/>
        <v>3.6010176837551193E-2</v>
      </c>
      <c r="H58" s="256">
        <f t="shared" si="17"/>
        <v>3.8314425674344552E-2</v>
      </c>
      <c r="I58" s="256">
        <f t="shared" si="17"/>
        <v>4.0754982155979697E-2</v>
      </c>
      <c r="J58" s="256">
        <f t="shared" si="17"/>
        <v>4.33383628277745E-2</v>
      </c>
      <c r="K58" s="256">
        <f t="shared" si="17"/>
        <v>4.6071153390934844E-2</v>
      </c>
      <c r="L58" s="256">
        <f t="shared" si="17"/>
        <v>4.8959961762534344E-2</v>
      </c>
      <c r="M58" s="256">
        <f t="shared" si="17"/>
        <v>5.2011360875194458E-2</v>
      </c>
      <c r="N58" s="256">
        <f t="shared" si="17"/>
        <v>5.5231819646342627E-2</v>
      </c>
      <c r="O58" s="256">
        <f t="shared" si="17"/>
        <v>5.8627620377060249E-2</v>
      </c>
      <c r="P58" s="256">
        <f t="shared" si="17"/>
        <v>6.2204760673129404E-2</v>
      </c>
      <c r="Q58" s="256">
        <f t="shared" si="17"/>
        <v>6.5968837825348708E-2</v>
      </c>
      <c r="R58" s="256">
        <f t="shared" si="17"/>
        <v>6.9924913455701246E-2</v>
      </c>
      <c r="S58" s="256">
        <f t="shared" si="17"/>
        <v>7.4077356148475576E-2</v>
      </c>
      <c r="T58" s="256">
        <f t="shared" si="17"/>
        <v>7.8429659764783902E-2</v>
      </c>
      <c r="U58" s="256">
        <f t="shared" si="17"/>
        <v>8.2984235215948873E-2</v>
      </c>
      <c r="V58" s="256">
        <f t="shared" si="17"/>
        <v>8.7742173684958069E-2</v>
      </c>
      <c r="W58" s="256">
        <f t="shared" si="17"/>
        <v>9.2702979683719294E-2</v>
      </c>
      <c r="X58" s="256">
        <f t="shared" si="17"/>
        <v>9.7864272974828262E-2</v>
      </c>
      <c r="Y58" s="256">
        <f t="shared" si="17"/>
        <v>0.10322145933675451</v>
      </c>
      <c r="Z58" s="256">
        <f t="shared" si="17"/>
        <v>0.10876737148489578</v>
      </c>
      <c r="AA58" s="256">
        <f t="shared" si="17"/>
        <v>0.11449188325548618</v>
      </c>
      <c r="AB58" s="256">
        <f t="shared" si="17"/>
        <v>0.1203815024893294</v>
      </c>
      <c r="AC58" s="256">
        <f t="shared" si="17"/>
        <v>0.12641895097850778</v>
      </c>
      <c r="AD58" s="256">
        <f t="shared" si="17"/>
        <v>0.1325827433934752</v>
      </c>
      <c r="AE58" s="256">
        <f t="shared" si="17"/>
        <v>0.13884678127290162</v>
      </c>
      <c r="AF58" s="256">
        <f t="shared" si="17"/>
        <v>0.14517998284206612</v>
      </c>
      <c r="AG58" s="256">
        <f t="shared" si="17"/>
        <v>0.15154597443086618</v>
      </c>
      <c r="AH58" s="256">
        <f t="shared" si="17"/>
        <v>0.15790287425802052</v>
      </c>
      <c r="AI58" s="256">
        <f t="shared" si="17"/>
        <v>0.16420320384109202</v>
      </c>
      <c r="AJ58" s="256">
        <f t="shared" si="17"/>
        <v>0.17039396561519443</v>
      </c>
      <c r="AK58" s="256">
        <f t="shared" si="17"/>
        <v>0.17641692666488712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1"/>
  <sheetViews>
    <sheetView workbookViewId="0"/>
  </sheetViews>
  <sheetFormatPr baseColWidth="10" defaultColWidth="9.1796875" defaultRowHeight="14.5"/>
  <cols>
    <col min="1" max="1" width="60.26953125" style="524" customWidth="1"/>
    <col min="2" max="64" width="9.1796875" style="524"/>
    <col min="65" max="16384" width="9.1796875" style="256"/>
  </cols>
  <sheetData>
    <row r="1" spans="1:11" ht="28.5">
      <c r="A1" s="414" t="s">
        <v>381</v>
      </c>
      <c r="B1" s="415"/>
      <c r="C1" s="415"/>
      <c r="D1" s="415"/>
      <c r="E1" s="416" t="s">
        <v>382</v>
      </c>
      <c r="F1" s="417" t="s">
        <v>383</v>
      </c>
      <c r="G1" s="417"/>
      <c r="H1" s="416" t="s">
        <v>48</v>
      </c>
      <c r="I1" s="417">
        <v>2.1</v>
      </c>
      <c r="J1" s="416" t="s">
        <v>49</v>
      </c>
      <c r="K1" s="560">
        <v>43144</v>
      </c>
    </row>
    <row r="2" spans="1:1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6"/>
    </row>
    <row r="3" spans="1:11">
      <c r="A3" s="256"/>
      <c r="B3" s="256"/>
      <c r="C3" s="256"/>
      <c r="D3" s="256"/>
      <c r="E3" s="256"/>
      <c r="F3" s="256"/>
      <c r="G3" s="256"/>
      <c r="H3" s="256"/>
      <c r="I3" s="256"/>
      <c r="J3" s="256"/>
      <c r="K3" s="256"/>
    </row>
    <row r="4" spans="1:11">
      <c r="A4" s="256"/>
      <c r="B4" s="256"/>
      <c r="C4" s="256"/>
      <c r="D4" s="256"/>
      <c r="E4" s="256"/>
      <c r="F4" s="256"/>
      <c r="G4" s="256"/>
      <c r="H4" s="256"/>
      <c r="I4" s="256"/>
      <c r="J4" s="256"/>
      <c r="K4" s="256"/>
    </row>
    <row r="5" spans="1:11" ht="21">
      <c r="A5" s="425" t="s">
        <v>397</v>
      </c>
      <c r="B5" s="425"/>
      <c r="C5" s="425"/>
      <c r="D5" s="425"/>
      <c r="E5" s="425"/>
      <c r="F5" s="425"/>
      <c r="G5" s="425"/>
      <c r="H5" s="425"/>
      <c r="I5" s="425"/>
      <c r="J5" s="425"/>
      <c r="K5" s="425"/>
    </row>
    <row r="6" spans="1:11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</row>
    <row r="7" spans="1:11" ht="15.5">
      <c r="A7" s="428" t="s">
        <v>398</v>
      </c>
      <c r="B7" s="430"/>
      <c r="C7" s="430"/>
      <c r="D7" s="430"/>
      <c r="E7" s="430"/>
      <c r="F7" s="430"/>
      <c r="G7" s="429"/>
      <c r="H7" s="430"/>
      <c r="I7" s="430"/>
      <c r="J7" s="430"/>
      <c r="K7" s="430"/>
    </row>
    <row r="8" spans="1:11">
      <c r="A8" s="256"/>
      <c r="B8" s="256"/>
      <c r="C8" s="256"/>
      <c r="D8" s="256"/>
      <c r="E8" s="256"/>
      <c r="F8" s="256"/>
      <c r="G8" s="256"/>
      <c r="H8" s="256"/>
      <c r="I8" s="256"/>
      <c r="J8" s="256"/>
      <c r="K8" s="256"/>
    </row>
    <row r="9" spans="1:11">
      <c r="A9" s="256"/>
      <c r="B9" s="256"/>
      <c r="C9" s="256"/>
      <c r="D9" s="256"/>
      <c r="E9" s="256"/>
      <c r="F9" s="256"/>
      <c r="G9" s="256"/>
      <c r="H9" s="256"/>
      <c r="I9" s="256"/>
      <c r="J9" s="256"/>
      <c r="K9" s="256"/>
    </row>
    <row r="10" spans="1:11" ht="58">
      <c r="A10" s="543"/>
      <c r="B10" s="544" t="s">
        <v>42</v>
      </c>
      <c r="C10" s="544" t="s">
        <v>52</v>
      </c>
      <c r="D10" s="544" t="s">
        <v>53</v>
      </c>
      <c r="E10" s="544" t="s">
        <v>32</v>
      </c>
      <c r="F10" s="544" t="s">
        <v>20</v>
      </c>
      <c r="G10" s="544" t="s">
        <v>55</v>
      </c>
      <c r="H10" s="544" t="s">
        <v>56</v>
      </c>
      <c r="I10" s="544" t="s">
        <v>57</v>
      </c>
      <c r="J10" s="544" t="s">
        <v>58</v>
      </c>
      <c r="K10" s="544" t="s">
        <v>10</v>
      </c>
    </row>
    <row r="11" spans="1:11" ht="15.5">
      <c r="A11" s="552"/>
      <c r="B11" s="561"/>
      <c r="C11" s="561"/>
      <c r="D11" s="561"/>
      <c r="E11" s="561"/>
      <c r="F11" s="561"/>
      <c r="G11" s="561"/>
      <c r="H11" s="561"/>
      <c r="I11" s="561"/>
      <c r="J11" s="561"/>
      <c r="K11" s="561"/>
    </row>
    <row r="12" spans="1:11">
      <c r="A12" s="547" t="s">
        <v>59</v>
      </c>
      <c r="B12" s="86">
        <v>0</v>
      </c>
      <c r="C12" s="86">
        <v>0.99</v>
      </c>
      <c r="D12" s="86">
        <v>0</v>
      </c>
      <c r="E12" s="86">
        <v>1.9114359415305201E-2</v>
      </c>
      <c r="F12" s="86">
        <v>113.97587222178799</v>
      </c>
      <c r="G12" s="86">
        <v>7.1744464316423002</v>
      </c>
      <c r="H12" s="86">
        <v>17.623063691891002</v>
      </c>
      <c r="I12" s="86">
        <v>0</v>
      </c>
      <c r="J12" s="86">
        <v>0</v>
      </c>
      <c r="K12" s="86">
        <v>139.78249670473701</v>
      </c>
    </row>
    <row r="13" spans="1:11">
      <c r="A13" s="547" t="s">
        <v>60</v>
      </c>
      <c r="B13" s="86">
        <v>8.8097723628054307</v>
      </c>
      <c r="C13" s="86">
        <v>58.756</v>
      </c>
      <c r="D13" s="86">
        <v>41.304000000000002</v>
      </c>
      <c r="E13" s="86">
        <v>39.381556147893399</v>
      </c>
      <c r="F13" s="86">
        <v>0</v>
      </c>
      <c r="G13" s="86">
        <v>0</v>
      </c>
      <c r="H13" s="86">
        <v>0.607627199770708</v>
      </c>
      <c r="I13" s="86">
        <v>0.85649183147033503</v>
      </c>
      <c r="J13" s="86">
        <v>0</v>
      </c>
      <c r="K13" s="86">
        <v>149.71544754193999</v>
      </c>
    </row>
    <row r="14" spans="1:11">
      <c r="A14" s="547" t="s">
        <v>61</v>
      </c>
      <c r="B14" s="86">
        <v>-0.129456001503714</v>
      </c>
      <c r="C14" s="86">
        <v>-9.7000000000000003E-2</v>
      </c>
      <c r="D14" s="86">
        <v>-21.164999999999999</v>
      </c>
      <c r="E14" s="86">
        <v>-4.8649527085124697</v>
      </c>
      <c r="F14" s="86">
        <v>0</v>
      </c>
      <c r="G14" s="86">
        <v>0</v>
      </c>
      <c r="H14" s="86">
        <v>-0.178425728479985</v>
      </c>
      <c r="I14" s="86">
        <v>-6.3649183147033499</v>
      </c>
      <c r="J14" s="86">
        <v>0</v>
      </c>
      <c r="K14" s="86">
        <v>-32.799752753199499</v>
      </c>
    </row>
    <row r="15" spans="1:11">
      <c r="A15" s="547" t="s">
        <v>62</v>
      </c>
      <c r="B15" s="86">
        <v>0</v>
      </c>
      <c r="C15" s="86">
        <v>0</v>
      </c>
      <c r="D15" s="86">
        <v>-1.6180000000000001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6">
        <v>0</v>
      </c>
      <c r="K15" s="86">
        <v>-5.9379999999999997</v>
      </c>
    </row>
    <row r="16" spans="1:11">
      <c r="A16" s="547" t="s">
        <v>63</v>
      </c>
      <c r="B16" s="86">
        <v>0</v>
      </c>
      <c r="C16" s="86">
        <v>0</v>
      </c>
      <c r="D16" s="86">
        <v>-5.9379999999999997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-1.6180000000000001</v>
      </c>
    </row>
    <row r="17" spans="1:11">
      <c r="A17" s="547" t="s">
        <v>64</v>
      </c>
      <c r="B17" s="86">
        <v>0.114672336797846</v>
      </c>
      <c r="C17" s="86">
        <v>0.107</v>
      </c>
      <c r="D17" s="86">
        <v>-6.5000000000000002E-2</v>
      </c>
      <c r="E17" s="86">
        <v>0.50447579385934005</v>
      </c>
      <c r="F17" s="86">
        <v>0</v>
      </c>
      <c r="G17" s="86">
        <v>0</v>
      </c>
      <c r="H17" s="86">
        <v>0</v>
      </c>
      <c r="I17" s="86">
        <v>0</v>
      </c>
      <c r="J17" s="86">
        <v>0</v>
      </c>
      <c r="K17" s="86">
        <v>0.66114813065718603</v>
      </c>
    </row>
    <row r="18" spans="1:11" ht="15.5">
      <c r="A18" s="550" t="s">
        <v>65</v>
      </c>
      <c r="B18" s="562">
        <v>8.7949886980995604</v>
      </c>
      <c r="C18" s="562">
        <v>59.756</v>
      </c>
      <c r="D18" s="562">
        <v>12.518000000000001</v>
      </c>
      <c r="E18" s="562">
        <v>35.040193592655598</v>
      </c>
      <c r="F18" s="562">
        <v>113.97587222178799</v>
      </c>
      <c r="G18" s="562">
        <v>7.1744464316423002</v>
      </c>
      <c r="H18" s="562">
        <v>18.052265163181701</v>
      </c>
      <c r="I18" s="562">
        <v>-5.5084264832330199</v>
      </c>
      <c r="J18" s="562">
        <v>0</v>
      </c>
      <c r="K18" s="562">
        <v>249.803339624134</v>
      </c>
    </row>
    <row r="19" spans="1:11" ht="15.5">
      <c r="A19" s="552"/>
      <c r="B19" s="563"/>
      <c r="C19" s="563"/>
      <c r="D19" s="563"/>
      <c r="E19" s="563"/>
      <c r="F19" s="563"/>
      <c r="G19" s="563"/>
      <c r="H19" s="563"/>
      <c r="I19" s="563"/>
      <c r="J19" s="563"/>
      <c r="K19" s="563"/>
    </row>
    <row r="20" spans="1:11">
      <c r="A20" s="547" t="s">
        <v>66</v>
      </c>
      <c r="B20" s="86">
        <v>0</v>
      </c>
      <c r="C20" s="86">
        <v>-0.32500000000000001</v>
      </c>
      <c r="D20" s="86">
        <v>0.25</v>
      </c>
      <c r="E20" s="86">
        <v>0</v>
      </c>
      <c r="F20" s="86">
        <v>0</v>
      </c>
      <c r="G20" s="86">
        <v>0</v>
      </c>
      <c r="H20" s="86">
        <v>0</v>
      </c>
      <c r="I20" s="86">
        <v>0</v>
      </c>
      <c r="J20" s="86">
        <v>0</v>
      </c>
      <c r="K20" s="86">
        <v>-7.4999999999999997E-2</v>
      </c>
    </row>
    <row r="21" spans="1:11">
      <c r="A21" s="547" t="s">
        <v>67</v>
      </c>
      <c r="B21" s="86">
        <v>0.25449943513061202</v>
      </c>
      <c r="C21" s="86">
        <v>9.6000000000003596E-2</v>
      </c>
      <c r="D21" s="86">
        <v>1.90700000000001</v>
      </c>
      <c r="E21" s="86">
        <v>9.2719287991815895E-6</v>
      </c>
      <c r="F21" s="86">
        <v>0</v>
      </c>
      <c r="G21" s="86">
        <v>0</v>
      </c>
      <c r="H21" s="86">
        <v>2.3884589662749601E-5</v>
      </c>
      <c r="I21" s="86">
        <v>-9.6560619088564101E-2</v>
      </c>
      <c r="J21" s="86">
        <v>0</v>
      </c>
      <c r="K21" s="86">
        <v>2.1609719725605201</v>
      </c>
    </row>
    <row r="22" spans="1:11">
      <c r="A22" s="547" t="s">
        <v>68</v>
      </c>
      <c r="B22" s="86">
        <v>2.8177717473010402</v>
      </c>
      <c r="C22" s="86">
        <v>0</v>
      </c>
      <c r="D22" s="86">
        <v>0.46200000000000002</v>
      </c>
      <c r="E22" s="86">
        <v>1.74883483201723</v>
      </c>
      <c r="F22" s="86">
        <v>113.97587222178799</v>
      </c>
      <c r="G22" s="86">
        <v>7.1744464316423002</v>
      </c>
      <c r="H22" s="86">
        <v>1.3081350912391301</v>
      </c>
      <c r="I22" s="86">
        <v>-47.166809974204597</v>
      </c>
      <c r="J22" s="86">
        <v>0</v>
      </c>
      <c r="K22" s="86">
        <v>80.320250349782995</v>
      </c>
    </row>
    <row r="23" spans="1:11">
      <c r="A23" s="547" t="s">
        <v>69</v>
      </c>
      <c r="B23" s="86">
        <v>0.17574077042132399</v>
      </c>
      <c r="C23" s="86">
        <v>0</v>
      </c>
      <c r="D23" s="86">
        <v>0.24</v>
      </c>
      <c r="E23" s="86">
        <v>2.0854259827438901</v>
      </c>
      <c r="F23" s="86">
        <v>0</v>
      </c>
      <c r="G23" s="86">
        <v>0</v>
      </c>
      <c r="H23" s="86">
        <v>2.3690407948791399</v>
      </c>
      <c r="I23" s="86">
        <v>-1.4459157351676699</v>
      </c>
      <c r="J23" s="86">
        <v>-1.9220112484952701</v>
      </c>
      <c r="K23" s="86">
        <v>1.5022805643814201</v>
      </c>
    </row>
    <row r="24" spans="1:11">
      <c r="A24" s="547" t="s">
        <v>70</v>
      </c>
      <c r="B24" s="86">
        <v>0.18260499999999999</v>
      </c>
      <c r="C24" s="86">
        <v>0</v>
      </c>
      <c r="D24" s="86">
        <v>7.0000000000000007E-2</v>
      </c>
      <c r="E24" s="86">
        <v>0.65908241891659503</v>
      </c>
      <c r="F24" s="86">
        <v>0</v>
      </c>
      <c r="G24" s="86">
        <v>0</v>
      </c>
      <c r="H24" s="86">
        <v>0.77558039552880498</v>
      </c>
      <c r="I24" s="86">
        <v>0</v>
      </c>
      <c r="J24" s="86">
        <v>-1.90296</v>
      </c>
      <c r="K24" s="86">
        <v>-0.21569218555460101</v>
      </c>
    </row>
    <row r="25" spans="1:11">
      <c r="A25" s="547" t="s">
        <v>71</v>
      </c>
      <c r="B25" s="86">
        <v>0</v>
      </c>
      <c r="C25" s="86">
        <v>0</v>
      </c>
      <c r="D25" s="86">
        <v>0</v>
      </c>
      <c r="E25" s="86">
        <v>-6.3456577815993098E-3</v>
      </c>
      <c r="F25" s="86">
        <v>0</v>
      </c>
      <c r="G25" s="86">
        <v>0</v>
      </c>
      <c r="H25" s="86">
        <v>6.3533008502913903E-3</v>
      </c>
      <c r="I25" s="86">
        <v>0</v>
      </c>
      <c r="J25" s="86">
        <v>0</v>
      </c>
      <c r="K25" s="86">
        <v>7.6430686920796898E-6</v>
      </c>
    </row>
    <row r="26" spans="1:11">
      <c r="A26" s="547" t="s">
        <v>72</v>
      </c>
      <c r="B26" s="86">
        <v>0</v>
      </c>
      <c r="C26" s="86">
        <v>61.207000000000001</v>
      </c>
      <c r="D26" s="86">
        <v>-60.67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0.53699999999999903</v>
      </c>
    </row>
    <row r="27" spans="1:11">
      <c r="A27" s="547" t="s">
        <v>74</v>
      </c>
      <c r="B27" s="86">
        <v>2.9093146706792798</v>
      </c>
      <c r="C27" s="86">
        <v>-1.222</v>
      </c>
      <c r="D27" s="86">
        <v>1.208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2.8953146706792801</v>
      </c>
    </row>
    <row r="28" spans="1:11">
      <c r="A28" s="547" t="s">
        <v>75</v>
      </c>
      <c r="B28" s="86">
        <v>1.0374988057705199</v>
      </c>
      <c r="C28" s="86">
        <v>0</v>
      </c>
      <c r="D28" s="86">
        <v>1.7969999999999999</v>
      </c>
      <c r="E28" s="86">
        <v>1.2420767288043999</v>
      </c>
      <c r="F28" s="86">
        <v>0</v>
      </c>
      <c r="G28" s="86">
        <v>0</v>
      </c>
      <c r="H28" s="86">
        <v>5.1017483519633103E-2</v>
      </c>
      <c r="I28" s="86">
        <v>2.7822871883060998</v>
      </c>
      <c r="J28" s="86">
        <v>5.6328571847727903E-2</v>
      </c>
      <c r="K28" s="86">
        <v>6.9662087782483901</v>
      </c>
    </row>
    <row r="29" spans="1:11">
      <c r="A29" s="547" t="s">
        <v>76</v>
      </c>
      <c r="B29" s="86">
        <v>0</v>
      </c>
      <c r="C29" s="86">
        <v>0</v>
      </c>
      <c r="D29" s="86">
        <v>0</v>
      </c>
      <c r="E29" s="86">
        <v>0.46122098022356001</v>
      </c>
      <c r="F29" s="86">
        <v>0</v>
      </c>
      <c r="G29" s="86">
        <v>0</v>
      </c>
      <c r="H29" s="86">
        <v>0</v>
      </c>
      <c r="I29" s="86">
        <v>3.04359415305245</v>
      </c>
      <c r="J29" s="86">
        <v>0.80882690971625104</v>
      </c>
      <c r="K29" s="86">
        <v>4.3136420429922602</v>
      </c>
    </row>
    <row r="30" spans="1:11" ht="15.5">
      <c r="A30" s="550" t="s">
        <v>77</v>
      </c>
      <c r="B30" s="562">
        <v>7.3774304293027697</v>
      </c>
      <c r="C30" s="562">
        <v>59.756</v>
      </c>
      <c r="D30" s="562">
        <v>-54.735999999999997</v>
      </c>
      <c r="E30" s="562">
        <v>6.1903045568528698</v>
      </c>
      <c r="F30" s="562">
        <v>113.97587222178799</v>
      </c>
      <c r="G30" s="562">
        <v>7.1744464316423002</v>
      </c>
      <c r="H30" s="562">
        <v>4.5101509506066702</v>
      </c>
      <c r="I30" s="562">
        <v>-42.883404987102303</v>
      </c>
      <c r="J30" s="562">
        <v>-2.9598157669312899</v>
      </c>
      <c r="K30" s="562">
        <v>98.404983836159005</v>
      </c>
    </row>
    <row r="31" spans="1:11" ht="15.5">
      <c r="A31" s="552"/>
      <c r="B31" s="563"/>
      <c r="C31" s="563"/>
      <c r="D31" s="563"/>
      <c r="E31" s="563"/>
      <c r="F31" s="563"/>
      <c r="G31" s="563"/>
      <c r="H31" s="563"/>
      <c r="I31" s="563"/>
      <c r="J31" s="563"/>
      <c r="K31" s="563"/>
    </row>
    <row r="32" spans="1:11" ht="15.5">
      <c r="A32" s="555" t="s">
        <v>78</v>
      </c>
      <c r="B32" s="86">
        <v>1.0493092649428299</v>
      </c>
      <c r="C32" s="86">
        <v>0</v>
      </c>
      <c r="D32" s="86">
        <v>2.3566094604778201</v>
      </c>
      <c r="E32" s="86">
        <v>10.2038364932448</v>
      </c>
      <c r="F32" s="86">
        <v>0</v>
      </c>
      <c r="G32" s="86">
        <v>0</v>
      </c>
      <c r="H32" s="86">
        <v>1.36555364478838</v>
      </c>
      <c r="I32" s="86">
        <v>10.069552160228</v>
      </c>
      <c r="J32" s="86">
        <v>1.1415347236508699</v>
      </c>
      <c r="K32" s="86">
        <v>25.9228167120731</v>
      </c>
    </row>
    <row r="33" spans="1:11" ht="15.5">
      <c r="A33" s="555" t="s">
        <v>79</v>
      </c>
      <c r="B33" s="86">
        <v>0</v>
      </c>
      <c r="C33" s="86">
        <v>0</v>
      </c>
      <c r="D33" s="86">
        <v>39.807000000000002</v>
      </c>
      <c r="E33" s="86">
        <v>6.6215426095074303E-2</v>
      </c>
      <c r="F33" s="86">
        <v>0</v>
      </c>
      <c r="G33" s="86">
        <v>0</v>
      </c>
      <c r="H33" s="86">
        <v>2.9481554218018502</v>
      </c>
      <c r="I33" s="86">
        <v>0.94471195184866696</v>
      </c>
      <c r="J33" s="86">
        <v>0</v>
      </c>
      <c r="K33" s="86">
        <v>43.766082799745597</v>
      </c>
    </row>
    <row r="34" spans="1:11">
      <c r="A34" s="547" t="s">
        <v>80</v>
      </c>
      <c r="B34" s="86">
        <v>3.6764196608413298E-2</v>
      </c>
      <c r="C34" s="86">
        <v>0</v>
      </c>
      <c r="D34" s="86">
        <v>6.6752954110546101</v>
      </c>
      <c r="E34" s="86">
        <v>11.7825435723501</v>
      </c>
      <c r="F34" s="86">
        <v>0</v>
      </c>
      <c r="G34" s="86">
        <v>0</v>
      </c>
      <c r="H34" s="86">
        <v>8.8384757709717601</v>
      </c>
      <c r="I34" s="86">
        <v>13.6203670581426</v>
      </c>
      <c r="J34" s="86">
        <v>1.21184436300186</v>
      </c>
      <c r="K34" s="86">
        <v>39.7338900814621</v>
      </c>
    </row>
    <row r="35" spans="1:11">
      <c r="A35" s="547" t="s">
        <v>81</v>
      </c>
      <c r="B35" s="86">
        <v>4.3073392295861899E-2</v>
      </c>
      <c r="C35" s="86">
        <v>0</v>
      </c>
      <c r="D35" s="86">
        <v>3.01546564464017</v>
      </c>
      <c r="E35" s="86">
        <v>7.13877632922933</v>
      </c>
      <c r="F35" s="86">
        <v>0</v>
      </c>
      <c r="G35" s="86">
        <v>0</v>
      </c>
      <c r="H35" s="86">
        <v>0.896582440321125</v>
      </c>
      <c r="I35" s="86">
        <v>12.701365476499801</v>
      </c>
      <c r="J35" s="86">
        <v>0.710753475039681</v>
      </c>
      <c r="K35" s="86">
        <v>23.648731462262301</v>
      </c>
    </row>
    <row r="36" spans="1:11">
      <c r="A36" s="547" t="s">
        <v>82</v>
      </c>
      <c r="B36" s="86">
        <v>2.2137192704974398E-3</v>
      </c>
      <c r="C36" s="86">
        <v>0</v>
      </c>
      <c r="D36" s="86">
        <v>3.371</v>
      </c>
      <c r="E36" s="86">
        <v>0.20038837309893301</v>
      </c>
      <c r="F36" s="86">
        <v>0</v>
      </c>
      <c r="G36" s="86">
        <v>0</v>
      </c>
      <c r="H36" s="86">
        <v>0.15947740517817899</v>
      </c>
      <c r="I36" s="86">
        <v>0.74651762682717104</v>
      </c>
      <c r="J36" s="86">
        <v>6.4536710533781398E-3</v>
      </c>
      <c r="K36" s="86">
        <v>4.4860507954281603</v>
      </c>
    </row>
    <row r="37" spans="1:11" ht="15.5">
      <c r="A37" s="550" t="s">
        <v>83</v>
      </c>
      <c r="B37" s="562">
        <v>1.1313605731176</v>
      </c>
      <c r="C37" s="562">
        <v>0</v>
      </c>
      <c r="D37" s="562">
        <v>55.225370516172603</v>
      </c>
      <c r="E37" s="562">
        <v>29.3917601940182</v>
      </c>
      <c r="F37" s="562">
        <v>0</v>
      </c>
      <c r="G37" s="562">
        <v>0</v>
      </c>
      <c r="H37" s="562">
        <v>14.208244683061301</v>
      </c>
      <c r="I37" s="562">
        <v>38.082441502020501</v>
      </c>
      <c r="J37" s="562">
        <v>3.0705862327457898</v>
      </c>
      <c r="K37" s="562">
        <v>137.55757185097099</v>
      </c>
    </row>
    <row r="38" spans="1:11">
      <c r="A38" s="547" t="s">
        <v>84</v>
      </c>
      <c r="B38" s="86">
        <v>0.30500413491505901</v>
      </c>
      <c r="C38" s="86">
        <v>0</v>
      </c>
      <c r="D38" s="86">
        <v>12.452999999999999</v>
      </c>
      <c r="E38" s="86">
        <v>1.1015862413247299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13.859590376239799</v>
      </c>
    </row>
    <row r="39" spans="1:11" ht="15.5">
      <c r="A39" s="550" t="s">
        <v>85</v>
      </c>
      <c r="B39" s="562">
        <v>1.43636470803266</v>
      </c>
      <c r="C39" s="562">
        <v>0</v>
      </c>
      <c r="D39" s="562">
        <v>67.678370516172606</v>
      </c>
      <c r="E39" s="562">
        <v>30.493346435343</v>
      </c>
      <c r="F39" s="562">
        <v>0</v>
      </c>
      <c r="G39" s="562">
        <v>0</v>
      </c>
      <c r="H39" s="562">
        <v>14.208244683061301</v>
      </c>
      <c r="I39" s="562">
        <v>38.082441502020501</v>
      </c>
      <c r="J39" s="562">
        <v>3.0705862327457898</v>
      </c>
      <c r="K39" s="562">
        <v>151.41716222721101</v>
      </c>
    </row>
    <row r="40" spans="1:11">
      <c r="A40" s="256"/>
      <c r="B40" s="256"/>
      <c r="C40" s="256"/>
      <c r="D40" s="256"/>
      <c r="E40" s="256"/>
      <c r="F40" s="256"/>
      <c r="G40" s="256"/>
      <c r="H40" s="256"/>
      <c r="I40" s="256"/>
      <c r="J40" s="256"/>
      <c r="K40" s="256"/>
    </row>
    <row r="41" spans="1:11">
      <c r="A41" s="256"/>
      <c r="B41" s="256"/>
      <c r="C41" s="256"/>
      <c r="D41" s="256"/>
      <c r="E41" s="256"/>
      <c r="F41" s="256"/>
      <c r="G41" s="256"/>
      <c r="H41" s="256"/>
      <c r="I41" s="256"/>
      <c r="J41" s="256"/>
      <c r="K41" s="256"/>
    </row>
    <row r="42" spans="1:11">
      <c r="A42" s="256"/>
      <c r="B42" s="256"/>
      <c r="C42" s="256"/>
      <c r="D42" s="256"/>
      <c r="E42" s="256"/>
      <c r="F42" s="256"/>
      <c r="G42" s="256"/>
      <c r="H42" s="256"/>
      <c r="I42" s="256"/>
      <c r="J42" s="256"/>
      <c r="K42" s="256"/>
    </row>
    <row r="43" spans="1:11">
      <c r="A43" s="256"/>
      <c r="B43" s="256"/>
      <c r="C43" s="256"/>
      <c r="D43" s="256"/>
      <c r="E43" s="256"/>
      <c r="F43" s="256"/>
      <c r="G43" s="256"/>
      <c r="H43" s="256"/>
      <c r="I43" s="256"/>
      <c r="J43" s="256"/>
      <c r="K43" s="256"/>
    </row>
    <row r="44" spans="1:11">
      <c r="A44" s="256"/>
      <c r="B44" s="256"/>
      <c r="C44" s="256"/>
      <c r="D44" s="256"/>
      <c r="E44" s="256"/>
      <c r="F44" s="256"/>
      <c r="G44" s="256"/>
      <c r="H44" s="256"/>
      <c r="I44" s="256"/>
      <c r="J44" s="256"/>
      <c r="K44" s="256"/>
    </row>
    <row r="45" spans="1:11">
      <c r="A45" s="256"/>
      <c r="B45" s="256"/>
      <c r="C45" s="256"/>
      <c r="D45" s="256"/>
      <c r="E45" s="256"/>
      <c r="F45" s="256"/>
      <c r="G45" s="256"/>
      <c r="H45" s="256"/>
      <c r="I45" s="256"/>
      <c r="J45" s="256"/>
      <c r="K45" s="256"/>
    </row>
    <row r="46" spans="1:11">
      <c r="A46" s="256"/>
      <c r="B46" s="256"/>
      <c r="C46" s="256"/>
      <c r="D46" s="256"/>
      <c r="E46" s="256"/>
      <c r="F46" s="256"/>
      <c r="G46" s="256"/>
      <c r="H46" s="256"/>
      <c r="I46" s="256"/>
      <c r="J46" s="256"/>
      <c r="K46" s="256"/>
    </row>
    <row r="47" spans="1:11">
      <c r="A47" s="256"/>
      <c r="B47" s="256"/>
      <c r="C47" s="256"/>
      <c r="D47" s="256"/>
      <c r="E47" s="256"/>
      <c r="F47" s="256"/>
      <c r="G47" s="256"/>
      <c r="H47" s="256"/>
      <c r="I47" s="256"/>
      <c r="J47" s="256"/>
      <c r="K47" s="256"/>
    </row>
    <row r="48" spans="1:11">
      <c r="A48" s="256"/>
      <c r="B48" s="256"/>
      <c r="C48" s="256"/>
      <c r="D48" s="256"/>
      <c r="E48" s="256"/>
      <c r="F48" s="256"/>
      <c r="G48" s="256"/>
      <c r="H48" s="256"/>
      <c r="I48" s="256"/>
      <c r="J48" s="256"/>
      <c r="K48" s="256"/>
    </row>
    <row r="49" spans="1:12">
      <c r="A49" s="256"/>
      <c r="B49" s="256"/>
      <c r="C49" s="256"/>
      <c r="D49" s="256"/>
      <c r="E49" s="256"/>
      <c r="F49" s="256"/>
      <c r="G49" s="256"/>
      <c r="H49" s="256"/>
      <c r="I49" s="256"/>
      <c r="J49" s="256"/>
      <c r="K49" s="256"/>
    </row>
    <row r="50" spans="1:12" ht="15.5">
      <c r="A50" s="428" t="s">
        <v>86</v>
      </c>
      <c r="B50" s="430"/>
      <c r="C50" s="430"/>
      <c r="D50" s="430"/>
      <c r="E50" s="430"/>
      <c r="F50" s="430"/>
      <c r="G50" s="429"/>
      <c r="H50" s="430"/>
      <c r="I50" s="430"/>
      <c r="J50" s="430"/>
      <c r="K50" s="430"/>
    </row>
    <row r="51" spans="1:12">
      <c r="A51" s="256"/>
      <c r="B51" s="256"/>
      <c r="C51" s="256"/>
      <c r="D51" s="256"/>
      <c r="E51" s="256"/>
      <c r="F51" s="256"/>
      <c r="G51" s="256"/>
      <c r="H51" s="256"/>
      <c r="I51" s="256"/>
      <c r="J51" s="256"/>
      <c r="K51" s="256"/>
    </row>
    <row r="52" spans="1:12">
      <c r="A52" s="256"/>
      <c r="B52" s="256"/>
      <c r="C52" s="256"/>
      <c r="D52" s="256"/>
      <c r="E52" s="256"/>
      <c r="F52" s="256"/>
      <c r="G52" s="256"/>
      <c r="H52" s="256"/>
      <c r="I52" s="256"/>
      <c r="J52" s="256"/>
      <c r="K52" s="256"/>
    </row>
    <row r="53" spans="1:12" ht="58">
      <c r="A53" s="543"/>
      <c r="B53" s="544" t="s">
        <v>42</v>
      </c>
      <c r="C53" s="544" t="s">
        <v>52</v>
      </c>
      <c r="D53" s="544" t="s">
        <v>53</v>
      </c>
      <c r="E53" s="544" t="s">
        <v>32</v>
      </c>
      <c r="F53" s="544" t="s">
        <v>20</v>
      </c>
      <c r="G53" s="544" t="s">
        <v>55</v>
      </c>
      <c r="H53" s="544" t="s">
        <v>56</v>
      </c>
      <c r="I53" s="544" t="s">
        <v>57</v>
      </c>
      <c r="J53" s="544" t="s">
        <v>58</v>
      </c>
      <c r="K53" s="544" t="s">
        <v>10</v>
      </c>
    </row>
    <row r="54" spans="1:12" ht="15.5">
      <c r="A54" s="545"/>
      <c r="B54" s="546"/>
      <c r="C54" s="546"/>
      <c r="D54" s="546"/>
      <c r="E54" s="546"/>
      <c r="F54" s="546"/>
      <c r="G54" s="546"/>
      <c r="H54" s="546"/>
      <c r="I54" s="546"/>
      <c r="J54" s="546"/>
      <c r="K54" s="546"/>
    </row>
    <row r="55" spans="1:12">
      <c r="A55" s="547" t="s">
        <v>59</v>
      </c>
      <c r="B55" s="548">
        <v>0</v>
      </c>
      <c r="C55" s="548">
        <v>0.99</v>
      </c>
      <c r="D55" s="548">
        <v>0</v>
      </c>
      <c r="E55" s="548">
        <v>1.9114359415305201E-2</v>
      </c>
      <c r="F55" s="549">
        <f>('Mix énergie_2020'!C14*'Mix énergie_2020'!L14/11.63)/0.32</f>
        <v>107.48065348237317</v>
      </c>
      <c r="G55" s="549">
        <f>'Bilan 2020 BAU'!C7+'Bilan 2020 BAU'!C8+'Bilan 2020 BAU'!C9+'Bilan 2020 BAU'!C11+'Bilan 2020 BAU'!C12+'Bilan 2020 BAU'!C13+'Bilan 2020 BAU'!C14+'Bilan 2020 BAU'!C15+'Bilan 2020 BAU'!C16+'Bilan 2020 BAU'!C17</f>
        <v>12.747898926580312</v>
      </c>
      <c r="H55" s="548">
        <v>19.5</v>
      </c>
      <c r="I55" s="95"/>
      <c r="J55" s="95"/>
      <c r="K55" s="95">
        <f>SUM(B55:J55)</f>
        <v>140.7376667683688</v>
      </c>
    </row>
    <row r="56" spans="1:12">
      <c r="A56" s="547" t="s">
        <v>60</v>
      </c>
      <c r="B56" s="548">
        <v>6.4924118618689102</v>
      </c>
      <c r="C56" s="548">
        <v>47.61</v>
      </c>
      <c r="D56" s="548">
        <v>27.384867924416699</v>
      </c>
      <c r="E56" s="548">
        <v>37.355717818532703</v>
      </c>
      <c r="F56" s="95"/>
      <c r="G56" s="95"/>
      <c r="H56" s="95">
        <v>0</v>
      </c>
      <c r="I56" s="95">
        <v>0</v>
      </c>
      <c r="J56" s="95"/>
      <c r="K56" s="95">
        <v>118.842997604818</v>
      </c>
    </row>
    <row r="57" spans="1:12">
      <c r="A57" s="547" t="s">
        <v>61</v>
      </c>
      <c r="B57" s="548">
        <v>0</v>
      </c>
      <c r="C57" s="548">
        <v>0</v>
      </c>
      <c r="D57" s="548">
        <v>0</v>
      </c>
      <c r="E57" s="548">
        <v>0</v>
      </c>
      <c r="F57" s="95"/>
      <c r="G57" s="95"/>
      <c r="H57" s="548">
        <v>-1.5623381645663099</v>
      </c>
      <c r="I57" s="603">
        <f>I73+I82</f>
        <v>-3.3884524479433509</v>
      </c>
      <c r="J57" s="95"/>
      <c r="K57" s="95">
        <v>-6.2580284456997202</v>
      </c>
    </row>
    <row r="58" spans="1:12">
      <c r="A58" s="547" t="s">
        <v>62</v>
      </c>
      <c r="B58" s="548"/>
      <c r="C58" s="548"/>
      <c r="D58" s="548">
        <v>-1.4</v>
      </c>
      <c r="E58" s="548"/>
      <c r="F58" s="95"/>
      <c r="G58" s="95"/>
      <c r="H58" s="95"/>
      <c r="I58" s="95"/>
      <c r="J58" s="95"/>
      <c r="K58" s="95">
        <v>-1.4</v>
      </c>
    </row>
    <row r="59" spans="1:12">
      <c r="A59" s="547" t="s">
        <v>63</v>
      </c>
      <c r="B59" s="548"/>
      <c r="C59" s="548"/>
      <c r="D59" s="548">
        <v>-6.3128842627624397</v>
      </c>
      <c r="E59" s="548"/>
      <c r="F59" s="95"/>
      <c r="G59" s="95"/>
      <c r="H59" s="95"/>
      <c r="I59" s="95"/>
      <c r="J59" s="95"/>
      <c r="K59" s="95">
        <v>-6.3128842627624397</v>
      </c>
    </row>
    <row r="60" spans="1:12">
      <c r="A60" s="547" t="s">
        <v>64</v>
      </c>
      <c r="B60" s="548"/>
      <c r="C60" s="548"/>
      <c r="D60" s="548"/>
      <c r="E60" s="548"/>
      <c r="F60" s="95"/>
      <c r="G60" s="95"/>
      <c r="H60" s="95"/>
      <c r="I60" s="95"/>
      <c r="J60" s="95"/>
      <c r="K60" s="95">
        <v>0</v>
      </c>
    </row>
    <row r="61" spans="1:12" ht="15.5">
      <c r="A61" s="550" t="s">
        <v>65</v>
      </c>
      <c r="B61" s="551">
        <v>6.4924118618689102</v>
      </c>
      <c r="C61" s="551">
        <v>48.6</v>
      </c>
      <c r="D61" s="551">
        <v>19.671983661654199</v>
      </c>
      <c r="E61" s="551">
        <v>37.374832177948001</v>
      </c>
      <c r="F61" s="551">
        <v>0</v>
      </c>
      <c r="G61" s="551">
        <v>0</v>
      </c>
      <c r="H61" s="551">
        <v>17.937661835433701</v>
      </c>
      <c r="I61" s="551">
        <f>SUM(I55:I60)</f>
        <v>-3.3884524479433509</v>
      </c>
      <c r="J61" s="551">
        <v>0</v>
      </c>
      <c r="K61" s="551">
        <v>125.38119925577099</v>
      </c>
      <c r="L61" s="602">
        <f>K61-K57</f>
        <v>131.6392277014707</v>
      </c>
    </row>
    <row r="62" spans="1:12" ht="15.5">
      <c r="A62" s="552"/>
      <c r="B62" s="553"/>
      <c r="C62" s="553"/>
      <c r="D62" s="553"/>
      <c r="E62" s="553"/>
      <c r="F62" s="553"/>
      <c r="G62" s="553"/>
      <c r="H62" s="553"/>
      <c r="I62" s="553"/>
      <c r="J62" s="553"/>
      <c r="K62" s="553"/>
    </row>
    <row r="63" spans="1:12">
      <c r="A63" s="547" t="s">
        <v>66</v>
      </c>
      <c r="B63" s="548"/>
      <c r="C63" s="548"/>
      <c r="D63" s="548"/>
      <c r="E63" s="548"/>
      <c r="F63" s="95"/>
      <c r="G63" s="95"/>
      <c r="H63" s="95"/>
      <c r="I63" s="95"/>
      <c r="J63" s="95"/>
      <c r="K63" s="95">
        <v>0</v>
      </c>
    </row>
    <row r="64" spans="1:12">
      <c r="A64" s="547" t="s">
        <v>67</v>
      </c>
      <c r="B64" s="548"/>
      <c r="C64" s="548"/>
      <c r="D64" s="548"/>
      <c r="E64" s="548"/>
      <c r="F64" s="95"/>
      <c r="G64" s="95"/>
      <c r="H64" s="548"/>
      <c r="I64" s="548"/>
      <c r="J64" s="95"/>
      <c r="K64" s="95">
        <v>0</v>
      </c>
    </row>
    <row r="65" spans="1:11">
      <c r="A65" s="547" t="s">
        <v>68</v>
      </c>
      <c r="B65" s="604">
        <f>'Mix énergie_2015'!D15*'Mix énergie_2015'!L15/11.63/0.25</f>
        <v>2.5795356835769558</v>
      </c>
      <c r="C65" s="604">
        <f>'Mix énergie_2015'!E15*'Mix énergie_2015'!L15/11.63/0.25</f>
        <v>0</v>
      </c>
      <c r="D65" s="604"/>
      <c r="E65" s="604">
        <f>'Mix énergie_2015'!G15*'Mix énergie_2015'!L15/11.63/0.51</f>
        <v>4.1474887461433418</v>
      </c>
      <c r="F65" s="554">
        <f>F55</f>
        <v>107.48065348237317</v>
      </c>
      <c r="G65" s="554">
        <f>G55</f>
        <v>12.747898926580312</v>
      </c>
      <c r="H65" s="604">
        <f>'Mix énergie_2015'!K15*'Mix énergie_2015'!L15/11.63/0.31</f>
        <v>2.7736942834160816</v>
      </c>
      <c r="I65" s="604">
        <f>-'Mix énergie_2015'!L15/11.63</f>
        <v>-47.987962166809972</v>
      </c>
      <c r="J65" s="95"/>
      <c r="K65" s="95">
        <f>SUM(B65:J65)</f>
        <v>81.741308955279891</v>
      </c>
    </row>
    <row r="66" spans="1:11">
      <c r="A66" s="547" t="s">
        <v>69</v>
      </c>
      <c r="B66" s="548"/>
      <c r="C66" s="548"/>
      <c r="D66" s="548"/>
      <c r="E66" s="548"/>
      <c r="F66" s="95"/>
      <c r="G66" s="95"/>
      <c r="H66" s="548"/>
      <c r="I66" s="548"/>
      <c r="J66" s="95"/>
      <c r="K66" s="95">
        <v>0</v>
      </c>
    </row>
    <row r="67" spans="1:11">
      <c r="A67" s="547" t="s">
        <v>70</v>
      </c>
      <c r="B67" s="548">
        <v>0.21713387712283699</v>
      </c>
      <c r="C67" s="548"/>
      <c r="D67" s="548">
        <v>5.48846849383424E-2</v>
      </c>
      <c r="E67" s="548">
        <v>1.4546665535205101</v>
      </c>
      <c r="F67" s="95"/>
      <c r="G67" s="95"/>
      <c r="H67" s="548">
        <v>1.2389026049198599</v>
      </c>
      <c r="I67" s="548"/>
      <c r="J67" s="95">
        <v>2.69093256169241</v>
      </c>
      <c r="K67" s="95">
        <v>5.6565202821939504</v>
      </c>
    </row>
    <row r="68" spans="1:11">
      <c r="A68" s="547" t="s">
        <v>71</v>
      </c>
      <c r="B68" s="548"/>
      <c r="C68" s="548"/>
      <c r="D68" s="548"/>
      <c r="E68" s="548"/>
      <c r="F68" s="95"/>
      <c r="G68" s="95"/>
      <c r="H68" s="548"/>
      <c r="I68" s="548"/>
      <c r="J68" s="95"/>
      <c r="K68" s="95">
        <v>0</v>
      </c>
    </row>
    <row r="69" spans="1:11">
      <c r="A69" s="547" t="s">
        <v>72</v>
      </c>
      <c r="B69" s="548"/>
      <c r="C69" s="548">
        <v>48.6</v>
      </c>
      <c r="D69" s="548">
        <v>-46.5</v>
      </c>
      <c r="E69" s="548">
        <v>0.7</v>
      </c>
      <c r="F69" s="95"/>
      <c r="G69" s="95"/>
      <c r="H69" s="548"/>
      <c r="I69" s="548"/>
      <c r="J69" s="95"/>
      <c r="K69" s="95">
        <v>2.8</v>
      </c>
    </row>
    <row r="70" spans="1:11">
      <c r="A70" s="547" t="s">
        <v>74</v>
      </c>
      <c r="B70" s="548">
        <v>2.8917000000000002</v>
      </c>
      <c r="C70" s="548"/>
      <c r="D70" s="548"/>
      <c r="E70" s="548"/>
      <c r="F70" s="95"/>
      <c r="G70" s="95"/>
      <c r="H70" s="548"/>
      <c r="I70" s="548"/>
      <c r="J70" s="95"/>
      <c r="K70" s="95">
        <v>2.8917000000000002</v>
      </c>
    </row>
    <row r="71" spans="1:11">
      <c r="A71" s="547" t="s">
        <v>75</v>
      </c>
      <c r="B71" s="548">
        <v>1.0374988057705199</v>
      </c>
      <c r="C71" s="548"/>
      <c r="D71" s="548">
        <v>1.7969999999999999</v>
      </c>
      <c r="E71" s="548">
        <v>1.2420767288043999</v>
      </c>
      <c r="F71" s="95">
        <f>F55*(1-0.32)</f>
        <v>73.086844368013743</v>
      </c>
      <c r="G71" s="95"/>
      <c r="H71" s="548">
        <v>5.1017483519633103E-2</v>
      </c>
      <c r="I71" s="548">
        <v>2.7822871883060998</v>
      </c>
      <c r="J71" s="95"/>
      <c r="K71" s="95">
        <v>6.9098802064006604</v>
      </c>
    </row>
    <row r="72" spans="1:11">
      <c r="A72" s="547" t="s">
        <v>76</v>
      </c>
      <c r="B72" s="548"/>
      <c r="C72" s="548"/>
      <c r="D72" s="548"/>
      <c r="E72" s="548">
        <v>0.47010684579952999</v>
      </c>
      <c r="F72" s="95"/>
      <c r="G72" s="95"/>
      <c r="H72" s="548"/>
      <c r="I72" s="548">
        <v>3.07048500216422</v>
      </c>
      <c r="J72" s="95"/>
      <c r="K72" s="95">
        <v>3.5405918479637499</v>
      </c>
    </row>
    <row r="73" spans="1:11" ht="15.5">
      <c r="A73" s="550" t="s">
        <v>77</v>
      </c>
      <c r="B73" s="551">
        <f t="shared" ref="B73:H73" si="0">SUM(B63:B72)</f>
        <v>6.7258683664703129</v>
      </c>
      <c r="C73" s="551">
        <f t="shared" si="0"/>
        <v>48.6</v>
      </c>
      <c r="D73" s="551">
        <f t="shared" si="0"/>
        <v>-44.648115315061659</v>
      </c>
      <c r="E73" s="551">
        <f t="shared" si="0"/>
        <v>8.0143388742677821</v>
      </c>
      <c r="F73" s="551">
        <f t="shared" si="0"/>
        <v>180.56749785038693</v>
      </c>
      <c r="G73" s="551">
        <f t="shared" si="0"/>
        <v>12.747898926580312</v>
      </c>
      <c r="H73" s="551">
        <f t="shared" si="0"/>
        <v>4.0636143718555751</v>
      </c>
      <c r="I73" s="551">
        <f>SUM(I63:I72)</f>
        <v>-42.135189976339653</v>
      </c>
      <c r="J73" s="551">
        <f t="shared" ref="J73:K73" si="1">SUM(J63:J72)</f>
        <v>2.69093256169241</v>
      </c>
      <c r="K73" s="551">
        <f t="shared" si="1"/>
        <v>103.54000129183825</v>
      </c>
    </row>
    <row r="74" spans="1:11" ht="15.5">
      <c r="A74" s="552"/>
      <c r="B74" s="553"/>
      <c r="C74" s="553"/>
      <c r="D74" s="553"/>
      <c r="E74" s="553"/>
      <c r="F74" s="553"/>
      <c r="G74" s="553"/>
      <c r="H74" s="553"/>
      <c r="I74" s="553"/>
      <c r="J74" s="553"/>
      <c r="K74" s="553"/>
    </row>
    <row r="75" spans="1:11" ht="15.5">
      <c r="A75" s="555" t="s">
        <v>78</v>
      </c>
      <c r="B75" s="548">
        <v>0.34460926494283001</v>
      </c>
      <c r="C75" s="95"/>
      <c r="D75" s="548">
        <v>1.6824094604778199</v>
      </c>
      <c r="E75" s="548">
        <v>11.162255863946999</v>
      </c>
      <c r="F75" s="95"/>
      <c r="G75" s="95"/>
      <c r="H75" s="548">
        <v>2.21443427408621</v>
      </c>
      <c r="I75" s="548">
        <v>10.361652160227999</v>
      </c>
      <c r="J75" s="548">
        <v>0.73743472365086704</v>
      </c>
      <c r="K75" s="95">
        <v>26.502795747332701</v>
      </c>
    </row>
    <row r="76" spans="1:11" ht="15.5">
      <c r="A76" s="555" t="s">
        <v>79</v>
      </c>
      <c r="B76" s="95"/>
      <c r="C76" s="95"/>
      <c r="D76" s="548">
        <v>38.466254560000003</v>
      </c>
      <c r="E76" s="548">
        <v>7.6411998210945506E-2</v>
      </c>
      <c r="F76" s="95"/>
      <c r="G76" s="95"/>
      <c r="H76" s="548">
        <v>3.6461042896859799</v>
      </c>
      <c r="I76" s="548">
        <v>1.1990119518486699</v>
      </c>
      <c r="J76" s="548">
        <v>0</v>
      </c>
      <c r="K76" s="95">
        <v>43.387782799745601</v>
      </c>
    </row>
    <row r="77" spans="1:11">
      <c r="A77" s="547" t="s">
        <v>80</v>
      </c>
      <c r="B77" s="548">
        <v>0</v>
      </c>
      <c r="C77" s="95"/>
      <c r="D77" s="548">
        <v>5.3179954110546097</v>
      </c>
      <c r="E77" s="548">
        <v>9.4612008749007703</v>
      </c>
      <c r="F77" s="95"/>
      <c r="G77" s="95"/>
      <c r="H77" s="548">
        <v>9.6645163701542103</v>
      </c>
      <c r="I77" s="548">
        <v>13.284467058142599</v>
      </c>
      <c r="J77" s="548">
        <v>1.3282443630018601</v>
      </c>
      <c r="K77" s="95">
        <v>39.0564240772541</v>
      </c>
    </row>
    <row r="78" spans="1:11">
      <c r="A78" s="547" t="s">
        <v>81</v>
      </c>
      <c r="B78" s="548">
        <v>0</v>
      </c>
      <c r="C78" s="95"/>
      <c r="D78" s="548">
        <v>2.5563656446401701</v>
      </c>
      <c r="E78" s="548">
        <v>6.7347370383486203</v>
      </c>
      <c r="F78" s="95"/>
      <c r="G78" s="95"/>
      <c r="H78" s="548">
        <v>0.96062076724509604</v>
      </c>
      <c r="I78" s="548">
        <v>13.178365476499801</v>
      </c>
      <c r="J78" s="548">
        <v>0.62525347503968098</v>
      </c>
      <c r="K78" s="95">
        <v>24.055342401773299</v>
      </c>
    </row>
    <row r="79" spans="1:11">
      <c r="A79" s="547" t="s">
        <v>82</v>
      </c>
      <c r="B79" s="548">
        <v>2.2137192704974398E-3</v>
      </c>
      <c r="C79" s="95"/>
      <c r="D79" s="548">
        <v>3.2913790892055199</v>
      </c>
      <c r="E79" s="548">
        <v>0.197127474158172</v>
      </c>
      <c r="F79" s="95"/>
      <c r="G79" s="95"/>
      <c r="H79" s="548">
        <v>0.16206604582270401</v>
      </c>
      <c r="I79" s="548">
        <v>0.723240881677221</v>
      </c>
      <c r="J79" s="548">
        <v>6.4536710533781398E-3</v>
      </c>
      <c r="K79" s="95">
        <v>4.3824808811875</v>
      </c>
    </row>
    <row r="80" spans="1:11" ht="15.5">
      <c r="A80" s="550" t="s">
        <v>83</v>
      </c>
      <c r="B80" s="551">
        <v>0.34682298421332702</v>
      </c>
      <c r="C80" s="551">
        <v>0</v>
      </c>
      <c r="D80" s="551">
        <v>51.3144041653781</v>
      </c>
      <c r="E80" s="551">
        <v>27.631733249565499</v>
      </c>
      <c r="F80" s="551">
        <v>0</v>
      </c>
      <c r="G80" s="551">
        <v>0</v>
      </c>
      <c r="H80" s="551">
        <v>16.6477417469942</v>
      </c>
      <c r="I80" s="551">
        <v>38.746737528396302</v>
      </c>
      <c r="J80" s="551">
        <v>2.69738623274579</v>
      </c>
      <c r="K80" s="551">
        <v>137.38482590729299</v>
      </c>
    </row>
    <row r="81" spans="1:11">
      <c r="A81" s="547" t="s">
        <v>84</v>
      </c>
      <c r="B81" s="95">
        <v>0.32686044561077698</v>
      </c>
      <c r="C81" s="95"/>
      <c r="D81" s="556">
        <v>13.005694811337801</v>
      </c>
      <c r="E81" s="556">
        <v>1.10724474305145</v>
      </c>
      <c r="F81" s="95"/>
      <c r="G81" s="95"/>
      <c r="H81" s="95"/>
      <c r="I81" s="95"/>
      <c r="J81" s="95"/>
      <c r="K81" s="95">
        <v>14.4398</v>
      </c>
    </row>
    <row r="82" spans="1:11" ht="15.5">
      <c r="A82" s="550" t="s">
        <v>85</v>
      </c>
      <c r="B82" s="551">
        <v>0.67368342982410501</v>
      </c>
      <c r="C82" s="551">
        <v>0</v>
      </c>
      <c r="D82" s="551">
        <v>64.320098976715897</v>
      </c>
      <c r="E82" s="551">
        <v>28.738977992616999</v>
      </c>
      <c r="F82" s="551">
        <v>0</v>
      </c>
      <c r="G82" s="551">
        <v>0</v>
      </c>
      <c r="H82" s="551">
        <v>16.6477417469942</v>
      </c>
      <c r="I82" s="551">
        <v>38.746737528396302</v>
      </c>
      <c r="J82" s="551">
        <v>2.69738623274579</v>
      </c>
      <c r="K82" s="551">
        <v>151.82462590729301</v>
      </c>
    </row>
    <row r="83" spans="1:11">
      <c r="A83" s="256"/>
      <c r="B83" s="256"/>
      <c r="C83" s="256"/>
      <c r="D83" s="256"/>
      <c r="E83" s="256"/>
      <c r="F83" s="256"/>
      <c r="G83" s="256"/>
      <c r="H83" s="256"/>
      <c r="I83" s="256"/>
      <c r="J83" s="256"/>
      <c r="K83" s="256"/>
    </row>
    <row r="84" spans="1:11">
      <c r="A84" s="256"/>
      <c r="B84" s="256"/>
      <c r="C84" s="256"/>
      <c r="D84" s="256"/>
      <c r="E84" s="256"/>
      <c r="F84" s="256"/>
      <c r="G84" s="256"/>
      <c r="H84" s="256"/>
      <c r="I84" s="256"/>
      <c r="J84" s="256"/>
      <c r="K84" s="256"/>
    </row>
    <row r="85" spans="1:11">
      <c r="A85" s="256"/>
      <c r="B85" s="256"/>
      <c r="C85" s="256"/>
      <c r="D85" s="256"/>
      <c r="E85" s="256"/>
      <c r="F85" s="256"/>
      <c r="G85" s="256"/>
      <c r="H85" s="256"/>
      <c r="I85" s="256"/>
      <c r="J85" s="256"/>
      <c r="K85" s="256"/>
    </row>
    <row r="86" spans="1:11">
      <c r="A86" s="256"/>
      <c r="B86" s="256"/>
      <c r="C86" s="256"/>
      <c r="D86" s="256"/>
      <c r="E86" s="256"/>
      <c r="F86" s="256"/>
      <c r="G86" s="256"/>
      <c r="H86" s="256"/>
      <c r="I86" s="256"/>
      <c r="J86" s="256"/>
      <c r="K86" s="256"/>
    </row>
    <row r="87" spans="1:11">
      <c r="A87" s="256"/>
      <c r="B87" s="256"/>
      <c r="C87" s="256"/>
      <c r="D87" s="256"/>
      <c r="E87" s="256"/>
      <c r="F87" s="256"/>
      <c r="G87" s="256"/>
      <c r="H87" s="256"/>
      <c r="I87" s="256"/>
      <c r="J87" s="256"/>
      <c r="K87" s="256"/>
    </row>
    <row r="88" spans="1:11">
      <c r="A88" s="256"/>
      <c r="B88" s="256"/>
      <c r="C88" s="256"/>
      <c r="D88" s="256"/>
      <c r="E88" s="256"/>
      <c r="F88" s="256"/>
      <c r="G88" s="256"/>
      <c r="H88" s="256"/>
      <c r="I88" s="256"/>
      <c r="J88" s="256"/>
      <c r="K88" s="256"/>
    </row>
    <row r="89" spans="1:11">
      <c r="A89" s="256"/>
      <c r="B89" s="256"/>
      <c r="C89" s="256"/>
      <c r="D89" s="256"/>
      <c r="E89" s="256"/>
      <c r="F89" s="256"/>
      <c r="G89" s="256"/>
      <c r="H89" s="256"/>
      <c r="I89" s="256"/>
      <c r="J89" s="256"/>
      <c r="K89" s="256"/>
    </row>
    <row r="90" spans="1:11">
      <c r="A90" s="256"/>
      <c r="B90" s="256"/>
      <c r="C90" s="256"/>
      <c r="D90" s="256"/>
      <c r="E90" s="256"/>
      <c r="F90" s="256"/>
      <c r="G90" s="256"/>
      <c r="H90" s="256"/>
      <c r="I90" s="256"/>
      <c r="J90" s="256"/>
      <c r="K90" s="256"/>
    </row>
    <row r="91" spans="1:11">
      <c r="A91" s="256"/>
      <c r="B91" s="256"/>
      <c r="C91" s="256"/>
      <c r="D91" s="256"/>
      <c r="E91" s="256"/>
      <c r="F91" s="256"/>
      <c r="G91" s="256"/>
      <c r="H91" s="256"/>
      <c r="I91" s="256"/>
      <c r="J91" s="256"/>
      <c r="K91" s="256"/>
    </row>
    <row r="92" spans="1:11">
      <c r="A92" s="256"/>
      <c r="B92" s="256"/>
      <c r="C92" s="256"/>
      <c r="D92" s="256"/>
      <c r="E92" s="256"/>
      <c r="F92" s="256"/>
      <c r="G92" s="256"/>
      <c r="H92" s="256"/>
      <c r="I92" s="256"/>
      <c r="J92" s="256"/>
      <c r="K92" s="256"/>
    </row>
    <row r="93" spans="1:11" ht="15.5">
      <c r="A93" s="428" t="s">
        <v>87</v>
      </c>
      <c r="B93" s="430"/>
      <c r="C93" s="430"/>
      <c r="D93" s="430"/>
      <c r="E93" s="430"/>
      <c r="F93" s="430"/>
      <c r="G93" s="429"/>
      <c r="H93" s="430"/>
      <c r="I93" s="430"/>
      <c r="J93" s="430"/>
      <c r="K93" s="430"/>
    </row>
    <row r="94" spans="1:11">
      <c r="A94" s="256"/>
      <c r="B94" s="256"/>
      <c r="C94" s="256"/>
      <c r="D94" s="256"/>
      <c r="E94" s="256"/>
      <c r="F94" s="256"/>
      <c r="G94" s="256"/>
      <c r="H94" s="256"/>
      <c r="I94" s="256"/>
      <c r="J94" s="256"/>
      <c r="K94" s="256"/>
    </row>
    <row r="95" spans="1:11">
      <c r="A95" s="256"/>
      <c r="B95" s="256"/>
      <c r="C95" s="256"/>
      <c r="D95" s="256"/>
      <c r="E95" s="256"/>
      <c r="F95" s="256"/>
      <c r="G95" s="256"/>
      <c r="H95" s="256"/>
      <c r="I95" s="256"/>
      <c r="J95" s="256"/>
      <c r="K95" s="256"/>
    </row>
    <row r="96" spans="1:11" ht="58">
      <c r="A96" s="543"/>
      <c r="B96" s="544" t="s">
        <v>42</v>
      </c>
      <c r="C96" s="544" t="s">
        <v>52</v>
      </c>
      <c r="D96" s="544" t="s">
        <v>53</v>
      </c>
      <c r="E96" s="544" t="s">
        <v>32</v>
      </c>
      <c r="F96" s="544" t="s">
        <v>20</v>
      </c>
      <c r="G96" s="544" t="s">
        <v>55</v>
      </c>
      <c r="H96" s="544" t="s">
        <v>56</v>
      </c>
      <c r="I96" s="544" t="s">
        <v>57</v>
      </c>
      <c r="J96" s="544" t="s">
        <v>58</v>
      </c>
      <c r="K96" s="544" t="s">
        <v>10</v>
      </c>
    </row>
    <row r="97" spans="1:11" ht="15.5">
      <c r="A97" s="545"/>
      <c r="B97" s="546"/>
      <c r="C97" s="546"/>
      <c r="D97" s="546"/>
      <c r="E97" s="546"/>
      <c r="F97" s="546"/>
      <c r="G97" s="546"/>
      <c r="H97" s="546"/>
      <c r="I97" s="546"/>
      <c r="J97" s="546"/>
      <c r="K97" s="546"/>
    </row>
    <row r="98" spans="1:11">
      <c r="A98" s="547" t="s">
        <v>59</v>
      </c>
      <c r="B98" s="548">
        <v>0</v>
      </c>
      <c r="C98" s="548">
        <v>0.99</v>
      </c>
      <c r="D98" s="548">
        <v>0</v>
      </c>
      <c r="E98" s="548">
        <v>1.9114359415305201E-2</v>
      </c>
      <c r="F98" s="554">
        <f>'Mix énergie_2025'!C14*'Mix énergie_2025'!L14*0.086/0.32</f>
        <v>107.5</v>
      </c>
      <c r="G98" s="554">
        <f>('Mix énergie_2025'!F14+'Mix énergie_2025'!H14+'Mix énergie_2025'!I14+'Mix énergie_2025'!J14+'Mix énergie_2025'!K14+'Mix énergie_2025'!M14)*'Mix énergie_2025'!L14*0.086</f>
        <v>14.275999999999998</v>
      </c>
      <c r="H98" s="548">
        <v>21.5</v>
      </c>
      <c r="I98" s="95"/>
      <c r="J98" s="95"/>
      <c r="K98" s="95">
        <f>SUM(B98:H98)</f>
        <v>144.2851143594153</v>
      </c>
    </row>
    <row r="99" spans="1:11">
      <c r="A99" s="547" t="s">
        <v>60</v>
      </c>
      <c r="B99" s="548">
        <v>4.3835833936696398</v>
      </c>
      <c r="C99" s="548">
        <v>45.11</v>
      </c>
      <c r="D99" s="548">
        <v>27.823369679704001</v>
      </c>
      <c r="E99" s="548">
        <v>36.059223088511303</v>
      </c>
      <c r="F99" s="95"/>
      <c r="G99" s="95"/>
      <c r="H99" s="95">
        <v>0</v>
      </c>
      <c r="I99" s="95">
        <v>0</v>
      </c>
      <c r="J99" s="95"/>
      <c r="K99" s="95">
        <v>113.376176161885</v>
      </c>
    </row>
    <row r="100" spans="1:11">
      <c r="A100" s="547" t="s">
        <v>61</v>
      </c>
      <c r="B100" s="548">
        <v>0</v>
      </c>
      <c r="C100" s="548">
        <v>0</v>
      </c>
      <c r="D100" s="548">
        <v>0</v>
      </c>
      <c r="E100" s="548">
        <v>0</v>
      </c>
      <c r="F100" s="95"/>
      <c r="G100" s="95"/>
      <c r="H100" s="548">
        <v>-2.5426065513161702</v>
      </c>
      <c r="I100" s="95">
        <f>I116+I125</f>
        <v>-5.7399940155349327</v>
      </c>
      <c r="J100" s="95"/>
      <c r="K100" s="95">
        <v>-10.037671418097901</v>
      </c>
    </row>
    <row r="101" spans="1:11">
      <c r="A101" s="547" t="s">
        <v>62</v>
      </c>
      <c r="B101" s="548"/>
      <c r="C101" s="548"/>
      <c r="D101" s="548">
        <v>-1.4</v>
      </c>
      <c r="E101" s="548"/>
      <c r="F101" s="95"/>
      <c r="G101" s="95"/>
      <c r="H101" s="548"/>
      <c r="I101" s="95"/>
      <c r="J101" s="95"/>
      <c r="K101" s="95">
        <v>20.100000000000001</v>
      </c>
    </row>
    <row r="102" spans="1:11">
      <c r="A102" s="547" t="s">
        <v>63</v>
      </c>
      <c r="B102" s="548"/>
      <c r="C102" s="548"/>
      <c r="D102" s="548">
        <v>-6.8007692346473698</v>
      </c>
      <c r="E102" s="548"/>
      <c r="F102" s="95"/>
      <c r="G102" s="95"/>
      <c r="H102" s="95"/>
      <c r="I102" s="95"/>
      <c r="J102" s="95"/>
      <c r="K102" s="95">
        <v>-6.8007692346473698</v>
      </c>
    </row>
    <row r="103" spans="1:11">
      <c r="A103" s="547" t="s">
        <v>64</v>
      </c>
      <c r="B103" s="95"/>
      <c r="C103" s="95"/>
      <c r="D103" s="95"/>
      <c r="E103" s="95"/>
      <c r="F103" s="95"/>
      <c r="G103" s="95"/>
      <c r="H103" s="95"/>
      <c r="I103" s="95"/>
      <c r="J103" s="95"/>
      <c r="K103" s="95">
        <v>0</v>
      </c>
    </row>
    <row r="104" spans="1:11" ht="15.5">
      <c r="A104" s="550" t="s">
        <v>65</v>
      </c>
      <c r="B104" s="551">
        <v>4.3835833936696398</v>
      </c>
      <c r="C104" s="551">
        <v>46.1</v>
      </c>
      <c r="D104" s="551">
        <v>19.622600445056602</v>
      </c>
      <c r="E104" s="551">
        <v>36.0783374479266</v>
      </c>
      <c r="F104" s="551">
        <v>0</v>
      </c>
      <c r="G104" s="551">
        <v>0</v>
      </c>
      <c r="H104" s="551">
        <f>SUM(H98:H100)</f>
        <v>18.957393448683831</v>
      </c>
      <c r="I104" s="551">
        <f>SUM(I98:I103)</f>
        <v>-5.7399940155349327</v>
      </c>
      <c r="J104" s="551">
        <v>0</v>
      </c>
      <c r="K104" s="551">
        <v>139.14684986855499</v>
      </c>
    </row>
    <row r="105" spans="1:11" ht="15.5">
      <c r="A105" s="552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</row>
    <row r="106" spans="1:11">
      <c r="A106" s="547" t="s">
        <v>66</v>
      </c>
      <c r="B106" s="548"/>
      <c r="C106" s="548"/>
      <c r="D106" s="548"/>
      <c r="E106" s="548"/>
      <c r="F106" s="95"/>
      <c r="G106" s="95"/>
      <c r="H106" s="95"/>
      <c r="I106" s="95"/>
      <c r="J106" s="95"/>
      <c r="K106" s="95">
        <v>0</v>
      </c>
    </row>
    <row r="107" spans="1:11">
      <c r="A107" s="547" t="s">
        <v>67</v>
      </c>
      <c r="B107" s="548"/>
      <c r="C107" s="548"/>
      <c r="D107" s="548"/>
      <c r="E107" s="548"/>
      <c r="F107" s="95"/>
      <c r="G107" s="95"/>
      <c r="H107" s="548"/>
      <c r="I107" s="548"/>
      <c r="J107" s="95"/>
      <c r="K107" s="95">
        <v>0</v>
      </c>
    </row>
    <row r="108" spans="1:11">
      <c r="A108" s="547" t="s">
        <v>68</v>
      </c>
      <c r="B108" s="548">
        <f>'Mix énergie_2015'!D16*'Mix énergie_2015'!L16/0.25/11.63</f>
        <v>2.5795356835769558</v>
      </c>
      <c r="C108" s="548">
        <v>0</v>
      </c>
      <c r="D108" s="548"/>
      <c r="E108" s="548">
        <f>'Mix énergie_2015'!G16*'Mix énergie_2015'!L16/11.63/0.53</f>
        <v>4.1369911906422878</v>
      </c>
      <c r="F108" s="554">
        <f>F98</f>
        <v>107.5</v>
      </c>
      <c r="G108" s="554">
        <f>G98</f>
        <v>14.275999999999998</v>
      </c>
      <c r="H108" s="548">
        <f>'Mix énergie_2015'!K16*'Mix énergie_2015'!L16/0.35/11.63</f>
        <v>3.4393809114359413</v>
      </c>
      <c r="I108" s="548">
        <f>-'Mix énergie_2015'!L16/11.63</f>
        <v>-51.504729148753221</v>
      </c>
      <c r="J108" s="95"/>
      <c r="K108" s="95">
        <f>SUM(B108:I108)</f>
        <v>80.427178636901942</v>
      </c>
    </row>
    <row r="109" spans="1:11">
      <c r="A109" s="547" t="s">
        <v>69</v>
      </c>
      <c r="B109" s="548"/>
      <c r="C109" s="548"/>
      <c r="D109" s="548"/>
      <c r="E109" s="548"/>
      <c r="F109" s="95"/>
      <c r="G109" s="95"/>
      <c r="H109" s="548"/>
      <c r="I109" s="548"/>
      <c r="J109" s="95"/>
      <c r="K109" s="95">
        <v>0</v>
      </c>
    </row>
    <row r="110" spans="1:11">
      <c r="A110" s="547" t="s">
        <v>70</v>
      </c>
      <c r="B110" s="548">
        <v>0.15863413858007</v>
      </c>
      <c r="C110" s="548"/>
      <c r="D110" s="548">
        <v>3.27594604359982E-2</v>
      </c>
      <c r="E110" s="548">
        <v>1.3935858860636501</v>
      </c>
      <c r="F110" s="95"/>
      <c r="G110" s="95"/>
      <c r="H110" s="548">
        <v>1.30219575327652</v>
      </c>
      <c r="I110" s="548"/>
      <c r="J110" s="95">
        <v>2.6193325616924099</v>
      </c>
      <c r="K110" s="95">
        <v>5.5065078000486398</v>
      </c>
    </row>
    <row r="111" spans="1:11">
      <c r="A111" s="547" t="s">
        <v>71</v>
      </c>
      <c r="B111" s="548"/>
      <c r="C111" s="548"/>
      <c r="D111" s="548"/>
      <c r="E111" s="548"/>
      <c r="F111" s="95"/>
      <c r="G111" s="95"/>
      <c r="H111" s="548"/>
      <c r="I111" s="548"/>
      <c r="J111" s="95"/>
      <c r="K111" s="95">
        <v>0</v>
      </c>
    </row>
    <row r="112" spans="1:11">
      <c r="A112" s="547" t="s">
        <v>72</v>
      </c>
      <c r="B112" s="548"/>
      <c r="C112" s="548">
        <v>46.1</v>
      </c>
      <c r="D112" s="548">
        <v>-44</v>
      </c>
      <c r="E112" s="548">
        <v>0.7</v>
      </c>
      <c r="F112" s="95"/>
      <c r="G112" s="95"/>
      <c r="H112" s="548"/>
      <c r="I112" s="548"/>
      <c r="J112" s="95"/>
      <c r="K112" s="95">
        <v>2.8</v>
      </c>
    </row>
    <row r="113" spans="1:11">
      <c r="A113" s="547" t="s">
        <v>74</v>
      </c>
      <c r="B113" s="548">
        <v>2.7919999999999998</v>
      </c>
      <c r="C113" s="548"/>
      <c r="D113" s="548"/>
      <c r="E113" s="548"/>
      <c r="F113" s="95"/>
      <c r="G113" s="95"/>
      <c r="H113" s="548"/>
      <c r="I113" s="548"/>
      <c r="J113" s="95"/>
      <c r="K113" s="95">
        <v>2.7919999999999998</v>
      </c>
    </row>
    <row r="114" spans="1:11">
      <c r="A114" s="547" t="s">
        <v>75</v>
      </c>
      <c r="B114" s="548">
        <v>1.0374988057705199</v>
      </c>
      <c r="C114" s="548"/>
      <c r="D114" s="548">
        <v>1.7969999999999999</v>
      </c>
      <c r="E114" s="548">
        <v>1.2420767288043999</v>
      </c>
      <c r="F114" s="95"/>
      <c r="G114" s="95"/>
      <c r="H114" s="548">
        <v>5.1017483519633103E-2</v>
      </c>
      <c r="I114" s="548">
        <v>2.7822871883060998</v>
      </c>
      <c r="J114" s="95"/>
      <c r="K114" s="95">
        <v>6.9098802064006604</v>
      </c>
    </row>
    <row r="115" spans="1:11">
      <c r="A115" s="547" t="s">
        <v>76</v>
      </c>
      <c r="B115" s="548"/>
      <c r="C115" s="548"/>
      <c r="D115" s="548"/>
      <c r="E115" s="548">
        <v>0.45324533266530498</v>
      </c>
      <c r="F115" s="95"/>
      <c r="G115" s="95"/>
      <c r="H115" s="548"/>
      <c r="I115" s="548">
        <v>3.3174308475929899</v>
      </c>
      <c r="J115" s="95"/>
      <c r="K115" s="95">
        <v>3.77067618025829</v>
      </c>
    </row>
    <row r="116" spans="1:11" ht="15.5">
      <c r="A116" s="550" t="s">
        <v>77</v>
      </c>
      <c r="B116" s="551">
        <v>3.98813294435059</v>
      </c>
      <c r="C116" s="551">
        <v>46.1</v>
      </c>
      <c r="D116" s="551">
        <v>-42.170240539563999</v>
      </c>
      <c r="E116" s="551">
        <v>8.7323877629304505</v>
      </c>
      <c r="F116" s="551">
        <v>0</v>
      </c>
      <c r="G116" s="551">
        <v>0</v>
      </c>
      <c r="H116" s="551">
        <v>1.35321323679615</v>
      </c>
      <c r="I116" s="551">
        <f>SUM(I106:I115)</f>
        <v>-45.405011112854133</v>
      </c>
      <c r="J116" s="551">
        <v>2.6193325616924099</v>
      </c>
      <c r="K116" s="551">
        <v>-26.537255997895301</v>
      </c>
    </row>
    <row r="117" spans="1:11" ht="15.5">
      <c r="A117" s="552"/>
      <c r="B117" s="553"/>
      <c r="C117" s="553"/>
      <c r="D117" s="553"/>
      <c r="E117" s="553"/>
      <c r="F117" s="553"/>
      <c r="G117" s="553"/>
      <c r="H117" s="553"/>
      <c r="I117" s="553"/>
      <c r="J117" s="553"/>
      <c r="K117" s="553"/>
    </row>
    <row r="118" spans="1:11" ht="15.5">
      <c r="A118" s="555" t="s">
        <v>78</v>
      </c>
      <c r="B118" s="548">
        <v>4.9709264942829498E-2</v>
      </c>
      <c r="C118" s="95"/>
      <c r="D118" s="548">
        <v>1.0148094604778199</v>
      </c>
      <c r="E118" s="548">
        <v>11.4087101159338</v>
      </c>
      <c r="F118" s="95"/>
      <c r="G118" s="95"/>
      <c r="H118" s="548">
        <v>3.0015800220994202</v>
      </c>
      <c r="I118" s="548">
        <v>10.545152160228</v>
      </c>
      <c r="J118" s="548">
        <v>0.73363472365086702</v>
      </c>
      <c r="K118" s="95">
        <v>26.7535957473327</v>
      </c>
    </row>
    <row r="119" spans="1:11" ht="15.5">
      <c r="A119" s="555" t="s">
        <v>79</v>
      </c>
      <c r="B119" s="95"/>
      <c r="C119" s="95"/>
      <c r="D119" s="548">
        <v>37.500616436523501</v>
      </c>
      <c r="E119" s="548">
        <v>8.0284074027079294E-2</v>
      </c>
      <c r="F119" s="95"/>
      <c r="G119" s="95"/>
      <c r="H119" s="548">
        <v>3.3332703373463399</v>
      </c>
      <c r="I119" s="548">
        <v>1.47291195184867</v>
      </c>
      <c r="J119" s="548">
        <v>0</v>
      </c>
      <c r="K119" s="95">
        <v>42.387082799745599</v>
      </c>
    </row>
    <row r="120" spans="1:11">
      <c r="A120" s="547" t="s">
        <v>80</v>
      </c>
      <c r="B120" s="548">
        <v>0</v>
      </c>
      <c r="C120" s="95"/>
      <c r="D120" s="548">
        <v>4.5177954110546104</v>
      </c>
      <c r="E120" s="548">
        <v>8.4917229584748206</v>
      </c>
      <c r="F120" s="95"/>
      <c r="G120" s="95"/>
      <c r="H120" s="548">
        <v>10.056378037090999</v>
      </c>
      <c r="I120" s="548">
        <v>13.166367058142599</v>
      </c>
      <c r="J120" s="548">
        <v>1.3003443630018601</v>
      </c>
      <c r="K120" s="95">
        <v>37.532607827764899</v>
      </c>
    </row>
    <row r="121" spans="1:11">
      <c r="A121" s="547" t="s">
        <v>81</v>
      </c>
      <c r="B121" s="548">
        <v>0</v>
      </c>
      <c r="C121" s="95"/>
      <c r="D121" s="548">
        <v>2.1334656446401699</v>
      </c>
      <c r="E121" s="548">
        <v>6.0618945971729996</v>
      </c>
      <c r="F121" s="95"/>
      <c r="G121" s="95"/>
      <c r="H121" s="548">
        <v>1.04718925762437</v>
      </c>
      <c r="I121" s="548">
        <v>13.7787654764998</v>
      </c>
      <c r="J121" s="548">
        <v>0.58535347503968105</v>
      </c>
      <c r="K121" s="95">
        <v>23.606668450977001</v>
      </c>
    </row>
    <row r="122" spans="1:11">
      <c r="A122" s="547" t="s">
        <v>82</v>
      </c>
      <c r="B122" s="548">
        <v>2.2137192704974398E-3</v>
      </c>
      <c r="C122" s="95"/>
      <c r="D122" s="548">
        <v>3.1990557957396399</v>
      </c>
      <c r="E122" s="548">
        <v>0.191763640678039</v>
      </c>
      <c r="F122" s="95"/>
      <c r="G122" s="95"/>
      <c r="H122" s="548">
        <v>0.165762557726544</v>
      </c>
      <c r="I122" s="548">
        <v>0.70182045060013498</v>
      </c>
      <c r="J122" s="548">
        <v>6.4536710533781398E-3</v>
      </c>
      <c r="K122" s="95">
        <v>4.2670698350682397</v>
      </c>
    </row>
    <row r="123" spans="1:11" ht="15.5">
      <c r="A123" s="550" t="s">
        <v>83</v>
      </c>
      <c r="B123" s="551">
        <v>5.1922984213326903E-2</v>
      </c>
      <c r="C123" s="551">
        <v>0</v>
      </c>
      <c r="D123" s="551">
        <v>48.3657427484358</v>
      </c>
      <c r="E123" s="551">
        <v>26.2343753862867</v>
      </c>
      <c r="F123" s="551">
        <v>0</v>
      </c>
      <c r="G123" s="551">
        <v>0</v>
      </c>
      <c r="H123" s="551">
        <v>17.604180211887702</v>
      </c>
      <c r="I123" s="551">
        <v>39.6650170973192</v>
      </c>
      <c r="J123" s="551">
        <v>2.6257862327457899</v>
      </c>
      <c r="K123" s="551">
        <v>134.54702466088801</v>
      </c>
    </row>
    <row r="124" spans="1:11">
      <c r="A124" s="547" t="s">
        <v>84</v>
      </c>
      <c r="B124" s="95">
        <v>0.34352746510573001</v>
      </c>
      <c r="C124" s="95"/>
      <c r="D124" s="556">
        <v>13.4270982361849</v>
      </c>
      <c r="E124" s="556">
        <v>1.11157429870939</v>
      </c>
      <c r="F124" s="95"/>
      <c r="G124" s="95"/>
      <c r="H124" s="95"/>
      <c r="I124" s="95"/>
      <c r="J124" s="95"/>
      <c r="K124" s="95">
        <v>14.882199999999999</v>
      </c>
    </row>
    <row r="125" spans="1:11" ht="15.5">
      <c r="A125" s="550" t="s">
        <v>85</v>
      </c>
      <c r="B125" s="551">
        <v>0.39545044931905698</v>
      </c>
      <c r="C125" s="551">
        <v>0</v>
      </c>
      <c r="D125" s="551">
        <v>61.792840984620597</v>
      </c>
      <c r="E125" s="551">
        <v>27.3459496849961</v>
      </c>
      <c r="F125" s="551">
        <v>0</v>
      </c>
      <c r="G125" s="551">
        <v>0</v>
      </c>
      <c r="H125" s="551">
        <v>17.604180211887702</v>
      </c>
      <c r="I125" s="551">
        <v>39.6650170973192</v>
      </c>
      <c r="J125" s="551">
        <v>2.6257862327457899</v>
      </c>
      <c r="K125" s="551">
        <v>149.429224660888</v>
      </c>
    </row>
    <row r="126" spans="1:1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</row>
    <row r="127" spans="1:1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</row>
    <row r="128" spans="1:1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</row>
    <row r="129" spans="1:1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</row>
    <row r="130" spans="1:1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</row>
    <row r="131" spans="1:1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</row>
    <row r="132" spans="1:1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</row>
    <row r="133" spans="1:1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</row>
    <row r="134" spans="1:1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</row>
    <row r="135" spans="1:1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</row>
    <row r="136" spans="1:11" ht="15.5">
      <c r="A136" s="428" t="s">
        <v>88</v>
      </c>
      <c r="B136" s="430"/>
      <c r="C136" s="430"/>
      <c r="D136" s="430"/>
      <c r="E136" s="430"/>
      <c r="F136" s="430"/>
      <c r="G136" s="429"/>
      <c r="H136" s="430"/>
      <c r="I136" s="430"/>
      <c r="J136" s="430"/>
      <c r="K136" s="430"/>
    </row>
    <row r="137" spans="1:1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</row>
    <row r="138" spans="1:1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</row>
    <row r="139" spans="1:11" ht="58">
      <c r="A139" s="543"/>
      <c r="B139" s="544" t="s">
        <v>42</v>
      </c>
      <c r="C139" s="544" t="s">
        <v>52</v>
      </c>
      <c r="D139" s="544" t="s">
        <v>53</v>
      </c>
      <c r="E139" s="544" t="s">
        <v>32</v>
      </c>
      <c r="F139" s="544" t="s">
        <v>20</v>
      </c>
      <c r="G139" s="544" t="s">
        <v>55</v>
      </c>
      <c r="H139" s="544" t="s">
        <v>56</v>
      </c>
      <c r="I139" s="544" t="s">
        <v>57</v>
      </c>
      <c r="J139" s="544" t="s">
        <v>58</v>
      </c>
      <c r="K139" s="544" t="s">
        <v>10</v>
      </c>
    </row>
    <row r="140" spans="1:11" ht="15.5">
      <c r="A140" s="545"/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</row>
    <row r="141" spans="1:11">
      <c r="A141" s="547" t="s">
        <v>59</v>
      </c>
      <c r="B141" s="548">
        <v>0</v>
      </c>
      <c r="C141" s="548">
        <v>0.99</v>
      </c>
      <c r="D141" s="548">
        <v>0</v>
      </c>
      <c r="E141" s="548">
        <v>1.9114359415305201E-2</v>
      </c>
      <c r="F141" s="554">
        <f>'Mix énergie_2030'!C14*'Mix énergie_2030'!L14*0.086/0.32</f>
        <v>107.5</v>
      </c>
      <c r="G141" s="554">
        <f>('Mix énergie_2030'!F14+'Mix énergie_2030'!H14+'Mix énergie_2030'!I14+'Mix énergie_2030'!J14+'Mix énergie_2030'!K14+'Mix énergie_2030'!M14)*'Mix énergie_2030'!L14*0.086</f>
        <v>16.684000000000001</v>
      </c>
      <c r="H141" s="548">
        <v>22.3</v>
      </c>
      <c r="I141" s="95"/>
      <c r="J141" s="95"/>
      <c r="K141" s="95">
        <f>SUM(B141:H141)</f>
        <v>147.4931143594153</v>
      </c>
    </row>
    <row r="142" spans="1:11">
      <c r="A142" s="547" t="s">
        <v>60</v>
      </c>
      <c r="B142" s="548">
        <v>4.2145990929815103</v>
      </c>
      <c r="C142" s="548">
        <v>43.31</v>
      </c>
      <c r="D142" s="548">
        <v>27.7759663764108</v>
      </c>
      <c r="E142" s="548">
        <v>34.850190460047898</v>
      </c>
      <c r="F142" s="95"/>
      <c r="G142" s="95"/>
      <c r="H142" s="95">
        <v>0</v>
      </c>
      <c r="I142" s="95">
        <v>0</v>
      </c>
      <c r="J142" s="95"/>
      <c r="K142" s="95">
        <v>110.15075592944</v>
      </c>
    </row>
    <row r="143" spans="1:11">
      <c r="A143" s="547" t="s">
        <v>61</v>
      </c>
      <c r="B143" s="557">
        <v>0</v>
      </c>
      <c r="C143" s="557">
        <v>0</v>
      </c>
      <c r="D143" s="548">
        <v>0</v>
      </c>
      <c r="E143" s="557">
        <v>0</v>
      </c>
      <c r="F143" s="95"/>
      <c r="G143" s="95"/>
      <c r="H143" s="557">
        <v>-2.72104012127323</v>
      </c>
      <c r="I143" s="95">
        <f>I159+I166</f>
        <v>-6.8170956314650155</v>
      </c>
      <c r="J143" s="95"/>
      <c r="K143" s="95">
        <v>-10.124039965979801</v>
      </c>
    </row>
    <row r="144" spans="1:11">
      <c r="A144" s="547" t="s">
        <v>62</v>
      </c>
      <c r="B144" s="95"/>
      <c r="C144" s="95"/>
      <c r="D144" s="95">
        <v>-1.4</v>
      </c>
      <c r="E144" s="95"/>
      <c r="F144" s="95"/>
      <c r="G144" s="95"/>
      <c r="H144" s="95"/>
      <c r="I144" s="95"/>
      <c r="J144" s="95"/>
      <c r="K144" s="95">
        <v>-1.4</v>
      </c>
    </row>
    <row r="145" spans="1:13">
      <c r="A145" s="547" t="s">
        <v>63</v>
      </c>
      <c r="B145" s="95"/>
      <c r="C145" s="95"/>
      <c r="D145" s="95">
        <v>-7.3263599105945998</v>
      </c>
      <c r="E145" s="95"/>
      <c r="F145" s="95"/>
      <c r="G145" s="95"/>
      <c r="H145" s="95"/>
      <c r="I145" s="95"/>
      <c r="J145" s="95"/>
      <c r="K145" s="95">
        <v>-7.3263599105945998</v>
      </c>
    </row>
    <row r="146" spans="1:13">
      <c r="A146" s="547" t="s">
        <v>64</v>
      </c>
      <c r="B146" s="95"/>
      <c r="C146" s="95"/>
      <c r="D146" s="95"/>
      <c r="E146" s="95"/>
      <c r="F146" s="95"/>
      <c r="G146" s="95"/>
      <c r="H146" s="95"/>
      <c r="I146" s="95"/>
      <c r="J146" s="95"/>
      <c r="K146" s="95">
        <v>0</v>
      </c>
    </row>
    <row r="147" spans="1:13" ht="15.5">
      <c r="A147" s="550" t="s">
        <v>65</v>
      </c>
      <c r="B147" s="558">
        <v>4.2145990929815103</v>
      </c>
      <c r="C147" s="558">
        <v>44.3</v>
      </c>
      <c r="D147" s="558">
        <v>19.049606465816201</v>
      </c>
      <c r="E147" s="558">
        <v>34.869304819463203</v>
      </c>
      <c r="F147" s="558">
        <v>0</v>
      </c>
      <c r="G147" s="558">
        <v>0</v>
      </c>
      <c r="H147" s="558">
        <v>19.578959878726799</v>
      </c>
      <c r="I147" s="558">
        <f>SUM(I141:I146)</f>
        <v>-6.8170956314650155</v>
      </c>
      <c r="J147" s="558">
        <v>0</v>
      </c>
      <c r="K147" s="558">
        <v>114.609470412281</v>
      </c>
      <c r="M147" s="602"/>
    </row>
    <row r="148" spans="1:13" ht="15.5">
      <c r="A148" s="552"/>
      <c r="B148" s="559"/>
      <c r="C148" s="559"/>
      <c r="D148" s="559"/>
      <c r="E148" s="559"/>
      <c r="F148" s="559"/>
      <c r="G148" s="559"/>
      <c r="H148" s="559"/>
      <c r="I148" s="559"/>
      <c r="J148" s="559"/>
      <c r="K148" s="559"/>
    </row>
    <row r="149" spans="1:13">
      <c r="A149" s="547" t="s">
        <v>66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>
        <v>0</v>
      </c>
    </row>
    <row r="150" spans="1:13">
      <c r="A150" s="547" t="s">
        <v>67</v>
      </c>
      <c r="B150" s="548"/>
      <c r="C150" s="548"/>
      <c r="D150" s="548"/>
      <c r="E150" s="548"/>
      <c r="F150" s="95"/>
      <c r="G150" s="95"/>
      <c r="H150" s="95"/>
      <c r="I150" s="95"/>
      <c r="J150" s="95"/>
      <c r="K150" s="95">
        <v>0</v>
      </c>
    </row>
    <row r="151" spans="1:13">
      <c r="A151" s="547" t="s">
        <v>68</v>
      </c>
      <c r="B151" s="548">
        <f>'Mix énergie_2015'!D17*'Mix énergie_2015'!L17/0.25/11.63</f>
        <v>2.5795356835769558</v>
      </c>
      <c r="C151" s="548">
        <v>0</v>
      </c>
      <c r="D151" s="548"/>
      <c r="E151" s="548">
        <f>'Mix énergie_2015'!G17*'Mix énergie_2015'!L17/11.63/0.57</f>
        <v>3.8466760193691449</v>
      </c>
      <c r="F151" s="554">
        <f>F141</f>
        <v>107.5</v>
      </c>
      <c r="G151" s="554">
        <f>G141</f>
        <v>16.684000000000001</v>
      </c>
      <c r="H151" s="548">
        <f>'Mix énergie_2015'!K17*'Mix énergie_2015'!L17/11.63/0.4</f>
        <v>3.6543422184006871</v>
      </c>
      <c r="I151" s="548">
        <f>-'Mix énergie_2015'!L17/11.63</f>
        <v>-53.912295786758378</v>
      </c>
      <c r="J151" s="95"/>
      <c r="K151" s="95">
        <f>SUM(B151:I151)</f>
        <v>80.352258134588439</v>
      </c>
    </row>
    <row r="152" spans="1:13">
      <c r="A152" s="547" t="s">
        <v>69</v>
      </c>
      <c r="B152" s="548"/>
      <c r="C152" s="548"/>
      <c r="D152" s="548"/>
      <c r="E152" s="548"/>
      <c r="F152" s="95"/>
      <c r="G152" s="95"/>
      <c r="H152" s="548"/>
      <c r="I152" s="548"/>
      <c r="J152" s="95"/>
      <c r="K152" s="95">
        <v>0</v>
      </c>
    </row>
    <row r="153" spans="1:13">
      <c r="A153" s="547" t="s">
        <v>70</v>
      </c>
      <c r="B153" s="548">
        <v>0.122830244900262</v>
      </c>
      <c r="C153" s="548"/>
      <c r="D153" s="548">
        <v>2.41383405982184E-2</v>
      </c>
      <c r="E153" s="548">
        <v>1.4063742241295001</v>
      </c>
      <c r="F153" s="95"/>
      <c r="G153" s="95"/>
      <c r="H153" s="548">
        <v>1.30147098010249</v>
      </c>
      <c r="I153" s="548"/>
      <c r="J153" s="95">
        <v>2.5916325616924101</v>
      </c>
      <c r="K153" s="95">
        <v>5.44644635142288</v>
      </c>
    </row>
    <row r="154" spans="1:13">
      <c r="A154" s="547" t="s">
        <v>71</v>
      </c>
      <c r="B154" s="548"/>
      <c r="C154" s="548"/>
      <c r="D154" s="548"/>
      <c r="E154" s="548"/>
      <c r="F154" s="95"/>
      <c r="G154" s="95"/>
      <c r="H154" s="548"/>
      <c r="I154" s="548"/>
      <c r="J154" s="95"/>
      <c r="K154" s="95">
        <v>0</v>
      </c>
    </row>
    <row r="155" spans="1:13">
      <c r="A155" s="547" t="s">
        <v>72</v>
      </c>
      <c r="B155" s="548"/>
      <c r="C155" s="548">
        <v>44.3</v>
      </c>
      <c r="D155" s="548">
        <v>-42.3</v>
      </c>
      <c r="E155" s="548">
        <v>0.7</v>
      </c>
      <c r="F155" s="95"/>
      <c r="G155" s="95"/>
      <c r="H155" s="548"/>
      <c r="I155" s="548"/>
      <c r="J155" s="95"/>
      <c r="K155" s="95">
        <v>2.7</v>
      </c>
    </row>
    <row r="156" spans="1:13">
      <c r="A156" s="547" t="s">
        <v>74</v>
      </c>
      <c r="B156" s="548">
        <v>2.6892999999999998</v>
      </c>
      <c r="C156" s="548"/>
      <c r="D156" s="548"/>
      <c r="E156" s="548"/>
      <c r="F156" s="95"/>
      <c r="G156" s="95"/>
      <c r="H156" s="548"/>
      <c r="I156" s="548"/>
      <c r="J156" s="95"/>
      <c r="K156" s="95">
        <v>2.6892999999999998</v>
      </c>
    </row>
    <row r="157" spans="1:13">
      <c r="A157" s="547" t="s">
        <v>75</v>
      </c>
      <c r="B157" s="548">
        <v>1.0374988057705199</v>
      </c>
      <c r="C157" s="548"/>
      <c r="D157" s="548">
        <v>1.7969999999999999</v>
      </c>
      <c r="E157" s="548">
        <v>1.2420767288043999</v>
      </c>
      <c r="F157" s="95"/>
      <c r="G157" s="95"/>
      <c r="H157" s="548">
        <v>5.1017483519633103E-2</v>
      </c>
      <c r="I157" s="548">
        <v>2.7822871883060998</v>
      </c>
      <c r="J157" s="95"/>
      <c r="K157" s="95">
        <v>6.9098802064006604</v>
      </c>
    </row>
    <row r="158" spans="1:13">
      <c r="A158" s="547" t="s">
        <v>76</v>
      </c>
      <c r="B158" s="548"/>
      <c r="C158" s="548"/>
      <c r="D158" s="548"/>
      <c r="E158" s="548">
        <v>0.43750889256047498</v>
      </c>
      <c r="F158" s="95"/>
      <c r="G158" s="95"/>
      <c r="H158" s="548"/>
      <c r="I158" s="548">
        <v>3.3945679446466599</v>
      </c>
      <c r="J158" s="95"/>
      <c r="K158" s="95">
        <v>3.8320768372071301</v>
      </c>
    </row>
    <row r="159" spans="1:13" ht="15.5">
      <c r="A159" s="550" t="s">
        <v>77</v>
      </c>
      <c r="B159" s="558">
        <v>3.8496290506707802</v>
      </c>
      <c r="C159" s="558">
        <v>44.3</v>
      </c>
      <c r="D159" s="558">
        <v>-40.478861659401801</v>
      </c>
      <c r="E159" s="558">
        <f>SUM(E149:E158)</f>
        <v>7.63263586486352</v>
      </c>
      <c r="F159" s="558">
        <v>0</v>
      </c>
      <c r="G159" s="558">
        <v>0</v>
      </c>
      <c r="H159" s="558">
        <v>1.3524884636221199</v>
      </c>
      <c r="I159" s="558">
        <f>SUM(I149:I158)</f>
        <v>-47.735440653805618</v>
      </c>
      <c r="J159" s="558">
        <v>2.5916325616924101</v>
      </c>
      <c r="K159" s="558">
        <v>-27.9770167895722</v>
      </c>
    </row>
    <row r="160" spans="1:13" ht="15.5">
      <c r="A160" s="552"/>
      <c r="B160" s="559"/>
      <c r="C160" s="559"/>
      <c r="D160" s="559"/>
      <c r="E160" s="559"/>
      <c r="F160" s="559"/>
      <c r="G160" s="559"/>
      <c r="H160" s="559"/>
      <c r="I160" s="559"/>
      <c r="J160" s="559"/>
      <c r="K160" s="559"/>
    </row>
    <row r="161" spans="1:11" ht="15.5">
      <c r="A161" s="555" t="s">
        <v>78</v>
      </c>
      <c r="B161" s="548">
        <v>0</v>
      </c>
      <c r="C161" s="95"/>
      <c r="D161" s="548">
        <v>0.35110946047781999</v>
      </c>
      <c r="E161" s="548">
        <v>11.7513019954675</v>
      </c>
      <c r="F161" s="95"/>
      <c r="G161" s="95"/>
      <c r="H161" s="548">
        <v>3.6844881425657099</v>
      </c>
      <c r="I161" s="548">
        <v>10.743152160228</v>
      </c>
      <c r="J161" s="548">
        <v>0.72823472365086706</v>
      </c>
      <c r="K161" s="95">
        <v>27.258286482389899</v>
      </c>
    </row>
    <row r="162" spans="1:11" ht="15.5">
      <c r="A162" s="555" t="s">
        <v>79</v>
      </c>
      <c r="B162" s="95"/>
      <c r="C162" s="95"/>
      <c r="D162" s="548">
        <v>36.552079839999998</v>
      </c>
      <c r="E162" s="548">
        <v>8.4730487545842795E-2</v>
      </c>
      <c r="F162" s="95"/>
      <c r="G162" s="95"/>
      <c r="H162" s="548">
        <v>3.0577605203510898</v>
      </c>
      <c r="I162" s="548">
        <v>1.9334119518486701</v>
      </c>
      <c r="J162" s="548">
        <v>0</v>
      </c>
      <c r="K162" s="95">
        <v>41.627982799745602</v>
      </c>
    </row>
    <row r="163" spans="1:11">
      <c r="A163" s="547" t="s">
        <v>80</v>
      </c>
      <c r="B163" s="548">
        <v>0</v>
      </c>
      <c r="C163" s="95"/>
      <c r="D163" s="548">
        <v>3.8396954110546102</v>
      </c>
      <c r="E163" s="548">
        <v>7.8264342007141599</v>
      </c>
      <c r="F163" s="95"/>
      <c r="G163" s="95"/>
      <c r="H163" s="548">
        <v>10.301443041103401</v>
      </c>
      <c r="I163" s="548">
        <v>13.146567058142599</v>
      </c>
      <c r="J163" s="548">
        <v>1.26224436300186</v>
      </c>
      <c r="K163" s="95">
        <v>36.376384074016698</v>
      </c>
    </row>
    <row r="164" spans="1:11">
      <c r="A164" s="547" t="s">
        <v>81</v>
      </c>
      <c r="B164" s="548">
        <v>0</v>
      </c>
      <c r="C164" s="95"/>
      <c r="D164" s="548">
        <v>1.7637656446401699</v>
      </c>
      <c r="E164" s="548">
        <v>5.1729011457278196</v>
      </c>
      <c r="F164" s="95"/>
      <c r="G164" s="95"/>
      <c r="H164" s="548">
        <v>1.01490750115354</v>
      </c>
      <c r="I164" s="548">
        <v>14.418365476499799</v>
      </c>
      <c r="J164" s="548">
        <v>0.60115347503968097</v>
      </c>
      <c r="K164" s="95">
        <v>22.971093243060999</v>
      </c>
    </row>
    <row r="165" spans="1:11">
      <c r="A165" s="547" t="s">
        <v>82</v>
      </c>
      <c r="B165" s="548">
        <v>2.2137192704974398E-3</v>
      </c>
      <c r="C165" s="95"/>
      <c r="D165" s="548">
        <v>3.10854342969155</v>
      </c>
      <c r="E165" s="548">
        <v>0.18792799151046999</v>
      </c>
      <c r="F165" s="95"/>
      <c r="G165" s="95"/>
      <c r="H165" s="548">
        <v>0.16787220993086899</v>
      </c>
      <c r="I165" s="548">
        <v>0.67684837562158895</v>
      </c>
      <c r="J165" s="548">
        <v>6.4536710533781398E-3</v>
      </c>
      <c r="K165" s="95">
        <v>4.1498593970783499</v>
      </c>
    </row>
    <row r="166" spans="1:11" ht="15.5">
      <c r="A166" s="550" t="s">
        <v>83</v>
      </c>
      <c r="B166" s="558">
        <v>2.2137192704974398E-3</v>
      </c>
      <c r="C166" s="558">
        <v>0</v>
      </c>
      <c r="D166" s="558">
        <v>45.6151937858642</v>
      </c>
      <c r="E166" s="558">
        <v>25.023295820965799</v>
      </c>
      <c r="F166" s="558">
        <v>0</v>
      </c>
      <c r="G166" s="558">
        <v>0</v>
      </c>
      <c r="H166" s="558">
        <v>18.226471415104601</v>
      </c>
      <c r="I166" s="558">
        <v>40.918345022340603</v>
      </c>
      <c r="J166" s="558">
        <v>2.5980862327457901</v>
      </c>
      <c r="K166" s="558">
        <v>132.383605996292</v>
      </c>
    </row>
    <row r="167" spans="1:11">
      <c r="A167" s="547" t="s">
        <v>84</v>
      </c>
      <c r="B167" s="95">
        <v>0.36275632304023198</v>
      </c>
      <c r="C167" s="95"/>
      <c r="D167" s="548">
        <v>13.913274339353899</v>
      </c>
      <c r="E167" s="548">
        <v>1.11656933760591</v>
      </c>
      <c r="F167" s="95"/>
      <c r="G167" s="95"/>
      <c r="H167" s="95"/>
      <c r="I167" s="95"/>
      <c r="J167" s="95"/>
      <c r="K167" s="95">
        <v>15.3926</v>
      </c>
    </row>
    <row r="168" spans="1:11" ht="15.5">
      <c r="A168" s="550" t="s">
        <v>85</v>
      </c>
      <c r="B168" s="558">
        <v>0.36497004231072999</v>
      </c>
      <c r="C168" s="558">
        <v>0</v>
      </c>
      <c r="D168" s="558">
        <v>59.528468125217998</v>
      </c>
      <c r="E168" s="558">
        <v>26.139865158571698</v>
      </c>
      <c r="F168" s="558">
        <v>0</v>
      </c>
      <c r="G168" s="558">
        <v>0</v>
      </c>
      <c r="H168" s="558">
        <v>18.226471415104601</v>
      </c>
      <c r="I168" s="558">
        <v>40.918345022340603</v>
      </c>
      <c r="J168" s="558">
        <v>2.5980862327457901</v>
      </c>
      <c r="K168" s="558">
        <v>147.77620599629199</v>
      </c>
    </row>
    <row r="169" spans="1:11">
      <c r="A169" s="256"/>
      <c r="B169" s="256"/>
      <c r="C169" s="256"/>
      <c r="D169" s="256"/>
      <c r="E169" s="256"/>
      <c r="F169" s="256"/>
      <c r="G169" s="256"/>
      <c r="H169" s="256"/>
      <c r="I169" s="256"/>
      <c r="J169" s="256"/>
      <c r="K169" s="256"/>
    </row>
    <row r="170" spans="1:11">
      <c r="A170" s="256"/>
      <c r="B170" s="256"/>
      <c r="C170" s="256"/>
      <c r="D170" s="256"/>
      <c r="E170" s="256"/>
      <c r="F170" s="256"/>
      <c r="G170" s="256"/>
      <c r="H170" s="256"/>
      <c r="I170" s="256"/>
      <c r="J170" s="256"/>
      <c r="K170" s="256"/>
    </row>
    <row r="171" spans="1:11">
      <c r="A171" s="256"/>
      <c r="B171" s="256"/>
      <c r="C171" s="256"/>
      <c r="D171" s="256"/>
      <c r="E171" s="256"/>
      <c r="F171" s="256"/>
      <c r="G171" s="256"/>
      <c r="H171" s="256"/>
      <c r="I171" s="256"/>
      <c r="J171" s="256"/>
      <c r="K171" s="256"/>
    </row>
    <row r="172" spans="1:11">
      <c r="A172" s="256"/>
      <c r="B172" s="256"/>
      <c r="C172" s="256"/>
      <c r="D172" s="256"/>
      <c r="E172" s="256"/>
      <c r="F172" s="256"/>
      <c r="G172" s="256"/>
      <c r="H172" s="256"/>
      <c r="I172" s="256"/>
      <c r="J172" s="256"/>
      <c r="K172" s="256"/>
    </row>
    <row r="173" spans="1:11">
      <c r="A173" s="256"/>
      <c r="B173" s="256"/>
      <c r="C173" s="256"/>
      <c r="D173" s="256"/>
      <c r="E173" s="256"/>
      <c r="F173" s="256"/>
      <c r="G173" s="256"/>
      <c r="H173" s="256"/>
      <c r="I173" s="256"/>
      <c r="J173" s="256"/>
      <c r="K173" s="256"/>
    </row>
    <row r="174" spans="1:11">
      <c r="A174" s="256"/>
      <c r="B174" s="256"/>
      <c r="C174" s="256"/>
      <c r="D174" s="256"/>
      <c r="E174" s="256"/>
      <c r="F174" s="256"/>
      <c r="G174" s="256"/>
      <c r="H174" s="256"/>
      <c r="I174" s="256"/>
      <c r="J174" s="256"/>
      <c r="K174" s="256"/>
    </row>
    <row r="175" spans="1:11">
      <c r="A175" s="256"/>
      <c r="B175" s="256"/>
      <c r="C175" s="256"/>
      <c r="D175" s="256"/>
      <c r="E175" s="256"/>
      <c r="F175" s="256"/>
      <c r="G175" s="256"/>
      <c r="H175" s="256"/>
      <c r="I175" s="256"/>
      <c r="J175" s="256"/>
      <c r="K175" s="256"/>
    </row>
    <row r="176" spans="1:11">
      <c r="A176" s="256"/>
      <c r="B176" s="256"/>
      <c r="C176" s="256"/>
      <c r="D176" s="256"/>
      <c r="E176" s="256"/>
      <c r="F176" s="256"/>
      <c r="G176" s="256"/>
      <c r="H176" s="256"/>
      <c r="I176" s="256"/>
      <c r="J176" s="256"/>
      <c r="K176" s="256"/>
    </row>
    <row r="177" spans="1:11">
      <c r="A177" s="256"/>
      <c r="B177" s="256"/>
      <c r="C177" s="256"/>
      <c r="D177" s="256"/>
      <c r="E177" s="256"/>
      <c r="F177" s="256"/>
      <c r="G177" s="256"/>
      <c r="H177" s="256"/>
      <c r="I177" s="256"/>
      <c r="J177" s="256"/>
      <c r="K177" s="256"/>
    </row>
    <row r="178" spans="1:11">
      <c r="A178" s="256"/>
      <c r="B178" s="256"/>
      <c r="C178" s="256"/>
      <c r="D178" s="256"/>
      <c r="E178" s="256"/>
      <c r="F178" s="256"/>
      <c r="G178" s="256"/>
      <c r="H178" s="256"/>
      <c r="I178" s="256"/>
      <c r="J178" s="256"/>
      <c r="K178" s="256"/>
    </row>
    <row r="179" spans="1:11" ht="15.5">
      <c r="A179" s="428" t="s">
        <v>89</v>
      </c>
      <c r="B179" s="430"/>
      <c r="C179" s="430"/>
      <c r="D179" s="430"/>
      <c r="E179" s="430"/>
      <c r="F179" s="430"/>
      <c r="G179" s="429"/>
      <c r="H179" s="430"/>
      <c r="I179" s="430"/>
      <c r="J179" s="430"/>
      <c r="K179" s="430"/>
    </row>
    <row r="180" spans="1:11">
      <c r="A180" s="256"/>
      <c r="B180" s="256"/>
      <c r="C180" s="256"/>
      <c r="D180" s="256"/>
      <c r="E180" s="256"/>
      <c r="F180" s="256"/>
      <c r="G180" s="256"/>
      <c r="H180" s="256"/>
      <c r="I180" s="256"/>
      <c r="J180" s="256"/>
      <c r="K180" s="256"/>
    </row>
    <row r="181" spans="1:11">
      <c r="A181" s="256"/>
      <c r="B181" s="256"/>
      <c r="C181" s="256"/>
      <c r="D181" s="256"/>
      <c r="E181" s="256"/>
      <c r="F181" s="256"/>
      <c r="G181" s="256"/>
      <c r="H181" s="256"/>
      <c r="I181" s="256"/>
      <c r="J181" s="256"/>
      <c r="K181" s="256"/>
    </row>
    <row r="182" spans="1:11" ht="58">
      <c r="A182" s="543"/>
      <c r="B182" s="544" t="s">
        <v>42</v>
      </c>
      <c r="C182" s="544" t="s">
        <v>52</v>
      </c>
      <c r="D182" s="544" t="s">
        <v>53</v>
      </c>
      <c r="E182" s="544" t="s">
        <v>32</v>
      </c>
      <c r="F182" s="544" t="s">
        <v>20</v>
      </c>
      <c r="G182" s="544" t="s">
        <v>55</v>
      </c>
      <c r="H182" s="544" t="s">
        <v>56</v>
      </c>
      <c r="I182" s="544" t="s">
        <v>57</v>
      </c>
      <c r="J182" s="544" t="s">
        <v>58</v>
      </c>
      <c r="K182" s="544" t="s">
        <v>10</v>
      </c>
    </row>
    <row r="183" spans="1:11" ht="15.5">
      <c r="A183" s="545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</row>
    <row r="184" spans="1:11">
      <c r="A184" s="547" t="s">
        <v>59</v>
      </c>
      <c r="B184" s="548">
        <v>0</v>
      </c>
      <c r="C184" s="548">
        <v>0.99</v>
      </c>
      <c r="D184" s="548">
        <v>0</v>
      </c>
      <c r="E184" s="548">
        <v>1.9114359415305201E-2</v>
      </c>
      <c r="F184" s="554">
        <f>'Mix énergie_2050'!C14*'Mix énergie_2050'!L14*0.086/0.32</f>
        <v>26.874999999999915</v>
      </c>
      <c r="G184" s="554">
        <f>('Mix énergie_2050'!F14+'Mix énergie_2050'!H14+'Mix énergie_2050'!I14+'Mix énergie_2050'!J14+'Mix énergie_2050'!K14+'Mix énergie_2050'!M14)*'Mix énergie_2050'!L14*0.086</f>
        <v>44.031999999999975</v>
      </c>
      <c r="H184" s="548">
        <v>24.4</v>
      </c>
      <c r="I184" s="95"/>
      <c r="J184" s="95"/>
      <c r="K184" s="95">
        <f>SUM(B184:H184)</f>
        <v>96.316114359415195</v>
      </c>
    </row>
    <row r="185" spans="1:11">
      <c r="A185" s="547" t="s">
        <v>60</v>
      </c>
      <c r="B185" s="548">
        <v>3.9420430643859001</v>
      </c>
      <c r="C185" s="548">
        <v>42.81</v>
      </c>
      <c r="D185" s="548">
        <v>30.839296393289001</v>
      </c>
      <c r="E185" s="548">
        <v>33.2504669093926</v>
      </c>
      <c r="F185" s="95"/>
      <c r="G185" s="95"/>
      <c r="H185" s="95">
        <v>0</v>
      </c>
      <c r="I185" s="107">
        <v>0</v>
      </c>
      <c r="J185" s="95"/>
      <c r="K185" s="95">
        <v>110.84180636706699</v>
      </c>
    </row>
    <row r="186" spans="1:11">
      <c r="A186" s="547" t="s">
        <v>61</v>
      </c>
      <c r="B186" s="548">
        <v>0</v>
      </c>
      <c r="C186" s="548">
        <v>0</v>
      </c>
      <c r="D186" s="548">
        <v>0</v>
      </c>
      <c r="E186" s="548">
        <v>0</v>
      </c>
      <c r="F186" s="95"/>
      <c r="G186" s="95"/>
      <c r="H186" s="548">
        <v>-3.9572315921481001</v>
      </c>
      <c r="I186" s="95">
        <f>I202+I209</f>
        <v>-0.61079363022761157</v>
      </c>
      <c r="J186" s="95"/>
      <c r="K186" s="95">
        <v>-4.6554080254711101</v>
      </c>
    </row>
    <row r="187" spans="1:11">
      <c r="A187" s="547" t="s">
        <v>62</v>
      </c>
      <c r="B187" s="548"/>
      <c r="C187" s="548"/>
      <c r="D187" s="548">
        <v>-1.4</v>
      </c>
      <c r="E187" s="548"/>
      <c r="F187" s="95"/>
      <c r="G187" s="95"/>
      <c r="H187" s="95"/>
      <c r="I187" s="95"/>
      <c r="J187" s="95"/>
      <c r="K187" s="95">
        <v>-1.4</v>
      </c>
    </row>
    <row r="188" spans="1:11">
      <c r="A188" s="547" t="s">
        <v>63</v>
      </c>
      <c r="B188" s="548"/>
      <c r="C188" s="548"/>
      <c r="D188" s="548">
        <v>-9.8675445253719403</v>
      </c>
      <c r="E188" s="548"/>
      <c r="F188" s="95"/>
      <c r="G188" s="95"/>
      <c r="H188" s="95"/>
      <c r="I188" s="95"/>
      <c r="J188" s="95"/>
      <c r="K188" s="95">
        <v>-9.8675445253719403</v>
      </c>
    </row>
    <row r="189" spans="1:11">
      <c r="A189" s="547" t="s">
        <v>64</v>
      </c>
      <c r="B189" s="95"/>
      <c r="C189" s="95"/>
      <c r="D189" s="95"/>
      <c r="E189" s="95"/>
      <c r="F189" s="95"/>
      <c r="G189" s="95"/>
      <c r="H189" s="95"/>
      <c r="I189" s="95"/>
      <c r="J189" s="95"/>
      <c r="K189" s="95">
        <v>0</v>
      </c>
    </row>
    <row r="190" spans="1:11" ht="15.5">
      <c r="A190" s="550" t="s">
        <v>65</v>
      </c>
      <c r="B190" s="551">
        <v>3.9420430643859001</v>
      </c>
      <c r="C190" s="551">
        <v>43.8</v>
      </c>
      <c r="D190" s="551">
        <v>19.571751867917001</v>
      </c>
      <c r="E190" s="551">
        <v>33.269581268807897</v>
      </c>
      <c r="F190" s="551">
        <v>0</v>
      </c>
      <c r="G190" s="551">
        <v>0</v>
      </c>
      <c r="H190" s="551">
        <v>20.442768407851901</v>
      </c>
      <c r="I190" s="551">
        <f>SUM(I184:I189)</f>
        <v>-0.61079363022761157</v>
      </c>
      <c r="J190" s="551">
        <v>0</v>
      </c>
      <c r="K190" s="551">
        <v>120.32796817564</v>
      </c>
    </row>
    <row r="191" spans="1:11" ht="15.5">
      <c r="A191" s="552"/>
      <c r="B191" s="553"/>
      <c r="C191" s="553"/>
      <c r="D191" s="553"/>
      <c r="E191" s="553"/>
      <c r="F191" s="553"/>
      <c r="G191" s="553"/>
      <c r="H191" s="553"/>
      <c r="I191" s="553"/>
      <c r="J191" s="553"/>
      <c r="K191" s="553"/>
    </row>
    <row r="192" spans="1:11">
      <c r="A192" s="547" t="s">
        <v>66</v>
      </c>
      <c r="B192" s="95"/>
      <c r="C192" s="95"/>
      <c r="D192" s="95"/>
      <c r="E192" s="95"/>
      <c r="F192" s="95"/>
      <c r="G192" s="95"/>
      <c r="H192" s="95"/>
      <c r="I192" s="95"/>
      <c r="J192" s="95"/>
      <c r="K192" s="95">
        <v>0</v>
      </c>
    </row>
    <row r="193" spans="1:11">
      <c r="A193" s="547" t="s">
        <v>67</v>
      </c>
      <c r="B193" s="548"/>
      <c r="C193" s="548"/>
      <c r="D193" s="548"/>
      <c r="E193" s="548"/>
      <c r="F193" s="95"/>
      <c r="G193" s="95"/>
      <c r="H193" s="548"/>
      <c r="I193" s="548"/>
      <c r="J193" s="95"/>
      <c r="K193" s="95">
        <v>0</v>
      </c>
    </row>
    <row r="194" spans="1:11">
      <c r="A194" s="547" t="s">
        <v>68</v>
      </c>
      <c r="B194" s="548">
        <f>'Mix énergie_2015'!D18*'Mix énergie_2015'!L18/11.63/0.25</f>
        <v>2.5795356835769589</v>
      </c>
      <c r="C194" s="548">
        <v>0</v>
      </c>
      <c r="D194" s="548"/>
      <c r="E194" s="548">
        <f>'Mix énergie_2015'!G18*'Mix énergie_2015'!L18/11.63/0.58</f>
        <v>3.7803540190351907</v>
      </c>
      <c r="F194" s="554">
        <f>F184</f>
        <v>26.874999999999915</v>
      </c>
      <c r="G194" s="554">
        <f>G184</f>
        <v>44.031999999999975</v>
      </c>
      <c r="H194" s="548">
        <f>'Mix énergie_2015'!K18*'Mix énergie_2015'!L18/11.63/0.4</f>
        <v>6.6638005159071412</v>
      </c>
      <c r="I194" s="548">
        <f>-'Mix énergie_2015'!L18/11.63</f>
        <v>-55.460017196904552</v>
      </c>
      <c r="J194" s="95"/>
      <c r="K194" s="95">
        <f>SUM(B194:I194)</f>
        <v>28.470673021614637</v>
      </c>
    </row>
    <row r="195" spans="1:11">
      <c r="A195" s="547" t="s">
        <v>69</v>
      </c>
      <c r="B195" s="548"/>
      <c r="C195" s="548"/>
      <c r="D195" s="548"/>
      <c r="E195" s="548"/>
      <c r="F195" s="95"/>
      <c r="G195" s="95"/>
      <c r="H195" s="548"/>
      <c r="I195" s="548"/>
      <c r="J195" s="95"/>
      <c r="K195" s="95">
        <v>0</v>
      </c>
    </row>
    <row r="196" spans="1:11">
      <c r="A196" s="547" t="s">
        <v>70</v>
      </c>
      <c r="B196" s="548">
        <v>0.135892809642852</v>
      </c>
      <c r="C196" s="548"/>
      <c r="D196" s="548">
        <v>2.58629024146893E-2</v>
      </c>
      <c r="E196" s="548">
        <v>1.4872400262784899</v>
      </c>
      <c r="F196" s="95"/>
      <c r="G196" s="95"/>
      <c r="H196" s="548">
        <v>1.30584074728472</v>
      </c>
      <c r="I196" s="548"/>
      <c r="J196" s="95">
        <v>2.6815325616924102</v>
      </c>
      <c r="K196" s="95">
        <v>5.6363690473131696</v>
      </c>
    </row>
    <row r="197" spans="1:11">
      <c r="A197" s="547" t="s">
        <v>71</v>
      </c>
      <c r="B197" s="548"/>
      <c r="C197" s="548"/>
      <c r="D197" s="548"/>
      <c r="E197" s="548"/>
      <c r="F197" s="95"/>
      <c r="G197" s="95"/>
      <c r="H197" s="548"/>
      <c r="I197" s="548"/>
      <c r="J197" s="95"/>
      <c r="K197" s="95">
        <v>0</v>
      </c>
    </row>
    <row r="198" spans="1:11">
      <c r="A198" s="547" t="s">
        <v>72</v>
      </c>
      <c r="B198" s="548"/>
      <c r="C198" s="548">
        <v>43.8</v>
      </c>
      <c r="D198" s="548">
        <v>-41.8</v>
      </c>
      <c r="E198" s="548">
        <v>0.7</v>
      </c>
      <c r="F198" s="95"/>
      <c r="G198" s="95"/>
      <c r="H198" s="548"/>
      <c r="I198" s="548"/>
      <c r="J198" s="95"/>
      <c r="K198" s="95">
        <v>2.7</v>
      </c>
    </row>
    <row r="199" spans="1:11">
      <c r="A199" s="547" t="s">
        <v>74</v>
      </c>
      <c r="B199" s="548">
        <v>2.2968000000000002</v>
      </c>
      <c r="C199" s="548"/>
      <c r="D199" s="548"/>
      <c r="E199" s="548"/>
      <c r="F199" s="95"/>
      <c r="G199" s="95"/>
      <c r="H199" s="548"/>
      <c r="I199" s="548"/>
      <c r="J199" s="95"/>
      <c r="K199" s="95">
        <v>2.2968000000000002</v>
      </c>
    </row>
    <row r="200" spans="1:11">
      <c r="A200" s="547" t="s">
        <v>75</v>
      </c>
      <c r="B200" s="548">
        <v>1.0374988057705199</v>
      </c>
      <c r="C200" s="548"/>
      <c r="D200" s="548">
        <v>1.7969999999999999</v>
      </c>
      <c r="E200" s="548">
        <v>1.2420767288043999</v>
      </c>
      <c r="F200" s="95"/>
      <c r="G200" s="95"/>
      <c r="H200" s="548">
        <v>5.1017483519633103E-2</v>
      </c>
      <c r="I200" s="548">
        <v>2.7822871883060998</v>
      </c>
      <c r="J200" s="95"/>
      <c r="K200" s="95">
        <v>6.9098802064006604</v>
      </c>
    </row>
    <row r="201" spans="1:11">
      <c r="A201" s="547" t="s">
        <v>76</v>
      </c>
      <c r="B201" s="548"/>
      <c r="C201" s="548"/>
      <c r="D201" s="548"/>
      <c r="E201" s="548">
        <v>0.41641310817864502</v>
      </c>
      <c r="F201" s="95"/>
      <c r="G201" s="95"/>
      <c r="H201" s="548"/>
      <c r="I201" s="548">
        <v>3.4599202074282398</v>
      </c>
      <c r="J201" s="95"/>
      <c r="K201" s="95">
        <v>3.87633331560688</v>
      </c>
    </row>
    <row r="202" spans="1:11" ht="15.5">
      <c r="A202" s="550" t="s">
        <v>77</v>
      </c>
      <c r="B202" s="551">
        <v>3.4701916154133698</v>
      </c>
      <c r="C202" s="551">
        <v>43.8</v>
      </c>
      <c r="D202" s="551">
        <v>-39.977137097585299</v>
      </c>
      <c r="E202" s="551">
        <v>8.78920967865864</v>
      </c>
      <c r="F202" s="551">
        <v>0</v>
      </c>
      <c r="G202" s="551">
        <v>0</v>
      </c>
      <c r="H202" s="551">
        <v>1.35685823080435</v>
      </c>
      <c r="I202" s="551">
        <f>SUM(I192:I201)</f>
        <v>-49.217809801170212</v>
      </c>
      <c r="J202" s="551">
        <v>2.6815325616924102</v>
      </c>
      <c r="K202" s="551">
        <v>-29.184537615282199</v>
      </c>
    </row>
    <row r="203" spans="1:11" ht="15.5">
      <c r="A203" s="552"/>
      <c r="B203" s="553"/>
      <c r="C203" s="553"/>
      <c r="D203" s="553"/>
      <c r="E203" s="553"/>
      <c r="F203" s="553"/>
      <c r="G203" s="553"/>
      <c r="H203" s="553"/>
      <c r="I203" s="553"/>
      <c r="J203" s="553"/>
      <c r="K203" s="553"/>
    </row>
    <row r="204" spans="1:11" ht="15.5">
      <c r="A204" s="555" t="s">
        <v>78</v>
      </c>
      <c r="B204" s="548">
        <v>0</v>
      </c>
      <c r="C204" s="95"/>
      <c r="D204" s="548">
        <v>0.35040946047782001</v>
      </c>
      <c r="E204" s="548">
        <v>13.1122786123137</v>
      </c>
      <c r="F204" s="95"/>
      <c r="G204" s="95"/>
      <c r="H204" s="548">
        <v>4.66831152571954</v>
      </c>
      <c r="I204" s="548">
        <v>12.829852160228</v>
      </c>
      <c r="J204" s="548">
        <v>0.81083472365086695</v>
      </c>
      <c r="K204" s="95">
        <v>31.771686482389899</v>
      </c>
    </row>
    <row r="205" spans="1:11" ht="15.5">
      <c r="A205" s="555" t="s">
        <v>79</v>
      </c>
      <c r="B205" s="95"/>
      <c r="C205" s="95"/>
      <c r="D205" s="548">
        <v>35.4517442</v>
      </c>
      <c r="E205" s="548">
        <v>0.105274671461417</v>
      </c>
      <c r="F205" s="95"/>
      <c r="G205" s="95"/>
      <c r="H205" s="548">
        <v>2.51195197643551</v>
      </c>
      <c r="I205" s="548">
        <v>4.1345119518486699</v>
      </c>
      <c r="J205" s="548">
        <v>0</v>
      </c>
      <c r="K205" s="95">
        <v>42.203482799745601</v>
      </c>
    </row>
    <row r="206" spans="1:11">
      <c r="A206" s="547" t="s">
        <v>80</v>
      </c>
      <c r="B206" s="548">
        <v>0</v>
      </c>
      <c r="C206" s="95"/>
      <c r="D206" s="548">
        <v>2.9572954110546101</v>
      </c>
      <c r="E206" s="548">
        <v>6.53908745235245</v>
      </c>
      <c r="F206" s="95"/>
      <c r="G206" s="95"/>
      <c r="H206" s="548">
        <v>10.5065557971717</v>
      </c>
      <c r="I206" s="548">
        <v>13.5983670581426</v>
      </c>
      <c r="J206" s="548">
        <v>1.14544436300186</v>
      </c>
      <c r="K206" s="95">
        <v>34.746750081723299</v>
      </c>
    </row>
    <row r="207" spans="1:11">
      <c r="A207" s="547" t="s">
        <v>81</v>
      </c>
      <c r="B207" s="548">
        <v>0</v>
      </c>
      <c r="C207" s="95"/>
      <c r="D207" s="548">
        <v>1.3854656446401701</v>
      </c>
      <c r="E207" s="548">
        <v>3.4047021225751299</v>
      </c>
      <c r="F207" s="95"/>
      <c r="G207" s="95"/>
      <c r="H207" s="548">
        <v>1.2275980094224599</v>
      </c>
      <c r="I207" s="548">
        <v>17.452965476499799</v>
      </c>
      <c r="J207" s="548">
        <v>0.72525347503968096</v>
      </c>
      <c r="K207" s="95">
        <v>24.195984728177201</v>
      </c>
    </row>
    <row r="208" spans="1:11">
      <c r="A208" s="547" t="s">
        <v>82</v>
      </c>
      <c r="B208" s="548">
        <v>2.2137192704974398E-3</v>
      </c>
      <c r="C208" s="95"/>
      <c r="D208" s="548">
        <v>2.78834566881127</v>
      </c>
      <c r="E208" s="548">
        <v>0.17469504166713101</v>
      </c>
      <c r="F208" s="95"/>
      <c r="G208" s="95"/>
      <c r="H208" s="548">
        <v>0.17149286829830701</v>
      </c>
      <c r="I208" s="548">
        <v>0.59131952422357603</v>
      </c>
      <c r="J208" s="548">
        <v>6.4536710533781398E-3</v>
      </c>
      <c r="K208" s="95">
        <v>3.73452049332416</v>
      </c>
    </row>
    <row r="209" spans="1:11" ht="15.5">
      <c r="A209" s="550" t="s">
        <v>83</v>
      </c>
      <c r="B209" s="551">
        <v>2.2137192704974398E-3</v>
      </c>
      <c r="C209" s="551">
        <v>0</v>
      </c>
      <c r="D209" s="551">
        <v>42.933260384983903</v>
      </c>
      <c r="E209" s="551">
        <v>23.336037900369799</v>
      </c>
      <c r="F209" s="551">
        <v>0</v>
      </c>
      <c r="G209" s="551">
        <v>0</v>
      </c>
      <c r="H209" s="551">
        <v>19.085910177047499</v>
      </c>
      <c r="I209" s="551">
        <v>48.6070161709426</v>
      </c>
      <c r="J209" s="551">
        <v>2.6879862327457902</v>
      </c>
      <c r="K209" s="551">
        <v>136.65242458536</v>
      </c>
    </row>
    <row r="210" spans="1:11">
      <c r="A210" s="547" t="s">
        <v>84</v>
      </c>
      <c r="B210" s="95">
        <v>0.46963772970203199</v>
      </c>
      <c r="C210" s="95"/>
      <c r="D210" s="556">
        <v>16.6156285805185</v>
      </c>
      <c r="E210" s="556">
        <v>1.14433368977949</v>
      </c>
      <c r="F210" s="95"/>
      <c r="G210" s="95"/>
      <c r="H210" s="95"/>
      <c r="I210" s="95"/>
      <c r="J210" s="95"/>
      <c r="K210" s="95">
        <v>18.229600000000001</v>
      </c>
    </row>
    <row r="211" spans="1:11" ht="15.5">
      <c r="A211" s="550" t="s">
        <v>85</v>
      </c>
      <c r="B211" s="551">
        <v>0.47185144897253001</v>
      </c>
      <c r="C211" s="551">
        <v>0</v>
      </c>
      <c r="D211" s="551">
        <v>59.5488889655023</v>
      </c>
      <c r="E211" s="551">
        <v>24.4803715901493</v>
      </c>
      <c r="F211" s="551">
        <v>0</v>
      </c>
      <c r="G211" s="551">
        <v>0</v>
      </c>
      <c r="H211" s="551">
        <v>19.085910177047499</v>
      </c>
      <c r="I211" s="551">
        <v>48.6070161709426</v>
      </c>
      <c r="J211" s="551">
        <v>2.6879862327457902</v>
      </c>
      <c r="K211" s="551">
        <v>154.88202458536</v>
      </c>
    </row>
  </sheetData>
  <conditionalFormatting sqref="B38:K38 B11:K11 B54:K54 B97:K97 B140:K140 B183:K183">
    <cfRule type="cellIs" dxfId="185" priority="1" operator="equal">
      <formula>0</formula>
    </cfRule>
  </conditionalFormatting>
  <conditionalFormatting sqref="B210:J210">
    <cfRule type="cellIs" dxfId="184" priority="3" operator="equal">
      <formula>0</formula>
    </cfRule>
  </conditionalFormatting>
  <conditionalFormatting sqref="K210">
    <cfRule type="cellIs" dxfId="183" priority="8" operator="equal">
      <formula>0</formula>
    </cfRule>
  </conditionalFormatting>
  <conditionalFormatting sqref="B81:J81">
    <cfRule type="cellIs" dxfId="182" priority="9" operator="equal">
      <formula>0</formula>
    </cfRule>
  </conditionalFormatting>
  <conditionalFormatting sqref="K81">
    <cfRule type="cellIs" dxfId="181" priority="10" operator="equal">
      <formula>0</formula>
    </cfRule>
  </conditionalFormatting>
  <conditionalFormatting sqref="B124:J124">
    <cfRule type="cellIs" dxfId="180" priority="11" operator="equal">
      <formula>0</formula>
    </cfRule>
  </conditionalFormatting>
  <conditionalFormatting sqref="K124">
    <cfRule type="cellIs" dxfId="179" priority="12" operator="equal">
      <formula>0</formula>
    </cfRule>
  </conditionalFormatting>
  <conditionalFormatting sqref="B167:J167">
    <cfRule type="cellIs" dxfId="178" priority="13" operator="equal">
      <formula>0</formula>
    </cfRule>
  </conditionalFormatting>
  <conditionalFormatting sqref="K167">
    <cfRule type="cellIs" dxfId="177" priority="14" operator="equal">
      <formula>0</formula>
    </cfRule>
  </conditionalFormatting>
  <conditionalFormatting sqref="I108">
    <cfRule type="cellIs" dxfId="176" priority="15" operator="equal">
      <formula>0</formula>
    </cfRule>
  </conditionalFormatting>
  <conditionalFormatting sqref="I151">
    <cfRule type="cellIs" dxfId="175" priority="16" operator="equal">
      <formula>0</formula>
    </cfRule>
  </conditionalFormatting>
  <conditionalFormatting sqref="I194">
    <cfRule type="cellIs" dxfId="174" priority="17" operator="equal">
      <formula>0</formula>
    </cfRule>
  </conditionalFormatting>
  <conditionalFormatting sqref="I99:I100">
    <cfRule type="cellIs" dxfId="173" priority="18" operator="equal">
      <formula>0</formula>
    </cfRule>
  </conditionalFormatting>
  <conditionalFormatting sqref="I142:I143">
    <cfRule type="cellIs" dxfId="172" priority="19" operator="equal">
      <formula>0</formula>
    </cfRule>
  </conditionalFormatting>
  <conditionalFormatting sqref="I185:I186">
    <cfRule type="cellIs" dxfId="171" priority="20" operator="equal">
      <formula>0</formula>
    </cfRule>
  </conditionalFormatting>
  <conditionalFormatting sqref="D56:D57">
    <cfRule type="cellIs" dxfId="170" priority="21" operator="equal">
      <formula>0</formula>
    </cfRule>
  </conditionalFormatting>
  <conditionalFormatting sqref="D99:D100">
    <cfRule type="cellIs" dxfId="169" priority="22" operator="equal">
      <formula>0</formula>
    </cfRule>
  </conditionalFormatting>
  <conditionalFormatting sqref="D142:D143">
    <cfRule type="cellIs" dxfId="168" priority="23" operator="equal">
      <formula>0</formula>
    </cfRule>
  </conditionalFormatting>
  <conditionalFormatting sqref="D185:D186">
    <cfRule type="cellIs" dxfId="167" priority="24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BZ216"/>
  <sheetViews>
    <sheetView workbookViewId="0"/>
  </sheetViews>
  <sheetFormatPr baseColWidth="10" defaultColWidth="11.453125" defaultRowHeight="14.5"/>
  <cols>
    <col min="1" max="1" width="52.1796875" style="77" customWidth="1"/>
    <col min="2" max="12" width="15.81640625" style="77" customWidth="1"/>
    <col min="13" max="15" width="11.453125" style="77"/>
    <col min="16" max="16" width="52.1796875" style="77" customWidth="1"/>
    <col min="17" max="26" width="15.7265625" style="77" customWidth="1"/>
    <col min="27" max="78" width="11.453125" style="77"/>
    <col min="79" max="16384" width="11.453125" style="256"/>
  </cols>
  <sheetData>
    <row r="1" spans="1:15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43278</v>
      </c>
    </row>
    <row r="5" spans="1:15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5" ht="15.5">
      <c r="A7" s="79">
        <v>2015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9" spans="1:15">
      <c r="O9" s="82"/>
    </row>
    <row r="10" spans="1:15" ht="29">
      <c r="A10" s="83" t="s">
        <v>51</v>
      </c>
      <c r="B10" s="257" t="s">
        <v>42</v>
      </c>
      <c r="C10" s="257" t="s">
        <v>52</v>
      </c>
      <c r="D10" s="257" t="s">
        <v>53</v>
      </c>
      <c r="E10" s="258" t="s">
        <v>54</v>
      </c>
      <c r="F10" s="258" t="s">
        <v>20</v>
      </c>
      <c r="G10" s="258" t="s">
        <v>55</v>
      </c>
      <c r="H10" s="257" t="s">
        <v>56</v>
      </c>
      <c r="I10" s="257" t="s">
        <v>57</v>
      </c>
      <c r="J10" s="257" t="s">
        <v>58</v>
      </c>
      <c r="K10" s="257" t="s">
        <v>31</v>
      </c>
      <c r="L10" s="257" t="s">
        <v>10</v>
      </c>
    </row>
    <row r="11" spans="1:15" ht="15.5">
      <c r="A11" s="8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spans="1:15">
      <c r="A12" s="259" t="s">
        <v>59</v>
      </c>
      <c r="B12" s="86">
        <f>'bilan énergie format SDS'!B12</f>
        <v>0</v>
      </c>
      <c r="C12" s="86">
        <f>'bilan énergie format SDS'!C12</f>
        <v>0.99</v>
      </c>
      <c r="D12" s="86">
        <f>'bilan énergie format SDS'!D12</f>
        <v>0</v>
      </c>
      <c r="E12" s="86">
        <f>'bilan énergie format SDS'!E12</f>
        <v>1.9114359415305201E-2</v>
      </c>
      <c r="F12" s="86">
        <f>'bilan énergie format SDS'!F12</f>
        <v>113.97587222178799</v>
      </c>
      <c r="G12" s="86">
        <f>'bilan énergie format SDS'!G12</f>
        <v>7.1744464316423002</v>
      </c>
      <c r="H12" s="86">
        <f>'bilan énergie format SDS'!H12</f>
        <v>17.623063691891002</v>
      </c>
      <c r="I12" s="86">
        <f>'bilan énergie format SDS'!I12</f>
        <v>0</v>
      </c>
      <c r="J12" s="86">
        <f>'bilan énergie format SDS'!J12</f>
        <v>0</v>
      </c>
      <c r="K12" s="86"/>
      <c r="L12" s="86">
        <f>'bilan énergie format SDS'!K12</f>
        <v>139.78249670473701</v>
      </c>
    </row>
    <row r="13" spans="1:15">
      <c r="A13" s="259" t="s">
        <v>60</v>
      </c>
      <c r="B13" s="86">
        <f>'bilan énergie format SDS'!B13</f>
        <v>8.8097723628054307</v>
      </c>
      <c r="C13" s="86">
        <f>'bilan énergie format SDS'!C13</f>
        <v>58.756</v>
      </c>
      <c r="D13" s="86">
        <f>'bilan énergie format SDS'!D13</f>
        <v>41.304000000000002</v>
      </c>
      <c r="E13" s="86">
        <f>'bilan énergie format SDS'!E13</f>
        <v>39.381556147893399</v>
      </c>
      <c r="F13" s="86">
        <f>'bilan énergie format SDS'!F13</f>
        <v>0</v>
      </c>
      <c r="G13" s="86">
        <f>'bilan énergie format SDS'!G13</f>
        <v>0</v>
      </c>
      <c r="H13" s="86">
        <f>'bilan énergie format SDS'!H13</f>
        <v>0.607627199770708</v>
      </c>
      <c r="I13" s="86">
        <f>'bilan énergie format SDS'!I13</f>
        <v>0.85649183147033503</v>
      </c>
      <c r="J13" s="86">
        <f>'bilan énergie format SDS'!J13</f>
        <v>0</v>
      </c>
      <c r="K13" s="86"/>
      <c r="L13" s="86">
        <f>'bilan énergie format SDS'!K13</f>
        <v>149.71544754193999</v>
      </c>
    </row>
    <row r="14" spans="1:15">
      <c r="A14" s="259" t="s">
        <v>61</v>
      </c>
      <c r="B14" s="86">
        <f>'bilan énergie format SDS'!B14</f>
        <v>-0.129456001503714</v>
      </c>
      <c r="C14" s="86">
        <f>'bilan énergie format SDS'!C14</f>
        <v>-9.7000000000000003E-2</v>
      </c>
      <c r="D14" s="86">
        <f>'bilan énergie format SDS'!D14</f>
        <v>-21.164999999999999</v>
      </c>
      <c r="E14" s="86">
        <f>'bilan énergie format SDS'!E14</f>
        <v>-4.8649527085124697</v>
      </c>
      <c r="F14" s="86">
        <f>'bilan énergie format SDS'!F14</f>
        <v>0</v>
      </c>
      <c r="G14" s="86">
        <f>'bilan énergie format SDS'!G14</f>
        <v>0</v>
      </c>
      <c r="H14" s="86">
        <f>'bilan énergie format SDS'!H14</f>
        <v>-0.178425728479985</v>
      </c>
      <c r="I14" s="86">
        <f>'bilan énergie format SDS'!I14</f>
        <v>-6.3649183147033499</v>
      </c>
      <c r="J14" s="86">
        <f>'bilan énergie format SDS'!J14</f>
        <v>0</v>
      </c>
      <c r="K14" s="86"/>
      <c r="L14" s="86">
        <f>'bilan énergie format SDS'!K14</f>
        <v>-32.799752753199499</v>
      </c>
    </row>
    <row r="15" spans="1:15">
      <c r="A15" s="259" t="s">
        <v>62</v>
      </c>
      <c r="B15" s="86">
        <f>'bilan énergie format SDS'!B15</f>
        <v>0</v>
      </c>
      <c r="C15" s="86">
        <f>'bilan énergie format SDS'!C15</f>
        <v>0</v>
      </c>
      <c r="D15" s="86">
        <f>'bilan énergie format SDS'!D15</f>
        <v>-1.6180000000000001</v>
      </c>
      <c r="E15" s="86">
        <f>'bilan énergie format SDS'!E15</f>
        <v>0</v>
      </c>
      <c r="F15" s="86">
        <f>'bilan énergie format SDS'!F15</f>
        <v>0</v>
      </c>
      <c r="G15" s="86">
        <f>'bilan énergie format SDS'!G15</f>
        <v>0</v>
      </c>
      <c r="H15" s="86">
        <f>'bilan énergie format SDS'!H15</f>
        <v>0</v>
      </c>
      <c r="I15" s="86">
        <f>'bilan énergie format SDS'!I15</f>
        <v>0</v>
      </c>
      <c r="J15" s="86">
        <f>'bilan énergie format SDS'!J15</f>
        <v>0</v>
      </c>
      <c r="K15" s="86"/>
      <c r="L15" s="86">
        <f>'bilan énergie format SDS'!K15</f>
        <v>-5.9379999999999997</v>
      </c>
    </row>
    <row r="16" spans="1:15">
      <c r="A16" s="259" t="s">
        <v>63</v>
      </c>
      <c r="B16" s="86">
        <f>'bilan énergie format SDS'!B16</f>
        <v>0</v>
      </c>
      <c r="C16" s="86">
        <f>'bilan énergie format SDS'!C16</f>
        <v>0</v>
      </c>
      <c r="D16" s="86">
        <f>'bilan énergie format SDS'!D16</f>
        <v>-5.9379999999999997</v>
      </c>
      <c r="E16" s="86">
        <f>'bilan énergie format SDS'!E16</f>
        <v>0</v>
      </c>
      <c r="F16" s="86">
        <f>'bilan énergie format SDS'!F16</f>
        <v>0</v>
      </c>
      <c r="G16" s="86">
        <f>'bilan énergie format SDS'!G16</f>
        <v>0</v>
      </c>
      <c r="H16" s="86">
        <f>'bilan énergie format SDS'!H16</f>
        <v>0</v>
      </c>
      <c r="I16" s="86">
        <f>'bilan énergie format SDS'!I16</f>
        <v>0</v>
      </c>
      <c r="J16" s="86">
        <f>'bilan énergie format SDS'!J16</f>
        <v>0</v>
      </c>
      <c r="K16" s="86"/>
      <c r="L16" s="86">
        <f>'bilan énergie format SDS'!K16</f>
        <v>-1.6180000000000001</v>
      </c>
    </row>
    <row r="17" spans="1:12">
      <c r="A17" s="259" t="s">
        <v>64</v>
      </c>
      <c r="B17" s="86">
        <f>'bilan énergie format SDS'!B17</f>
        <v>0.114672336797846</v>
      </c>
      <c r="C17" s="86">
        <f>'bilan énergie format SDS'!C17</f>
        <v>0.107</v>
      </c>
      <c r="D17" s="86">
        <f>'bilan énergie format SDS'!D17</f>
        <v>-6.5000000000000002E-2</v>
      </c>
      <c r="E17" s="86">
        <f>'bilan énergie format SDS'!E17</f>
        <v>0.50447579385934005</v>
      </c>
      <c r="F17" s="86">
        <f>'bilan énergie format SDS'!F17</f>
        <v>0</v>
      </c>
      <c r="G17" s="86">
        <f>'bilan énergie format SDS'!G17</f>
        <v>0</v>
      </c>
      <c r="H17" s="86">
        <f>'bilan énergie format SDS'!H17</f>
        <v>0</v>
      </c>
      <c r="I17" s="86">
        <f>'bilan énergie format SDS'!I17</f>
        <v>0</v>
      </c>
      <c r="J17" s="86">
        <f>'bilan énergie format SDS'!J17</f>
        <v>0</v>
      </c>
      <c r="K17" s="86"/>
      <c r="L17" s="86">
        <f>'bilan énergie format SDS'!K17</f>
        <v>0.66114813065718603</v>
      </c>
    </row>
    <row r="18" spans="1:12" ht="15.5">
      <c r="A18" s="260" t="s">
        <v>65</v>
      </c>
      <c r="B18" s="564">
        <f>'bilan énergie format SDS'!B18</f>
        <v>8.7949886980995604</v>
      </c>
      <c r="C18" s="564">
        <f>'bilan énergie format SDS'!C18</f>
        <v>59.756</v>
      </c>
      <c r="D18" s="564">
        <f>'bilan énergie format SDS'!D18</f>
        <v>12.518000000000001</v>
      </c>
      <c r="E18" s="564">
        <f>'bilan énergie format SDS'!E18</f>
        <v>35.040193592655598</v>
      </c>
      <c r="F18" s="564">
        <f>'bilan énergie format SDS'!F18</f>
        <v>113.97587222178799</v>
      </c>
      <c r="G18" s="564">
        <f>'bilan énergie format SDS'!G18</f>
        <v>7.1744464316423002</v>
      </c>
      <c r="H18" s="564">
        <f>'bilan énergie format SDS'!H18</f>
        <v>18.052265163181701</v>
      </c>
      <c r="I18" s="564">
        <f>'bilan énergie format SDS'!I18</f>
        <v>-5.5084264832330199</v>
      </c>
      <c r="J18" s="564">
        <f>'bilan énergie format SDS'!J18</f>
        <v>0</v>
      </c>
      <c r="K18" s="87"/>
      <c r="L18" s="87">
        <f>'bilan énergie format SDS'!K18</f>
        <v>249.803339624134</v>
      </c>
    </row>
    <row r="19" spans="1:12" ht="15.5">
      <c r="A19" s="84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</row>
    <row r="20" spans="1:12">
      <c r="A20" s="259" t="s">
        <v>66</v>
      </c>
      <c r="B20" s="86">
        <f>'bilan énergie format SDS'!B20</f>
        <v>0</v>
      </c>
      <c r="C20" s="86">
        <f>'bilan énergie format SDS'!C20</f>
        <v>-0.32500000000000001</v>
      </c>
      <c r="D20" s="86">
        <f>'bilan énergie format SDS'!D20</f>
        <v>0.25</v>
      </c>
      <c r="E20" s="86">
        <f>'bilan énergie format SDS'!E20</f>
        <v>0</v>
      </c>
      <c r="F20" s="86">
        <f>'bilan énergie format SDS'!F20</f>
        <v>0</v>
      </c>
      <c r="G20" s="86">
        <f>'bilan énergie format SDS'!G20</f>
        <v>0</v>
      </c>
      <c r="H20" s="86">
        <f>'bilan énergie format SDS'!H20</f>
        <v>0</v>
      </c>
      <c r="I20" s="86">
        <f>'bilan énergie format SDS'!I20</f>
        <v>0</v>
      </c>
      <c r="J20" s="86">
        <f>'bilan énergie format SDS'!J20</f>
        <v>0</v>
      </c>
      <c r="K20" s="86"/>
      <c r="L20" s="86">
        <v>-7.5000000000000011E-2</v>
      </c>
    </row>
    <row r="21" spans="1:12">
      <c r="A21" s="259" t="s">
        <v>67</v>
      </c>
      <c r="B21" s="86">
        <f>'bilan énergie format SDS'!B21</f>
        <v>0.25449943513061202</v>
      </c>
      <c r="C21" s="86">
        <f>'bilan énergie format SDS'!C21</f>
        <v>9.6000000000003596E-2</v>
      </c>
      <c r="D21" s="86">
        <f>'bilan énergie format SDS'!D21</f>
        <v>1.90700000000001</v>
      </c>
      <c r="E21" s="86">
        <f>'bilan énergie format SDS'!E21</f>
        <v>9.2719287991815895E-6</v>
      </c>
      <c r="F21" s="86">
        <f>'bilan énergie format SDS'!F21</f>
        <v>0</v>
      </c>
      <c r="G21" s="86">
        <f>'bilan énergie format SDS'!G21</f>
        <v>0</v>
      </c>
      <c r="H21" s="86">
        <f>'bilan énergie format SDS'!H21</f>
        <v>2.3884589662749601E-5</v>
      </c>
      <c r="I21" s="86">
        <f>'bilan énergie format SDS'!I21</f>
        <v>-9.6560619088564101E-2</v>
      </c>
      <c r="J21" s="86">
        <f>'bilan énergie format SDS'!J21</f>
        <v>0</v>
      </c>
      <c r="K21" s="86"/>
      <c r="L21" s="86">
        <v>2.1609719725605201</v>
      </c>
    </row>
    <row r="22" spans="1:12">
      <c r="A22" s="259" t="s">
        <v>68</v>
      </c>
      <c r="B22" s="86">
        <f>'bilan énergie format SDS'!B22</f>
        <v>2.8177717473010402</v>
      </c>
      <c r="C22" s="86">
        <f>'bilan énergie format SDS'!C22</f>
        <v>0</v>
      </c>
      <c r="D22" s="86">
        <f>'bilan énergie format SDS'!D22</f>
        <v>0.46200000000000002</v>
      </c>
      <c r="E22" s="86">
        <f>'bilan énergie format SDS'!E22</f>
        <v>1.74883483201723</v>
      </c>
      <c r="F22" s="86">
        <f>'bilan énergie format SDS'!F22</f>
        <v>113.97587222178799</v>
      </c>
      <c r="G22" s="86">
        <f>'bilan énergie format SDS'!G22</f>
        <v>7.1744464316423002</v>
      </c>
      <c r="H22" s="86">
        <f>'bilan énergie format SDS'!H22</f>
        <v>1.3081350912391301</v>
      </c>
      <c r="I22" s="86">
        <f>'bilan énergie format SDS'!I22</f>
        <v>-47.166809974204597</v>
      </c>
      <c r="J22" s="86">
        <f>'bilan énergie format SDS'!J22</f>
        <v>0</v>
      </c>
      <c r="K22" s="86"/>
      <c r="L22" s="86">
        <v>80.320250349783009</v>
      </c>
    </row>
    <row r="23" spans="1:12">
      <c r="A23" s="259" t="s">
        <v>69</v>
      </c>
      <c r="B23" s="86">
        <f>'bilan énergie format SDS'!B23</f>
        <v>0.17574077042132399</v>
      </c>
      <c r="C23" s="86">
        <f>'bilan énergie format SDS'!C23</f>
        <v>0</v>
      </c>
      <c r="D23" s="86">
        <f>'bilan énergie format SDS'!D23</f>
        <v>0.24</v>
      </c>
      <c r="E23" s="86">
        <f>'bilan énergie format SDS'!E23</f>
        <v>2.0854259827438901</v>
      </c>
      <c r="F23" s="86">
        <f>'bilan énergie format SDS'!F23</f>
        <v>0</v>
      </c>
      <c r="G23" s="86">
        <f>'bilan énergie format SDS'!G23</f>
        <v>0</v>
      </c>
      <c r="H23" s="86">
        <f>'bilan énergie format SDS'!H23</f>
        <v>2.3690407948791399</v>
      </c>
      <c r="I23" s="86">
        <f>'bilan énergie format SDS'!I23</f>
        <v>-1.4459157351676699</v>
      </c>
      <c r="J23" s="86">
        <f>'bilan énergie format SDS'!J23</f>
        <v>-1.9220112484952701</v>
      </c>
      <c r="K23" s="86"/>
      <c r="L23" s="86">
        <v>1.502280564381415</v>
      </c>
    </row>
    <row r="24" spans="1:12">
      <c r="A24" s="259" t="s">
        <v>70</v>
      </c>
      <c r="B24" s="86">
        <f>'bilan énergie format SDS'!B24</f>
        <v>0.18260499999999999</v>
      </c>
      <c r="C24" s="86">
        <f>'bilan énergie format SDS'!C24</f>
        <v>0</v>
      </c>
      <c r="D24" s="86">
        <f>'bilan énergie format SDS'!D24</f>
        <v>7.0000000000000007E-2</v>
      </c>
      <c r="E24" s="86">
        <f>'bilan énergie format SDS'!E24</f>
        <v>0.65908241891659503</v>
      </c>
      <c r="F24" s="86">
        <f>'bilan énergie format SDS'!F24</f>
        <v>0</v>
      </c>
      <c r="G24" s="86">
        <f>'bilan énergie format SDS'!G24</f>
        <v>0</v>
      </c>
      <c r="H24" s="86">
        <f>'bilan énergie format SDS'!H24</f>
        <v>0.77558039552880498</v>
      </c>
      <c r="I24" s="86">
        <f>'bilan énergie format SDS'!I24</f>
        <v>0</v>
      </c>
      <c r="J24" s="86">
        <f>'bilan énergie format SDS'!J24</f>
        <v>-1.90296</v>
      </c>
      <c r="K24" s="86"/>
      <c r="L24" s="86">
        <v>-0.21569218555460057</v>
      </c>
    </row>
    <row r="25" spans="1:12">
      <c r="A25" s="259" t="s">
        <v>71</v>
      </c>
      <c r="B25" s="86">
        <f>'bilan énergie format SDS'!B25</f>
        <v>0</v>
      </c>
      <c r="C25" s="86">
        <f>'bilan énergie format SDS'!C25</f>
        <v>0</v>
      </c>
      <c r="D25" s="86">
        <f>'bilan énergie format SDS'!D25</f>
        <v>0</v>
      </c>
      <c r="E25" s="86">
        <f>'bilan énergie format SDS'!E25</f>
        <v>-6.3456577815993098E-3</v>
      </c>
      <c r="F25" s="86">
        <f>'bilan énergie format SDS'!F25</f>
        <v>0</v>
      </c>
      <c r="G25" s="86">
        <f>'bilan énergie format SDS'!G25</f>
        <v>0</v>
      </c>
      <c r="H25" s="86">
        <f>'bilan énergie format SDS'!H25</f>
        <v>6.3533008502913903E-3</v>
      </c>
      <c r="I25" s="86">
        <f>'bilan énergie format SDS'!I25</f>
        <v>0</v>
      </c>
      <c r="J25" s="86">
        <f>'bilan énergie format SDS'!J25</f>
        <v>0</v>
      </c>
      <c r="K25" s="86"/>
      <c r="L25" s="86">
        <v>7.6430686920796881E-6</v>
      </c>
    </row>
    <row r="26" spans="1:12">
      <c r="A26" s="259" t="s">
        <v>72</v>
      </c>
      <c r="B26" s="86">
        <f>'bilan énergie format SDS'!B26</f>
        <v>0</v>
      </c>
      <c r="C26" s="86">
        <f>'bilan énergie format SDS'!C26</f>
        <v>61.207000000000001</v>
      </c>
      <c r="D26" s="86">
        <f>'bilan énergie format SDS'!D26</f>
        <v>-60.67</v>
      </c>
      <c r="E26" s="86">
        <f>'bilan énergie format SDS'!E26</f>
        <v>0</v>
      </c>
      <c r="F26" s="86">
        <f>'bilan énergie format SDS'!F26</f>
        <v>0</v>
      </c>
      <c r="G26" s="86">
        <f>'bilan énergie format SDS'!G26</f>
        <v>0</v>
      </c>
      <c r="H26" s="86">
        <f>'bilan énergie format SDS'!H26</f>
        <v>0</v>
      </c>
      <c r="I26" s="86">
        <f>'bilan énergie format SDS'!I26</f>
        <v>0</v>
      </c>
      <c r="J26" s="86">
        <f>'bilan énergie format SDS'!J26</f>
        <v>0</v>
      </c>
      <c r="K26" s="86"/>
      <c r="L26" s="86">
        <v>0.53699999999999903</v>
      </c>
    </row>
    <row r="27" spans="1:12">
      <c r="A27" s="259" t="s">
        <v>73</v>
      </c>
      <c r="B27" s="86"/>
      <c r="C27" s="86"/>
      <c r="D27" s="86"/>
      <c r="E27" s="86"/>
      <c r="F27" s="86"/>
      <c r="G27" s="86"/>
      <c r="H27" s="89"/>
      <c r="I27" s="86"/>
      <c r="J27" s="86"/>
      <c r="K27" s="86"/>
      <c r="L27" s="86"/>
    </row>
    <row r="28" spans="1:12">
      <c r="A28" s="259" t="s">
        <v>74</v>
      </c>
      <c r="B28" s="86">
        <f>'bilan énergie format SDS'!B27</f>
        <v>2.9093146706792798</v>
      </c>
      <c r="C28" s="86">
        <f>'bilan énergie format SDS'!C27</f>
        <v>-1.222</v>
      </c>
      <c r="D28" s="86">
        <f>'bilan énergie format SDS'!D27</f>
        <v>1.208</v>
      </c>
      <c r="E28" s="86">
        <f>'bilan énergie format SDS'!E27</f>
        <v>0</v>
      </c>
      <c r="F28" s="86">
        <f>'bilan énergie format SDS'!F27</f>
        <v>0</v>
      </c>
      <c r="G28" s="86">
        <f>'bilan énergie format SDS'!G27</f>
        <v>0</v>
      </c>
      <c r="H28" s="86">
        <f>'bilan énergie format SDS'!H27</f>
        <v>0</v>
      </c>
      <c r="I28" s="86">
        <f>'bilan énergie format SDS'!I27</f>
        <v>0</v>
      </c>
      <c r="J28" s="86">
        <f>'bilan énergie format SDS'!J27</f>
        <v>0</v>
      </c>
      <c r="K28" s="86"/>
      <c r="L28" s="86">
        <f>'bilan énergie format SDS'!K27</f>
        <v>2.8953146706792801</v>
      </c>
    </row>
    <row r="29" spans="1:12">
      <c r="A29" s="259" t="s">
        <v>75</v>
      </c>
      <c r="B29" s="86">
        <f>'bilan énergie format SDS'!B28</f>
        <v>1.0374988057705199</v>
      </c>
      <c r="C29" s="86">
        <f>'bilan énergie format SDS'!C28</f>
        <v>0</v>
      </c>
      <c r="D29" s="86">
        <f>'bilan énergie format SDS'!D28</f>
        <v>1.7969999999999999</v>
      </c>
      <c r="E29" s="86">
        <f>'bilan énergie format SDS'!E28</f>
        <v>1.2420767288043999</v>
      </c>
      <c r="F29" s="86">
        <f>'bilan énergie format SDS'!F28</f>
        <v>0</v>
      </c>
      <c r="G29" s="86">
        <f>'bilan énergie format SDS'!G28</f>
        <v>0</v>
      </c>
      <c r="H29" s="86">
        <f>'bilan énergie format SDS'!H28</f>
        <v>5.1017483519633103E-2</v>
      </c>
      <c r="I29" s="86">
        <f>'bilan énergie format SDS'!I28</f>
        <v>2.7822871883060998</v>
      </c>
      <c r="J29" s="86">
        <f>'bilan énergie format SDS'!J28</f>
        <v>5.6328571847727903E-2</v>
      </c>
      <c r="K29" s="86"/>
      <c r="L29" s="86">
        <f>'bilan énergie format SDS'!K28</f>
        <v>6.9662087782483901</v>
      </c>
    </row>
    <row r="30" spans="1:12">
      <c r="A30" s="259" t="s">
        <v>76</v>
      </c>
      <c r="B30" s="86">
        <f>'bilan énergie format SDS'!B29</f>
        <v>0</v>
      </c>
      <c r="C30" s="86">
        <f>'bilan énergie format SDS'!C29</f>
        <v>0</v>
      </c>
      <c r="D30" s="86">
        <f>'bilan énergie format SDS'!D29</f>
        <v>0</v>
      </c>
      <c r="E30" s="86">
        <f>'bilan énergie format SDS'!E29</f>
        <v>0.46122098022356001</v>
      </c>
      <c r="F30" s="86">
        <f>'bilan énergie format SDS'!F29</f>
        <v>0</v>
      </c>
      <c r="G30" s="86">
        <f>'bilan énergie format SDS'!G29</f>
        <v>0</v>
      </c>
      <c r="H30" s="86">
        <f>'bilan énergie format SDS'!H29</f>
        <v>0</v>
      </c>
      <c r="I30" s="86">
        <f>'bilan énergie format SDS'!I29</f>
        <v>3.04359415305245</v>
      </c>
      <c r="J30" s="86">
        <f>'bilan énergie format SDS'!J29</f>
        <v>0.80882690971625104</v>
      </c>
      <c r="K30" s="86"/>
      <c r="L30" s="86">
        <f>'bilan énergie format SDS'!K29</f>
        <v>4.3136420429922602</v>
      </c>
    </row>
    <row r="31" spans="1:12" ht="15.5">
      <c r="A31" s="260" t="s">
        <v>77</v>
      </c>
      <c r="B31" s="87">
        <f>'bilan énergie format SDS'!B30</f>
        <v>7.3774304293027697</v>
      </c>
      <c r="C31" s="87">
        <f>'bilan énergie format SDS'!C30</f>
        <v>59.756</v>
      </c>
      <c r="D31" s="87">
        <f>'bilan énergie format SDS'!D30</f>
        <v>-54.735999999999997</v>
      </c>
      <c r="E31" s="87">
        <f>'bilan énergie format SDS'!E30</f>
        <v>6.1903045568528698</v>
      </c>
      <c r="F31" s="87">
        <f>'bilan énergie format SDS'!F30</f>
        <v>113.97587222178799</v>
      </c>
      <c r="G31" s="87">
        <f>'bilan énergie format SDS'!G30</f>
        <v>7.1744464316423002</v>
      </c>
      <c r="H31" s="87">
        <f>'bilan énergie format SDS'!H30</f>
        <v>4.5101509506066702</v>
      </c>
      <c r="I31" s="87">
        <f>'bilan énergie format SDS'!I30</f>
        <v>-42.883404987102303</v>
      </c>
      <c r="J31" s="87">
        <f>'bilan énergie format SDS'!J30</f>
        <v>-2.9598157669312899</v>
      </c>
      <c r="K31" s="87"/>
      <c r="L31" s="87">
        <f>'bilan énergie format SDS'!K30</f>
        <v>98.404983836159005</v>
      </c>
    </row>
    <row r="32" spans="1:12" ht="15.5">
      <c r="A32" s="84"/>
      <c r="B32" s="88"/>
      <c r="C32" s="88"/>
      <c r="D32" s="88"/>
      <c r="E32" s="88"/>
      <c r="F32" s="88"/>
      <c r="G32" s="88"/>
      <c r="H32" s="88"/>
      <c r="I32" s="88"/>
      <c r="J32" s="288"/>
      <c r="K32" s="88"/>
      <c r="L32" s="88"/>
    </row>
    <row r="33" spans="1:12" ht="15.5">
      <c r="A33" s="262" t="s">
        <v>78</v>
      </c>
      <c r="B33" s="86">
        <f>'bilan énergie format SDS'!B32</f>
        <v>1.0493092649428299</v>
      </c>
      <c r="C33" s="86">
        <f>'bilan énergie format SDS'!C32</f>
        <v>0</v>
      </c>
      <c r="D33" s="86">
        <f>'bilan énergie format SDS'!D32</f>
        <v>2.3566094604778201</v>
      </c>
      <c r="E33" s="86">
        <f>'bilan énergie format SDS'!E32</f>
        <v>10.2038364932448</v>
      </c>
      <c r="F33" s="86">
        <f>'bilan énergie format SDS'!F32</f>
        <v>0</v>
      </c>
      <c r="G33" s="86">
        <f>'bilan énergie format SDS'!G32</f>
        <v>0</v>
      </c>
      <c r="H33" s="86">
        <f>'bilan énergie format SDS'!H32</f>
        <v>1.36555364478838</v>
      </c>
      <c r="I33" s="86">
        <f>'bilan énergie format SDS'!I32</f>
        <v>10.069552160228</v>
      </c>
      <c r="J33" s="86">
        <f>'bilan énergie format SDS'!J32</f>
        <v>1.1415347236508699</v>
      </c>
      <c r="K33" s="86"/>
      <c r="L33" s="86">
        <f>'bilan énergie format SDS'!K32</f>
        <v>25.9228167120731</v>
      </c>
    </row>
    <row r="34" spans="1:12" ht="15.5">
      <c r="A34" s="262" t="s">
        <v>79</v>
      </c>
      <c r="B34" s="86">
        <f>'bilan énergie format SDS'!B33</f>
        <v>0</v>
      </c>
      <c r="C34" s="86">
        <f>'bilan énergie format SDS'!C33</f>
        <v>0</v>
      </c>
      <c r="D34" s="86">
        <f>'bilan énergie format SDS'!D33</f>
        <v>39.807000000000002</v>
      </c>
      <c r="E34" s="86">
        <f>'bilan énergie format SDS'!E33</f>
        <v>6.6215426095074303E-2</v>
      </c>
      <c r="F34" s="86">
        <f>'bilan énergie format SDS'!F33</f>
        <v>0</v>
      </c>
      <c r="G34" s="86">
        <f>'bilan énergie format SDS'!G33</f>
        <v>0</v>
      </c>
      <c r="H34" s="86">
        <f>'bilan énergie format SDS'!H33</f>
        <v>2.9481554218018502</v>
      </c>
      <c r="I34" s="86">
        <f>'bilan énergie format SDS'!I33</f>
        <v>0.94471195184866696</v>
      </c>
      <c r="J34" s="86">
        <f>'bilan énergie format SDS'!J33</f>
        <v>0</v>
      </c>
      <c r="K34" s="86"/>
      <c r="L34" s="86">
        <f>'bilan énergie format SDS'!K33</f>
        <v>43.766082799745597</v>
      </c>
    </row>
    <row r="35" spans="1:12">
      <c r="A35" s="259" t="s">
        <v>80</v>
      </c>
      <c r="B35" s="86">
        <f>'bilan énergie format SDS'!B34</f>
        <v>3.6764196608413298E-2</v>
      </c>
      <c r="C35" s="86">
        <f>'bilan énergie format SDS'!C34</f>
        <v>0</v>
      </c>
      <c r="D35" s="86">
        <f>'bilan énergie format SDS'!D34</f>
        <v>6.6752954110546101</v>
      </c>
      <c r="E35" s="86">
        <f>'bilan énergie format SDS'!E34</f>
        <v>11.7825435723501</v>
      </c>
      <c r="F35" s="86">
        <f>'bilan énergie format SDS'!F34</f>
        <v>0</v>
      </c>
      <c r="G35" s="86">
        <f>'bilan énergie format SDS'!G34</f>
        <v>0</v>
      </c>
      <c r="H35" s="86">
        <f>'bilan énergie format SDS'!H34</f>
        <v>8.8384757709717601</v>
      </c>
      <c r="I35" s="86">
        <f>'bilan énergie format SDS'!I34</f>
        <v>13.6203670581426</v>
      </c>
      <c r="J35" s="86">
        <f>'bilan énergie format SDS'!J34</f>
        <v>1.21184436300186</v>
      </c>
      <c r="K35" s="86"/>
      <c r="L35" s="86">
        <f>'bilan énergie format SDS'!K34</f>
        <v>39.7338900814621</v>
      </c>
    </row>
    <row r="36" spans="1:12">
      <c r="A36" s="259" t="s">
        <v>81</v>
      </c>
      <c r="B36" s="86">
        <f>'bilan énergie format SDS'!B35</f>
        <v>4.3073392295861899E-2</v>
      </c>
      <c r="C36" s="86">
        <f>'bilan énergie format SDS'!C35</f>
        <v>0</v>
      </c>
      <c r="D36" s="86">
        <f>'bilan énergie format SDS'!D35</f>
        <v>3.01546564464017</v>
      </c>
      <c r="E36" s="86">
        <f>'bilan énergie format SDS'!E35</f>
        <v>7.13877632922933</v>
      </c>
      <c r="F36" s="86">
        <f>'bilan énergie format SDS'!F35</f>
        <v>0</v>
      </c>
      <c r="G36" s="86">
        <f>'bilan énergie format SDS'!G35</f>
        <v>0</v>
      </c>
      <c r="H36" s="86">
        <f>'bilan énergie format SDS'!H35</f>
        <v>0.896582440321125</v>
      </c>
      <c r="I36" s="86">
        <f>'bilan énergie format SDS'!I35</f>
        <v>12.701365476499801</v>
      </c>
      <c r="J36" s="86">
        <f>'bilan énergie format SDS'!J35</f>
        <v>0.710753475039681</v>
      </c>
      <c r="K36" s="86"/>
      <c r="L36" s="86">
        <f>'bilan énergie format SDS'!K35</f>
        <v>23.648731462262301</v>
      </c>
    </row>
    <row r="37" spans="1:12">
      <c r="A37" s="259" t="s">
        <v>82</v>
      </c>
      <c r="B37" s="86">
        <f>'bilan énergie format SDS'!B36</f>
        <v>2.2137192704974398E-3</v>
      </c>
      <c r="C37" s="86">
        <f>'bilan énergie format SDS'!C36</f>
        <v>0</v>
      </c>
      <c r="D37" s="86">
        <f>'bilan énergie format SDS'!D36</f>
        <v>3.371</v>
      </c>
      <c r="E37" s="86">
        <f>'bilan énergie format SDS'!E36</f>
        <v>0.20038837309893301</v>
      </c>
      <c r="F37" s="86">
        <f>'bilan énergie format SDS'!F36</f>
        <v>0</v>
      </c>
      <c r="G37" s="86">
        <f>'bilan énergie format SDS'!G36</f>
        <v>0</v>
      </c>
      <c r="H37" s="86">
        <f>'bilan énergie format SDS'!H36</f>
        <v>0.15947740517817899</v>
      </c>
      <c r="I37" s="86">
        <f>'bilan énergie format SDS'!I36</f>
        <v>0.74651762682717104</v>
      </c>
      <c r="J37" s="86">
        <f>'bilan énergie format SDS'!J36</f>
        <v>6.4536710533781398E-3</v>
      </c>
      <c r="K37" s="86"/>
      <c r="L37" s="86">
        <f>'bilan énergie format SDS'!K36</f>
        <v>4.4860507954281603</v>
      </c>
    </row>
    <row r="38" spans="1:12" ht="15.5">
      <c r="A38" s="260" t="s">
        <v>83</v>
      </c>
      <c r="B38" s="87">
        <f>'bilan énergie format SDS'!B37</f>
        <v>1.1313605731176</v>
      </c>
      <c r="C38" s="87">
        <f>'bilan énergie format SDS'!C37</f>
        <v>0</v>
      </c>
      <c r="D38" s="87">
        <f>'bilan énergie format SDS'!D37</f>
        <v>55.225370516172603</v>
      </c>
      <c r="E38" s="87">
        <f>'bilan énergie format SDS'!E37</f>
        <v>29.3917601940182</v>
      </c>
      <c r="F38" s="87">
        <f>'bilan énergie format SDS'!F37</f>
        <v>0</v>
      </c>
      <c r="G38" s="87">
        <f>'bilan énergie format SDS'!G37</f>
        <v>0</v>
      </c>
      <c r="H38" s="87">
        <f>'bilan énergie format SDS'!H37</f>
        <v>14.208244683061301</v>
      </c>
      <c r="I38" s="87">
        <f>'bilan énergie format SDS'!I37</f>
        <v>38.082441502020501</v>
      </c>
      <c r="J38" s="87">
        <f>'bilan énergie format SDS'!J37</f>
        <v>3.0705862327457898</v>
      </c>
      <c r="K38" s="87"/>
      <c r="L38" s="87">
        <f>'bilan énergie format SDS'!K37</f>
        <v>137.55757185097099</v>
      </c>
    </row>
    <row r="39" spans="1:12">
      <c r="A39" s="259" t="s">
        <v>84</v>
      </c>
      <c r="B39" s="565">
        <f>'bilan énergie format SDS'!B38</f>
        <v>0.30500413491505901</v>
      </c>
      <c r="C39" s="565">
        <f>'bilan énergie format SDS'!C38</f>
        <v>0</v>
      </c>
      <c r="D39" s="565">
        <f>'bilan énergie format SDS'!D38</f>
        <v>12.452999999999999</v>
      </c>
      <c r="E39" s="565">
        <f>'bilan énergie format SDS'!E38</f>
        <v>1.1015862413247299</v>
      </c>
      <c r="F39" s="565">
        <f>'bilan énergie format SDS'!F38</f>
        <v>0</v>
      </c>
      <c r="G39" s="565">
        <f>'bilan énergie format SDS'!G38</f>
        <v>0</v>
      </c>
      <c r="H39" s="565">
        <f>'bilan énergie format SDS'!H38</f>
        <v>0</v>
      </c>
      <c r="I39" s="565">
        <f>'bilan énergie format SDS'!I38</f>
        <v>0</v>
      </c>
      <c r="J39" s="565">
        <f>'bilan énergie format SDS'!J38</f>
        <v>0</v>
      </c>
      <c r="K39" s="565"/>
      <c r="L39" s="565">
        <f>'bilan énergie format SDS'!K38</f>
        <v>13.859590376239799</v>
      </c>
    </row>
    <row r="40" spans="1:12" ht="15.5">
      <c r="A40" s="260" t="s">
        <v>85</v>
      </c>
      <c r="B40" s="87">
        <f>'bilan énergie format SDS'!B39</f>
        <v>1.43636470803266</v>
      </c>
      <c r="C40" s="87">
        <f>'bilan énergie format SDS'!C39</f>
        <v>0</v>
      </c>
      <c r="D40" s="87">
        <f>'bilan énergie format SDS'!D39</f>
        <v>67.678370516172606</v>
      </c>
      <c r="E40" s="87">
        <f>'bilan énergie format SDS'!E39</f>
        <v>30.493346435343</v>
      </c>
      <c r="F40" s="87">
        <f>'bilan énergie format SDS'!F39</f>
        <v>0</v>
      </c>
      <c r="G40" s="87">
        <f>'bilan énergie format SDS'!G39</f>
        <v>0</v>
      </c>
      <c r="H40" s="87">
        <f>'bilan énergie format SDS'!H39</f>
        <v>14.208244683061301</v>
      </c>
      <c r="I40" s="87">
        <f>'bilan énergie format SDS'!I39</f>
        <v>38.082441502020501</v>
      </c>
      <c r="J40" s="87">
        <f>'bilan énergie format SDS'!J39</f>
        <v>3.0705862327457898</v>
      </c>
      <c r="K40" s="87"/>
      <c r="L40" s="87">
        <f>'bilan énergie format SDS'!K39</f>
        <v>151.41716222721101</v>
      </c>
    </row>
    <row r="51" spans="1:14" ht="15.5">
      <c r="A51" s="90" t="s">
        <v>86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4" ht="29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4" ht="15.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4">
      <c r="A56" s="259" t="s">
        <v>59</v>
      </c>
      <c r="B56" s="93">
        <v>0</v>
      </c>
      <c r="C56" s="93">
        <v>0.8</v>
      </c>
      <c r="D56" s="93">
        <v>0</v>
      </c>
      <c r="E56" s="93">
        <v>0.03</v>
      </c>
      <c r="F56" s="94">
        <v>109.38183514566988</v>
      </c>
      <c r="G56" s="94">
        <v>10.318142734307823</v>
      </c>
      <c r="H56" s="93">
        <v>19.853132642623823</v>
      </c>
      <c r="I56" s="95"/>
      <c r="J56" s="95"/>
      <c r="K56" s="95"/>
      <c r="L56" s="95">
        <v>140.38311052260153</v>
      </c>
    </row>
    <row r="57" spans="1:14">
      <c r="A57" s="259" t="s">
        <v>60</v>
      </c>
      <c r="B57" s="93">
        <v>6.0924579523016948</v>
      </c>
      <c r="C57" s="93">
        <v>47.800000000000004</v>
      </c>
      <c r="D57" s="93">
        <v>25.349495228581368</v>
      </c>
      <c r="E57" s="93">
        <v>36.698715601251486</v>
      </c>
      <c r="F57" s="95"/>
      <c r="G57" s="95"/>
      <c r="H57" s="95">
        <v>2.2308964938133506</v>
      </c>
      <c r="I57" s="95">
        <v>0</v>
      </c>
      <c r="J57" s="95"/>
      <c r="K57" s="95"/>
      <c r="L57" s="95">
        <v>118.17156527594788</v>
      </c>
    </row>
    <row r="58" spans="1:14">
      <c r="A58" s="259" t="s">
        <v>61</v>
      </c>
      <c r="B58" s="93">
        <v>0</v>
      </c>
      <c r="C58" s="93">
        <v>0</v>
      </c>
      <c r="D58" s="93">
        <v>0</v>
      </c>
      <c r="E58" s="93">
        <v>0</v>
      </c>
      <c r="F58" s="95"/>
      <c r="G58" s="95"/>
      <c r="H58" s="93">
        <v>0</v>
      </c>
      <c r="I58" s="95">
        <v>-4.5928786597159572</v>
      </c>
      <c r="J58" s="95"/>
      <c r="K58" s="95"/>
      <c r="L58" s="95">
        <v>-4.5928786597159572</v>
      </c>
    </row>
    <row r="59" spans="1:14">
      <c r="A59" s="259" t="s">
        <v>62</v>
      </c>
      <c r="B59" s="93"/>
      <c r="C59" s="93"/>
      <c r="D59" s="93">
        <v>-1.1000000000000001</v>
      </c>
      <c r="E59" s="93"/>
      <c r="F59" s="95"/>
      <c r="G59" s="95"/>
      <c r="H59" s="95"/>
      <c r="I59" s="95"/>
      <c r="J59" s="95"/>
      <c r="K59" s="95"/>
      <c r="L59" s="95">
        <v>-1.1000000000000001</v>
      </c>
    </row>
    <row r="60" spans="1:14">
      <c r="A60" s="259" t="s">
        <v>63</v>
      </c>
      <c r="B60" s="93"/>
      <c r="C60" s="93"/>
      <c r="D60" s="93">
        <v>-6.3128842627624397</v>
      </c>
      <c r="E60" s="93"/>
      <c r="F60" s="95"/>
      <c r="G60" s="95"/>
      <c r="H60" s="95"/>
      <c r="I60" s="95"/>
      <c r="J60" s="95"/>
      <c r="K60" s="95"/>
      <c r="L60" s="95">
        <v>-6.3128842627624397</v>
      </c>
      <c r="N60" s="96"/>
    </row>
    <row r="61" spans="1:14">
      <c r="A61" s="259" t="s">
        <v>64</v>
      </c>
      <c r="B61" s="93"/>
      <c r="C61" s="93"/>
      <c r="D61" s="93"/>
      <c r="E61" s="93"/>
      <c r="F61" s="95"/>
      <c r="G61" s="95"/>
      <c r="H61" s="95"/>
      <c r="I61" s="95"/>
      <c r="J61" s="95"/>
      <c r="K61" s="95"/>
      <c r="L61" s="95">
        <v>0</v>
      </c>
    </row>
    <row r="62" spans="1:14" ht="15.5">
      <c r="A62" s="260" t="s">
        <v>65</v>
      </c>
      <c r="B62" s="97">
        <v>6.0924579523016948</v>
      </c>
      <c r="C62" s="97">
        <v>48.6</v>
      </c>
      <c r="D62" s="97">
        <v>17.936610965818929</v>
      </c>
      <c r="E62" s="97">
        <v>36.728715601251487</v>
      </c>
      <c r="F62" s="97">
        <v>109.38183514566988</v>
      </c>
      <c r="G62" s="97">
        <v>10.318142734307823</v>
      </c>
      <c r="H62" s="97">
        <v>22.084029136437174</v>
      </c>
      <c r="I62" s="97">
        <v>-4.5928786597159572</v>
      </c>
      <c r="J62" s="97">
        <v>0</v>
      </c>
      <c r="K62" s="97"/>
      <c r="L62" s="97">
        <v>246.548912876071</v>
      </c>
      <c r="N62" s="82"/>
    </row>
    <row r="63" spans="1:14" ht="15.5">
      <c r="A63" s="8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4">
      <c r="A64" s="259" t="s">
        <v>66</v>
      </c>
      <c r="B64" s="93"/>
      <c r="C64" s="93"/>
      <c r="D64" s="93"/>
      <c r="E64" s="93"/>
      <c r="F64" s="95"/>
      <c r="G64" s="95"/>
      <c r="H64" s="95"/>
      <c r="I64" s="95"/>
      <c r="J64" s="95"/>
      <c r="K64" s="95"/>
      <c r="L64" s="95">
        <v>0</v>
      </c>
    </row>
    <row r="65" spans="1:17">
      <c r="A65" s="259" t="s">
        <v>67</v>
      </c>
      <c r="B65" s="93"/>
      <c r="C65" s="93"/>
      <c r="D65" s="93"/>
      <c r="E65" s="93"/>
      <c r="F65" s="95"/>
      <c r="G65" s="95"/>
      <c r="H65" s="93"/>
      <c r="I65" s="93"/>
      <c r="J65" s="95"/>
      <c r="K65" s="95"/>
      <c r="L65" s="95">
        <v>0</v>
      </c>
    </row>
    <row r="66" spans="1:17">
      <c r="A66" s="259" t="s">
        <v>68</v>
      </c>
      <c r="B66" s="93">
        <v>2.56997984007758</v>
      </c>
      <c r="C66" s="93">
        <v>0</v>
      </c>
      <c r="D66" s="93"/>
      <c r="E66" s="93">
        <v>4.1842754045985986</v>
      </c>
      <c r="F66" s="94">
        <v>109.38183514566988</v>
      </c>
      <c r="G66" s="94">
        <v>10.318142734307823</v>
      </c>
      <c r="H66" s="93">
        <v>2.7631806275096813</v>
      </c>
      <c r="I66" s="93">
        <v>-48.340599999999995</v>
      </c>
      <c r="J66" s="95"/>
      <c r="K66" s="95"/>
      <c r="L66" s="95">
        <v>80.876813752163571</v>
      </c>
    </row>
    <row r="67" spans="1:17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7">
      <c r="A68" s="259" t="s">
        <v>70</v>
      </c>
      <c r="B68" s="93">
        <v>0.23610978878389122</v>
      </c>
      <c r="C68" s="93"/>
      <c r="D68" s="93">
        <v>4.4938385611804459E-2</v>
      </c>
      <c r="E68" s="93">
        <v>1.5659570450451636</v>
      </c>
      <c r="F68" s="95"/>
      <c r="G68" s="95"/>
      <c r="H68" s="93">
        <v>2.6132241323505561</v>
      </c>
      <c r="I68" s="93"/>
      <c r="J68" s="95">
        <v>-4.0575435552405965</v>
      </c>
      <c r="K68" s="95"/>
      <c r="L68" s="95">
        <v>0.40268579655081904</v>
      </c>
    </row>
    <row r="69" spans="1:17">
      <c r="A69" s="259" t="s">
        <v>71</v>
      </c>
      <c r="B69" s="93"/>
      <c r="C69" s="93"/>
      <c r="D69" s="93"/>
      <c r="E69" s="93">
        <v>-0.74956562451533659</v>
      </c>
      <c r="F69" s="95"/>
      <c r="G69" s="95"/>
      <c r="H69" s="93">
        <v>0.93695703064417069</v>
      </c>
      <c r="I69" s="93"/>
      <c r="J69" s="95"/>
      <c r="K69" s="95"/>
      <c r="L69" s="95">
        <v>0.18739140612883409</v>
      </c>
    </row>
    <row r="70" spans="1:17">
      <c r="A70" s="259" t="s">
        <v>72</v>
      </c>
      <c r="B70" s="93"/>
      <c r="C70" s="93">
        <v>48.6</v>
      </c>
      <c r="D70" s="93">
        <v>-46.5</v>
      </c>
      <c r="E70" s="93">
        <v>0.50416821869521233</v>
      </c>
      <c r="F70" s="95"/>
      <c r="G70" s="95"/>
      <c r="H70" s="93"/>
      <c r="I70" s="93"/>
      <c r="J70" s="95"/>
      <c r="K70" s="95"/>
      <c r="L70" s="95">
        <v>2.6041682186952135</v>
      </c>
    </row>
    <row r="71" spans="1:17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0</v>
      </c>
      <c r="J71" s="95"/>
      <c r="K71" s="95">
        <v>0</v>
      </c>
      <c r="L71" s="95">
        <v>0</v>
      </c>
    </row>
    <row r="72" spans="1:17">
      <c r="A72" s="259" t="s">
        <v>74</v>
      </c>
      <c r="B72" s="93">
        <v>2.7441420256170312</v>
      </c>
      <c r="C72" s="93"/>
      <c r="D72" s="93"/>
      <c r="E72" s="93"/>
      <c r="F72" s="95"/>
      <c r="G72" s="95"/>
      <c r="H72" s="93"/>
      <c r="I72" s="93"/>
      <c r="J72" s="95"/>
      <c r="K72" s="95"/>
      <c r="L72" s="95">
        <v>2.7441420256170312</v>
      </c>
    </row>
    <row r="73" spans="1:17">
      <c r="A73" s="259" t="s">
        <v>75</v>
      </c>
      <c r="B73" s="93">
        <v>0</v>
      </c>
      <c r="C73" s="93"/>
      <c r="D73" s="93">
        <v>1.70001406904591</v>
      </c>
      <c r="E73" s="93">
        <v>1.2420767288044043</v>
      </c>
      <c r="F73" s="95"/>
      <c r="G73" s="95"/>
      <c r="H73" s="93">
        <v>5.1017483519633131E-2</v>
      </c>
      <c r="I73" s="93">
        <v>2.4572470482821185</v>
      </c>
      <c r="J73" s="95"/>
      <c r="K73" s="95"/>
      <c r="L73" s="95">
        <v>5.4503553296520657</v>
      </c>
    </row>
    <row r="74" spans="1:17">
      <c r="A74" s="259" t="s">
        <v>76</v>
      </c>
      <c r="B74" s="93"/>
      <c r="C74" s="93"/>
      <c r="D74" s="93"/>
      <c r="E74" s="93">
        <v>0.44732624375977414</v>
      </c>
      <c r="F74" s="95"/>
      <c r="G74" s="95"/>
      <c r="H74" s="93"/>
      <c r="I74" s="93">
        <v>3.1333411601296381</v>
      </c>
      <c r="J74" s="95">
        <v>0.84596568973356112</v>
      </c>
      <c r="K74" s="95"/>
      <c r="L74" s="95">
        <v>4.4266330936229732</v>
      </c>
    </row>
    <row r="75" spans="1:17" ht="15.5">
      <c r="A75" s="260" t="s">
        <v>77</v>
      </c>
      <c r="B75" s="97">
        <v>5.5502316544785026</v>
      </c>
      <c r="C75" s="97">
        <v>48.6</v>
      </c>
      <c r="D75" s="97">
        <v>-44.755047545342279</v>
      </c>
      <c r="E75" s="97">
        <v>7.1942380163878168</v>
      </c>
      <c r="F75" s="97">
        <v>109.38183514566988</v>
      </c>
      <c r="G75" s="97">
        <v>10.318142734307823</v>
      </c>
      <c r="H75" s="97">
        <v>6.3643792740240412</v>
      </c>
      <c r="I75" s="97">
        <v>-42.750011791588236</v>
      </c>
      <c r="J75" s="97">
        <v>-3.2115778655070355</v>
      </c>
      <c r="K75" s="97">
        <v>0</v>
      </c>
      <c r="L75" s="97">
        <v>96.692189622430504</v>
      </c>
    </row>
    <row r="76" spans="1:17" ht="15.5">
      <c r="A76" s="8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7" ht="15.5">
      <c r="A77" s="262" t="s">
        <v>78</v>
      </c>
      <c r="B77" s="93">
        <v>0.32210674831575531</v>
      </c>
      <c r="C77" s="95"/>
      <c r="D77" s="93">
        <v>1.9299776400292732</v>
      </c>
      <c r="E77" s="93">
        <v>10.885100099493346</v>
      </c>
      <c r="F77" s="95"/>
      <c r="G77" s="95"/>
      <c r="H77" s="93">
        <v>1.844034937757657</v>
      </c>
      <c r="I77" s="93">
        <v>10.072222086615001</v>
      </c>
      <c r="J77" s="93">
        <v>1.1461133930541632</v>
      </c>
      <c r="K77" s="93"/>
      <c r="L77" s="95">
        <v>26.199554905265195</v>
      </c>
      <c r="M77" s="99"/>
      <c r="Q77" s="99"/>
    </row>
    <row r="78" spans="1:17" ht="15.5">
      <c r="A78" s="262" t="s">
        <v>79</v>
      </c>
      <c r="B78" s="95"/>
      <c r="C78" s="95"/>
      <c r="D78" s="93">
        <v>38.438862637881712</v>
      </c>
      <c r="E78" s="93">
        <v>0.17718839974083389</v>
      </c>
      <c r="F78" s="95"/>
      <c r="G78" s="95"/>
      <c r="H78" s="93">
        <v>3.0072968916095459</v>
      </c>
      <c r="I78" s="93">
        <v>1.2661303855523829</v>
      </c>
      <c r="J78" s="93"/>
      <c r="K78" s="93"/>
      <c r="L78" s="95">
        <v>42.889478314784476</v>
      </c>
      <c r="M78" s="99"/>
      <c r="Q78" s="99"/>
    </row>
    <row r="79" spans="1:17">
      <c r="A79" s="259" t="s">
        <v>80</v>
      </c>
      <c r="B79" s="93">
        <v>0</v>
      </c>
      <c r="C79" s="95"/>
      <c r="D79" s="93">
        <v>5.666777520480518</v>
      </c>
      <c r="E79" s="93">
        <v>11.041115748636887</v>
      </c>
      <c r="F79" s="95"/>
      <c r="G79" s="95"/>
      <c r="H79" s="93">
        <v>9.2185082939483429</v>
      </c>
      <c r="I79" s="93">
        <v>13.00983683571549</v>
      </c>
      <c r="J79" s="93">
        <v>1.289495245663796</v>
      </c>
      <c r="K79" s="93"/>
      <c r="L79" s="95">
        <v>40.225733644445036</v>
      </c>
      <c r="M79" s="99"/>
      <c r="Q79" s="99"/>
    </row>
    <row r="80" spans="1:17">
      <c r="A80" s="259" t="s">
        <v>81</v>
      </c>
      <c r="B80" s="93">
        <v>0</v>
      </c>
      <c r="C80" s="95"/>
      <c r="D80" s="93">
        <v>1.9715966805851073</v>
      </c>
      <c r="E80" s="93">
        <v>6.057342656522982</v>
      </c>
      <c r="F80" s="95"/>
      <c r="G80" s="95"/>
      <c r="H80" s="93">
        <v>1.4770309618520476</v>
      </c>
      <c r="I80" s="93">
        <v>13.031439326384481</v>
      </c>
      <c r="J80" s="93">
        <v>0.76951555573569785</v>
      </c>
      <c r="K80" s="93"/>
      <c r="L80" s="95">
        <v>23.306925181080313</v>
      </c>
      <c r="M80" s="99"/>
      <c r="Q80" s="99"/>
    </row>
    <row r="81" spans="1:17">
      <c r="A81" s="259" t="s">
        <v>82</v>
      </c>
      <c r="B81" s="93">
        <v>2.2137192704974398E-3</v>
      </c>
      <c r="C81" s="95"/>
      <c r="D81" s="93">
        <v>3.02362860179693</v>
      </c>
      <c r="E81" s="93">
        <v>0.345557554491078</v>
      </c>
      <c r="F81" s="95"/>
      <c r="G81" s="95"/>
      <c r="H81" s="93">
        <v>0.172778777245539</v>
      </c>
      <c r="I81" s="93">
        <v>0.77750449760492502</v>
      </c>
      <c r="J81" s="93">
        <v>6.4536710533781346E-3</v>
      </c>
      <c r="K81" s="93"/>
      <c r="L81" s="95">
        <v>4.3281368214623477</v>
      </c>
      <c r="M81" s="99"/>
      <c r="Q81" s="99"/>
    </row>
    <row r="82" spans="1:17" ht="15.5">
      <c r="A82" s="260" t="s">
        <v>83</v>
      </c>
      <c r="B82" s="97">
        <v>0.32432046758625277</v>
      </c>
      <c r="C82" s="97">
        <v>0</v>
      </c>
      <c r="D82" s="97">
        <v>51.030843080773536</v>
      </c>
      <c r="E82" s="97">
        <v>28.506304458885129</v>
      </c>
      <c r="F82" s="97">
        <v>0</v>
      </c>
      <c r="G82" s="97">
        <v>0</v>
      </c>
      <c r="H82" s="97">
        <v>15.719649862413132</v>
      </c>
      <c r="I82" s="97">
        <v>38.157133131872278</v>
      </c>
      <c r="J82" s="97">
        <v>3.2115778655070355</v>
      </c>
      <c r="K82" s="97">
        <v>0</v>
      </c>
      <c r="L82" s="97">
        <v>136.94982886703738</v>
      </c>
    </row>
    <row r="83" spans="1:17">
      <c r="A83" s="259" t="s">
        <v>84</v>
      </c>
      <c r="B83" s="95">
        <v>0.21790583023693955</v>
      </c>
      <c r="C83" s="95"/>
      <c r="D83" s="100">
        <v>11.660815430387672</v>
      </c>
      <c r="E83" s="100">
        <v>1.0281731259785394</v>
      </c>
      <c r="F83" s="95"/>
      <c r="G83" s="95"/>
      <c r="H83" s="95"/>
      <c r="I83" s="95"/>
      <c r="J83" s="95"/>
      <c r="K83" s="95">
        <v>0</v>
      </c>
      <c r="L83" s="95">
        <v>12.906894386603149</v>
      </c>
    </row>
    <row r="84" spans="1:17" ht="15.5">
      <c r="A84" s="260" t="s">
        <v>85</v>
      </c>
      <c r="B84" s="97">
        <v>0.54222629782319232</v>
      </c>
      <c r="C84" s="97">
        <v>0</v>
      </c>
      <c r="D84" s="97">
        <v>62.691658511161208</v>
      </c>
      <c r="E84" s="97">
        <v>29.534477584863669</v>
      </c>
      <c r="F84" s="97">
        <v>0</v>
      </c>
      <c r="G84" s="97">
        <v>0</v>
      </c>
      <c r="H84" s="97">
        <v>15.719649862413132</v>
      </c>
      <c r="I84" s="97">
        <v>38.157133131872278</v>
      </c>
      <c r="J84" s="97">
        <v>3.2115778655070355</v>
      </c>
      <c r="K84" s="97"/>
      <c r="L84" s="97">
        <v>149.85672325364052</v>
      </c>
    </row>
    <row r="95" spans="1:17" ht="15.5">
      <c r="A95" s="90" t="s">
        <v>87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2" ht="29">
      <c r="A98" s="83" t="s">
        <v>51</v>
      </c>
      <c r="B98" s="257" t="s">
        <v>42</v>
      </c>
      <c r="C98" s="257" t="s">
        <v>52</v>
      </c>
      <c r="D98" s="257" t="s">
        <v>53</v>
      </c>
      <c r="E98" s="258" t="s">
        <v>54</v>
      </c>
      <c r="F98" s="258" t="s">
        <v>20</v>
      </c>
      <c r="G98" s="258" t="s">
        <v>55</v>
      </c>
      <c r="H98" s="257" t="s">
        <v>56</v>
      </c>
      <c r="I98" s="257" t="s">
        <v>57</v>
      </c>
      <c r="J98" s="257" t="s">
        <v>58</v>
      </c>
      <c r="K98" s="257" t="s">
        <v>31</v>
      </c>
      <c r="L98" s="257" t="s">
        <v>10</v>
      </c>
    </row>
    <row r="99" spans="1:12" ht="15.5">
      <c r="A99" s="91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</row>
    <row r="100" spans="1:12">
      <c r="A100" s="259" t="s">
        <v>59</v>
      </c>
      <c r="B100" s="93">
        <v>0</v>
      </c>
      <c r="C100" s="93">
        <v>0.7</v>
      </c>
      <c r="D100" s="93">
        <v>0</v>
      </c>
      <c r="E100" s="93">
        <v>0.02</v>
      </c>
      <c r="F100" s="94">
        <v>103.91274338838639</v>
      </c>
      <c r="G100" s="94">
        <v>14.961306964746345</v>
      </c>
      <c r="H100" s="93">
        <v>23.557057880608284</v>
      </c>
      <c r="I100" s="95"/>
      <c r="J100" s="95"/>
      <c r="K100" s="95"/>
      <c r="L100" s="95">
        <v>143.15110823374101</v>
      </c>
    </row>
    <row r="101" spans="1:12">
      <c r="A101" s="259" t="s">
        <v>60</v>
      </c>
      <c r="B101" s="93">
        <v>2.6488212454034969</v>
      </c>
      <c r="C101" s="93">
        <v>47.0782111969732</v>
      </c>
      <c r="D101" s="93">
        <v>15.597678413553723</v>
      </c>
      <c r="E101" s="93">
        <v>32.40491197538708</v>
      </c>
      <c r="F101" s="95"/>
      <c r="G101" s="95"/>
      <c r="H101" s="95">
        <v>1.6146683170390475</v>
      </c>
      <c r="I101" s="95">
        <v>0</v>
      </c>
      <c r="J101" s="95"/>
      <c r="K101" s="95"/>
      <c r="L101" s="95">
        <v>99.344291148356547</v>
      </c>
    </row>
    <row r="102" spans="1:12">
      <c r="A102" s="259" t="s">
        <v>61</v>
      </c>
      <c r="B102" s="93">
        <v>0</v>
      </c>
      <c r="C102" s="93">
        <v>0</v>
      </c>
      <c r="D102" s="93">
        <v>0</v>
      </c>
      <c r="E102" s="93">
        <v>0</v>
      </c>
      <c r="F102" s="95"/>
      <c r="G102" s="95"/>
      <c r="H102" s="93">
        <v>0</v>
      </c>
      <c r="I102" s="95">
        <v>-6.8529198133149265</v>
      </c>
      <c r="J102" s="95"/>
      <c r="K102" s="95"/>
      <c r="L102" s="95">
        <v>-6.8529198133149265</v>
      </c>
    </row>
    <row r="103" spans="1:12">
      <c r="A103" s="259" t="s">
        <v>62</v>
      </c>
      <c r="B103" s="93"/>
      <c r="C103" s="93"/>
      <c r="D103" s="93">
        <v>-1.1000000000000001</v>
      </c>
      <c r="E103" s="93"/>
      <c r="F103" s="95"/>
      <c r="G103" s="95"/>
      <c r="H103" s="93"/>
      <c r="I103" s="95"/>
      <c r="J103" s="95"/>
      <c r="K103" s="95"/>
      <c r="L103" s="95">
        <v>-1.1000000000000001</v>
      </c>
    </row>
    <row r="104" spans="1:12">
      <c r="A104" s="259" t="s">
        <v>63</v>
      </c>
      <c r="B104" s="93"/>
      <c r="C104" s="93"/>
      <c r="D104" s="93">
        <v>-6.8007692346473698</v>
      </c>
      <c r="E104" s="93"/>
      <c r="F104" s="95"/>
      <c r="G104" s="95"/>
      <c r="H104" s="95"/>
      <c r="I104" s="95"/>
      <c r="J104" s="95"/>
      <c r="K104" s="95"/>
      <c r="L104" s="95">
        <v>-6.8007692346473698</v>
      </c>
    </row>
    <row r="105" spans="1:12">
      <c r="A105" s="259" t="s">
        <v>64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>
        <v>0</v>
      </c>
    </row>
    <row r="106" spans="1:12" ht="15.5">
      <c r="A106" s="260" t="s">
        <v>65</v>
      </c>
      <c r="B106" s="97">
        <v>2.6488212454034969</v>
      </c>
      <c r="C106" s="97">
        <v>47.778211196973203</v>
      </c>
      <c r="D106" s="97">
        <v>7.6969091789063535</v>
      </c>
      <c r="E106" s="97">
        <v>32.424911975387083</v>
      </c>
      <c r="F106" s="97">
        <v>103.91274338838639</v>
      </c>
      <c r="G106" s="97">
        <v>14.961306964746345</v>
      </c>
      <c r="H106" s="97">
        <v>25.171726197647331</v>
      </c>
      <c r="I106" s="97">
        <v>-6.8529198133149265</v>
      </c>
      <c r="J106" s="97">
        <v>0</v>
      </c>
      <c r="K106" s="97">
        <v>0</v>
      </c>
      <c r="L106" s="97">
        <v>227.74171033413526</v>
      </c>
    </row>
    <row r="107" spans="1:12" ht="15.5">
      <c r="A107" s="84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1:12">
      <c r="A108" s="259" t="s">
        <v>66</v>
      </c>
      <c r="B108" s="93"/>
      <c r="C108" s="93"/>
      <c r="D108" s="93"/>
      <c r="E108" s="93"/>
      <c r="F108" s="95"/>
      <c r="G108" s="95"/>
      <c r="H108" s="95"/>
      <c r="I108" s="95"/>
      <c r="J108" s="95"/>
      <c r="K108" s="95"/>
      <c r="L108" s="95">
        <v>0</v>
      </c>
    </row>
    <row r="109" spans="1:12">
      <c r="A109" s="259" t="s">
        <v>67</v>
      </c>
      <c r="B109" s="93"/>
      <c r="C109" s="93"/>
      <c r="D109" s="93"/>
      <c r="E109" s="93"/>
      <c r="F109" s="95"/>
      <c r="G109" s="95"/>
      <c r="H109" s="93"/>
      <c r="I109" s="93"/>
      <c r="J109" s="95"/>
      <c r="K109" s="95"/>
      <c r="L109" s="95">
        <v>0</v>
      </c>
    </row>
    <row r="110" spans="1:12">
      <c r="A110" s="259" t="s">
        <v>68</v>
      </c>
      <c r="B110" s="93">
        <v>0</v>
      </c>
      <c r="C110" s="93">
        <v>0</v>
      </c>
      <c r="D110" s="93"/>
      <c r="E110" s="93">
        <v>4.20632773002602</v>
      </c>
      <c r="F110" s="94">
        <v>103.91274338838639</v>
      </c>
      <c r="G110" s="94">
        <v>14.961306964746345</v>
      </c>
      <c r="H110" s="93">
        <v>2.4180820758374684</v>
      </c>
      <c r="I110" s="93">
        <v>-50.696999999999996</v>
      </c>
      <c r="J110" s="95"/>
      <c r="K110" s="95"/>
      <c r="L110" s="95">
        <v>74.801460158996235</v>
      </c>
    </row>
    <row r="111" spans="1:12">
      <c r="A111" s="259" t="s">
        <v>69</v>
      </c>
      <c r="B111" s="93"/>
      <c r="C111" s="93"/>
      <c r="D111" s="93"/>
      <c r="E111" s="93"/>
      <c r="F111" s="95"/>
      <c r="G111" s="95"/>
      <c r="H111" s="93"/>
      <c r="I111" s="93"/>
      <c r="J111" s="95"/>
      <c r="K111" s="95"/>
      <c r="L111" s="95">
        <v>0</v>
      </c>
    </row>
    <row r="112" spans="1:12">
      <c r="A112" s="259" t="s">
        <v>70</v>
      </c>
      <c r="B112" s="93">
        <v>5.3419770632032383E-2</v>
      </c>
      <c r="C112" s="93"/>
      <c r="D112" s="93">
        <v>0</v>
      </c>
      <c r="E112" s="93">
        <v>1.2147336798111752</v>
      </c>
      <c r="F112" s="95"/>
      <c r="G112" s="95"/>
      <c r="H112" s="93">
        <v>3.3160878375169278</v>
      </c>
      <c r="I112" s="93"/>
      <c r="J112" s="95">
        <v>-4.5900902111438011</v>
      </c>
      <c r="K112" s="95"/>
      <c r="L112" s="95">
        <v>-5.8489231836658107E-3</v>
      </c>
    </row>
    <row r="113" spans="1:13">
      <c r="A113" s="259" t="s">
        <v>71</v>
      </c>
      <c r="B113" s="93"/>
      <c r="C113" s="93"/>
      <c r="D113" s="93"/>
      <c r="E113" s="93">
        <v>-1.7065743144940571</v>
      </c>
      <c r="F113" s="95"/>
      <c r="G113" s="95"/>
      <c r="H113" s="93">
        <v>2.1332178931175712</v>
      </c>
      <c r="I113" s="93"/>
      <c r="J113" s="95"/>
      <c r="K113" s="95"/>
      <c r="L113" s="95">
        <v>0.4266435786235141</v>
      </c>
    </row>
    <row r="114" spans="1:13">
      <c r="A114" s="259" t="s">
        <v>72</v>
      </c>
      <c r="B114" s="93"/>
      <c r="C114" s="93">
        <v>47.778211196973203</v>
      </c>
      <c r="D114" s="93">
        <v>-46.473309251920703</v>
      </c>
      <c r="E114" s="93">
        <v>0.42321213691880566</v>
      </c>
      <c r="F114" s="95"/>
      <c r="G114" s="95"/>
      <c r="H114" s="93"/>
      <c r="I114" s="93"/>
      <c r="J114" s="95"/>
      <c r="K114" s="95"/>
      <c r="L114" s="95">
        <v>1.728114081971305</v>
      </c>
    </row>
    <row r="115" spans="1:13">
      <c r="A115" s="259" t="s">
        <v>73</v>
      </c>
      <c r="B115" s="93"/>
      <c r="C115" s="93"/>
      <c r="D115" s="93"/>
      <c r="E115" s="93"/>
      <c r="F115" s="95"/>
      <c r="G115" s="95"/>
      <c r="H115" s="93"/>
      <c r="I115" s="93">
        <v>0.53740326741186584</v>
      </c>
      <c r="J115" s="95"/>
      <c r="K115" s="95">
        <v>-0.42992261392949266</v>
      </c>
      <c r="L115" s="95">
        <v>0.10748065348237318</v>
      </c>
    </row>
    <row r="116" spans="1:13">
      <c r="A116" s="259" t="s">
        <v>74</v>
      </c>
      <c r="B116" s="93">
        <v>2.4786780164701674</v>
      </c>
      <c r="C116" s="93"/>
      <c r="D116" s="93"/>
      <c r="E116" s="289">
        <v>0</v>
      </c>
      <c r="F116" s="95"/>
      <c r="G116" s="95"/>
      <c r="H116" s="93"/>
      <c r="I116" s="101">
        <v>-3.4393809114359415E-2</v>
      </c>
      <c r="J116" s="95"/>
      <c r="K116" s="106">
        <v>4.2992261392949267E-2</v>
      </c>
      <c r="L116" s="95">
        <v>2.4872764687487572</v>
      </c>
    </row>
    <row r="117" spans="1:13">
      <c r="A117" s="259" t="s">
        <v>75</v>
      </c>
      <c r="B117" s="93">
        <v>0</v>
      </c>
      <c r="C117" s="93"/>
      <c r="D117" s="93">
        <v>1.0782</v>
      </c>
      <c r="E117" s="93">
        <v>1.2420767288044043</v>
      </c>
      <c r="F117" s="95"/>
      <c r="G117" s="95"/>
      <c r="H117" s="93">
        <v>5.1017483519633131E-2</v>
      </c>
      <c r="I117" s="93">
        <v>2.3564918314703358</v>
      </c>
      <c r="J117" s="95"/>
      <c r="K117" s="95"/>
      <c r="L117" s="95">
        <v>4.7277860437943726</v>
      </c>
    </row>
    <row r="118" spans="1:13">
      <c r="A118" s="259" t="s">
        <v>76</v>
      </c>
      <c r="B118" s="93"/>
      <c r="C118" s="93"/>
      <c r="D118" s="93"/>
      <c r="E118" s="93">
        <v>0.40459209271542057</v>
      </c>
      <c r="F118" s="95"/>
      <c r="G118" s="95"/>
      <c r="H118" s="93"/>
      <c r="I118" s="93">
        <v>3.2860783026088267</v>
      </c>
      <c r="J118" s="95">
        <v>0.95699744896004757</v>
      </c>
      <c r="K118" s="95"/>
      <c r="L118" s="95">
        <v>4.6476678442842951</v>
      </c>
    </row>
    <row r="119" spans="1:13" ht="15.5">
      <c r="A119" s="260" t="s">
        <v>77</v>
      </c>
      <c r="B119" s="97">
        <v>2.5320977871021997</v>
      </c>
      <c r="C119" s="97">
        <v>47.778211196973203</v>
      </c>
      <c r="D119" s="97">
        <v>-45.395109251920701</v>
      </c>
      <c r="E119" s="97">
        <v>5.7843680537817681</v>
      </c>
      <c r="F119" s="97">
        <v>103.91274338838639</v>
      </c>
      <c r="G119" s="97">
        <v>14.961306964746345</v>
      </c>
      <c r="H119" s="97">
        <v>7.9184052899916004</v>
      </c>
      <c r="I119" s="97">
        <v>-44.551420407623326</v>
      </c>
      <c r="J119" s="97">
        <v>-3.6330927621837534</v>
      </c>
      <c r="K119" s="97">
        <v>-0.3869303525365434</v>
      </c>
      <c r="L119" s="97">
        <v>88.92057990671718</v>
      </c>
    </row>
    <row r="120" spans="1:13" ht="15.5">
      <c r="A120" s="8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1:13" ht="15.5">
      <c r="A121" s="262" t="s">
        <v>78</v>
      </c>
      <c r="B121" s="93">
        <v>0</v>
      </c>
      <c r="C121" s="95"/>
      <c r="D121" s="93">
        <v>1.4729206178416236</v>
      </c>
      <c r="E121" s="93">
        <v>10.500396800049039</v>
      </c>
      <c r="F121" s="95"/>
      <c r="G121" s="95"/>
      <c r="H121" s="93">
        <v>2.2533883417615286</v>
      </c>
      <c r="I121" s="93">
        <v>9.9189000147829578</v>
      </c>
      <c r="J121" s="93">
        <v>1.0888044989932395</v>
      </c>
      <c r="K121" s="93"/>
      <c r="L121" s="95">
        <v>25.234410273428388</v>
      </c>
      <c r="M121" s="99"/>
    </row>
    <row r="122" spans="1:13" ht="15.5">
      <c r="A122" s="262" t="s">
        <v>79</v>
      </c>
      <c r="B122" s="95"/>
      <c r="C122" s="95"/>
      <c r="D122" s="93">
        <v>33.467243817501647</v>
      </c>
      <c r="E122" s="93">
        <v>0.45902890397400081</v>
      </c>
      <c r="F122" s="95"/>
      <c r="G122" s="95"/>
      <c r="H122" s="93">
        <v>3.0649318006802346</v>
      </c>
      <c r="I122" s="93">
        <v>2.1184928132217893</v>
      </c>
      <c r="J122" s="93"/>
      <c r="K122" s="102">
        <v>0</v>
      </c>
      <c r="L122" s="95">
        <v>39.109697335377675</v>
      </c>
      <c r="M122" s="99"/>
    </row>
    <row r="123" spans="1:13">
      <c r="A123" s="259" t="s">
        <v>80</v>
      </c>
      <c r="B123" s="93">
        <v>0</v>
      </c>
      <c r="C123" s="95"/>
      <c r="D123" s="93">
        <v>3.9393678084627735</v>
      </c>
      <c r="E123" s="93">
        <v>9.6715864226456425</v>
      </c>
      <c r="F123" s="95"/>
      <c r="G123" s="95"/>
      <c r="H123" s="93">
        <v>9.5694574161932415</v>
      </c>
      <c r="I123" s="93">
        <v>12.545996400325794</v>
      </c>
      <c r="J123" s="93">
        <v>1.7548492723748692</v>
      </c>
      <c r="K123" s="93"/>
      <c r="L123" s="95">
        <v>37.481257320002321</v>
      </c>
      <c r="M123" s="99"/>
    </row>
    <row r="124" spans="1:13">
      <c r="A124" s="259" t="s">
        <v>81</v>
      </c>
      <c r="B124" s="93">
        <v>0</v>
      </c>
      <c r="C124" s="95"/>
      <c r="D124" s="93">
        <v>1.2037428576368416</v>
      </c>
      <c r="E124" s="93">
        <v>4.7420165632308739</v>
      </c>
      <c r="F124" s="95"/>
      <c r="G124" s="95"/>
      <c r="H124" s="93">
        <v>2.1255433490207265</v>
      </c>
      <c r="I124" s="93">
        <v>12.383405198063125</v>
      </c>
      <c r="J124" s="93">
        <v>0.78298531976226649</v>
      </c>
      <c r="K124" s="93"/>
      <c r="L124" s="95">
        <v>21.237693287713832</v>
      </c>
      <c r="M124" s="99"/>
    </row>
    <row r="125" spans="1:13">
      <c r="A125" s="259" t="s">
        <v>82</v>
      </c>
      <c r="B125" s="93">
        <v>2.2137192704974398E-3</v>
      </c>
      <c r="C125" s="95"/>
      <c r="D125" s="93">
        <v>2.65</v>
      </c>
      <c r="E125" s="93">
        <v>0.41</v>
      </c>
      <c r="F125" s="95"/>
      <c r="G125" s="95"/>
      <c r="H125" s="93">
        <v>0.24</v>
      </c>
      <c r="I125" s="93">
        <v>0.73170616791472998</v>
      </c>
      <c r="J125" s="93">
        <v>6.4536710533781346E-3</v>
      </c>
      <c r="K125" s="93"/>
      <c r="L125" s="95">
        <v>4.0403735582386053</v>
      </c>
      <c r="M125" s="99"/>
    </row>
    <row r="126" spans="1:13" ht="15.5">
      <c r="A126" s="260" t="s">
        <v>83</v>
      </c>
      <c r="B126" s="97">
        <v>2.2137192704974398E-3</v>
      </c>
      <c r="C126" s="97">
        <v>0</v>
      </c>
      <c r="D126" s="97">
        <v>42.733275101442885</v>
      </c>
      <c r="E126" s="97">
        <v>25.783028689899556</v>
      </c>
      <c r="F126" s="97">
        <v>0</v>
      </c>
      <c r="G126" s="97">
        <v>0</v>
      </c>
      <c r="H126" s="97">
        <v>17.253320907655731</v>
      </c>
      <c r="I126" s="97">
        <v>37.698500594308399</v>
      </c>
      <c r="J126" s="97">
        <v>3.6330927621837534</v>
      </c>
      <c r="K126" s="97">
        <v>0</v>
      </c>
      <c r="L126" s="97">
        <v>127.10343177476082</v>
      </c>
    </row>
    <row r="127" spans="1:13">
      <c r="A127" s="259" t="s">
        <v>84</v>
      </c>
      <c r="B127" s="95">
        <v>0.11450973903079993</v>
      </c>
      <c r="C127" s="95"/>
      <c r="D127" s="100">
        <v>10.358743329384168</v>
      </c>
      <c r="E127" s="100">
        <v>0.8575152317057565</v>
      </c>
      <c r="F127" s="95"/>
      <c r="G127" s="95"/>
      <c r="H127" s="95"/>
      <c r="I127" s="95"/>
      <c r="J127" s="95"/>
      <c r="K127" s="95">
        <v>0.3869303525365434</v>
      </c>
      <c r="L127" s="95">
        <v>11.717698652657267</v>
      </c>
    </row>
    <row r="128" spans="1:13" ht="15.5">
      <c r="A128" s="260" t="s">
        <v>85</v>
      </c>
      <c r="B128" s="97">
        <v>0.11672345830129738</v>
      </c>
      <c r="C128" s="97">
        <v>0</v>
      </c>
      <c r="D128" s="97">
        <v>53.092018430827054</v>
      </c>
      <c r="E128" s="97">
        <v>26.640543921605314</v>
      </c>
      <c r="F128" s="97">
        <v>0</v>
      </c>
      <c r="G128" s="97">
        <v>0</v>
      </c>
      <c r="H128" s="97">
        <v>17.253320907655731</v>
      </c>
      <c r="I128" s="97">
        <v>37.698500594308399</v>
      </c>
      <c r="J128" s="97">
        <v>3.6330927621837534</v>
      </c>
      <c r="K128" s="97">
        <v>0.3869303525365434</v>
      </c>
      <c r="L128" s="97">
        <v>138.8211304274181</v>
      </c>
    </row>
    <row r="139" spans="1:12" ht="15.5">
      <c r="A139" s="90" t="s">
        <v>88</v>
      </c>
      <c r="B139" s="80"/>
      <c r="C139" s="80"/>
      <c r="D139" s="80"/>
      <c r="E139" s="80"/>
      <c r="F139" s="80"/>
      <c r="G139" s="81"/>
      <c r="H139" s="80"/>
      <c r="I139" s="80"/>
      <c r="J139" s="80"/>
      <c r="K139" s="80"/>
      <c r="L139" s="80"/>
    </row>
    <row r="142" spans="1:12" ht="29">
      <c r="A142" s="83" t="s">
        <v>51</v>
      </c>
      <c r="B142" s="257" t="s">
        <v>42</v>
      </c>
      <c r="C142" s="257" t="s">
        <v>52</v>
      </c>
      <c r="D142" s="257" t="s">
        <v>53</v>
      </c>
      <c r="E142" s="258" t="s">
        <v>54</v>
      </c>
      <c r="F142" s="258" t="s">
        <v>20</v>
      </c>
      <c r="G142" s="258" t="s">
        <v>55</v>
      </c>
      <c r="H142" s="257" t="s">
        <v>56</v>
      </c>
      <c r="I142" s="257" t="s">
        <v>57</v>
      </c>
      <c r="J142" s="257" t="s">
        <v>58</v>
      </c>
      <c r="K142" s="257" t="s">
        <v>31</v>
      </c>
      <c r="L142" s="257" t="s">
        <v>10</v>
      </c>
    </row>
    <row r="143" spans="1:12" ht="15.5">
      <c r="A143" s="91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</row>
    <row r="144" spans="1:12">
      <c r="A144" s="259" t="s">
        <v>59</v>
      </c>
      <c r="B144" s="93">
        <v>0</v>
      </c>
      <c r="C144" s="93">
        <v>0.6</v>
      </c>
      <c r="D144" s="93">
        <v>0</v>
      </c>
      <c r="E144" s="93">
        <v>0.01</v>
      </c>
      <c r="F144" s="94">
        <v>87.505468116535909</v>
      </c>
      <c r="G144" s="94">
        <v>19.604471195184864</v>
      </c>
      <c r="H144" s="93">
        <v>27.652813608001015</v>
      </c>
      <c r="I144" s="95"/>
      <c r="J144" s="95"/>
      <c r="K144" s="95"/>
      <c r="L144" s="95">
        <v>135.37275291972179</v>
      </c>
    </row>
    <row r="145" spans="1:12">
      <c r="A145" s="259" t="s">
        <v>60</v>
      </c>
      <c r="B145" s="93">
        <v>2.1426447253399448</v>
      </c>
      <c r="C145" s="93">
        <v>40.135568603962227</v>
      </c>
      <c r="D145" s="93">
        <v>11.603738828489348</v>
      </c>
      <c r="E145" s="93">
        <v>27.110364556531959</v>
      </c>
      <c r="F145" s="95"/>
      <c r="G145" s="95"/>
      <c r="H145" s="95">
        <v>1.1840600232316554</v>
      </c>
      <c r="I145" s="95">
        <v>0</v>
      </c>
      <c r="J145" s="95"/>
      <c r="K145" s="95"/>
      <c r="L145" s="95">
        <v>82.176376737555131</v>
      </c>
    </row>
    <row r="146" spans="1:12">
      <c r="A146" s="259" t="s">
        <v>61</v>
      </c>
      <c r="B146" s="103">
        <v>0</v>
      </c>
      <c r="C146" s="103">
        <v>0</v>
      </c>
      <c r="D146" s="93">
        <v>0</v>
      </c>
      <c r="E146" s="103">
        <v>0</v>
      </c>
      <c r="F146" s="95"/>
      <c r="G146" s="95"/>
      <c r="H146" s="103">
        <v>0</v>
      </c>
      <c r="I146" s="95">
        <v>-5.338388011490764</v>
      </c>
      <c r="J146" s="95"/>
      <c r="K146" s="95"/>
      <c r="L146" s="95">
        <v>-5.338388011490764</v>
      </c>
    </row>
    <row r="147" spans="1:12">
      <c r="A147" s="259" t="s">
        <v>62</v>
      </c>
      <c r="B147" s="95"/>
      <c r="C147" s="95"/>
      <c r="D147" s="95">
        <v>-1.1000000000000001</v>
      </c>
      <c r="E147" s="95"/>
      <c r="F147" s="95"/>
      <c r="G147" s="95"/>
      <c r="H147" s="95"/>
      <c r="I147" s="95"/>
      <c r="J147" s="95"/>
      <c r="K147" s="95"/>
      <c r="L147" s="95">
        <v>-1.1000000000000001</v>
      </c>
    </row>
    <row r="148" spans="1:12">
      <c r="A148" s="259" t="s">
        <v>63</v>
      </c>
      <c r="B148" s="95"/>
      <c r="C148" s="95"/>
      <c r="D148" s="95">
        <v>-7.3263599105945998</v>
      </c>
      <c r="E148" s="95"/>
      <c r="F148" s="95"/>
      <c r="G148" s="95"/>
      <c r="H148" s="95"/>
      <c r="I148" s="95"/>
      <c r="J148" s="95"/>
      <c r="K148" s="95"/>
      <c r="L148" s="95">
        <v>-7.3263599105945998</v>
      </c>
    </row>
    <row r="149" spans="1:12">
      <c r="A149" s="259" t="s">
        <v>64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>
        <v>0</v>
      </c>
    </row>
    <row r="150" spans="1:12" ht="15.5">
      <c r="A150" s="260" t="s">
        <v>65</v>
      </c>
      <c r="B150" s="104">
        <v>2.1426447253399448</v>
      </c>
      <c r="C150" s="104">
        <v>40.735568603962228</v>
      </c>
      <c r="D150" s="104">
        <v>3.1773789178947487</v>
      </c>
      <c r="E150" s="104">
        <v>27.12036455653196</v>
      </c>
      <c r="F150" s="104">
        <v>87.505468116535909</v>
      </c>
      <c r="G150" s="104">
        <v>19.604471195184864</v>
      </c>
      <c r="H150" s="104">
        <v>28.83687363123267</v>
      </c>
      <c r="I150" s="104">
        <v>-5.338388011490764</v>
      </c>
      <c r="J150" s="104">
        <v>0</v>
      </c>
      <c r="K150" s="104"/>
      <c r="L150" s="104">
        <v>203.78438173519157</v>
      </c>
    </row>
    <row r="151" spans="1:12" ht="15.5">
      <c r="A151" s="84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</row>
    <row r="152" spans="1:12">
      <c r="A152" s="259" t="s">
        <v>66</v>
      </c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>
        <v>0</v>
      </c>
    </row>
    <row r="153" spans="1:12">
      <c r="A153" s="259" t="s">
        <v>67</v>
      </c>
      <c r="B153" s="93"/>
      <c r="C153" s="93"/>
      <c r="D153" s="93"/>
      <c r="E153" s="93"/>
      <c r="F153" s="95"/>
      <c r="G153" s="95"/>
      <c r="H153" s="95"/>
      <c r="I153" s="95"/>
      <c r="J153" s="95"/>
      <c r="K153" s="95"/>
      <c r="L153" s="95">
        <v>0</v>
      </c>
    </row>
    <row r="154" spans="1:12">
      <c r="A154" s="259" t="s">
        <v>68</v>
      </c>
      <c r="B154" s="93">
        <v>0</v>
      </c>
      <c r="C154" s="93">
        <v>0</v>
      </c>
      <c r="D154" s="93"/>
      <c r="E154" s="93">
        <v>4.0829815025015792</v>
      </c>
      <c r="F154" s="94">
        <v>87.505468116535909</v>
      </c>
      <c r="G154" s="94">
        <v>19.604471195184864</v>
      </c>
      <c r="H154" s="93">
        <v>2.3645743766122096</v>
      </c>
      <c r="I154" s="93">
        <v>-50.266999999999996</v>
      </c>
      <c r="J154" s="95"/>
      <c r="K154" s="95"/>
      <c r="L154" s="95">
        <v>63.290495190834577</v>
      </c>
    </row>
    <row r="155" spans="1:12">
      <c r="A155" s="259" t="s">
        <v>69</v>
      </c>
      <c r="B155" s="93"/>
      <c r="C155" s="93"/>
      <c r="D155" s="93"/>
      <c r="E155" s="93"/>
      <c r="F155" s="95"/>
      <c r="G155" s="95"/>
      <c r="H155" s="93"/>
      <c r="I155" s="93"/>
      <c r="J155" s="95"/>
      <c r="K155" s="95"/>
      <c r="L155" s="95">
        <v>0</v>
      </c>
    </row>
    <row r="156" spans="1:12">
      <c r="A156" s="259" t="s">
        <v>70</v>
      </c>
      <c r="B156" s="93">
        <v>0</v>
      </c>
      <c r="C156" s="93"/>
      <c r="D156" s="93">
        <v>0</v>
      </c>
      <c r="E156" s="93">
        <v>1.1033714738962501</v>
      </c>
      <c r="F156" s="95"/>
      <c r="G156" s="95"/>
      <c r="H156" s="93">
        <v>3.4223564102833111</v>
      </c>
      <c r="I156" s="93"/>
      <c r="J156" s="95">
        <v>-5.0031456465819746</v>
      </c>
      <c r="K156" s="95"/>
      <c r="L156" s="95">
        <v>-0.47741776240241318</v>
      </c>
    </row>
    <row r="157" spans="1:12">
      <c r="A157" s="259" t="s">
        <v>71</v>
      </c>
      <c r="B157" s="93"/>
      <c r="C157" s="93"/>
      <c r="D157" s="93"/>
      <c r="E157" s="93">
        <v>-3.0305707441718415</v>
      </c>
      <c r="F157" s="95"/>
      <c r="G157" s="95"/>
      <c r="H157" s="93">
        <v>3.7882134302148018</v>
      </c>
      <c r="I157" s="93"/>
      <c r="J157" s="95"/>
      <c r="K157" s="95"/>
      <c r="L157" s="95">
        <v>0.75764268604296037</v>
      </c>
    </row>
    <row r="158" spans="1:12">
      <c r="A158" s="259" t="s">
        <v>72</v>
      </c>
      <c r="B158" s="93"/>
      <c r="C158" s="93">
        <v>40.735568603962228</v>
      </c>
      <c r="D158" s="93">
        <v>-39.731196478800598</v>
      </c>
      <c r="E158" s="93">
        <v>0.33698049084305848</v>
      </c>
      <c r="F158" s="95"/>
      <c r="G158" s="95"/>
      <c r="H158" s="93"/>
      <c r="I158" s="93"/>
      <c r="J158" s="95"/>
      <c r="K158" s="95"/>
      <c r="L158" s="95">
        <v>1.3413526160046889</v>
      </c>
    </row>
    <row r="159" spans="1:12">
      <c r="A159" s="259" t="s">
        <v>73</v>
      </c>
      <c r="B159" s="93"/>
      <c r="C159" s="93"/>
      <c r="D159" s="93"/>
      <c r="E159" s="93"/>
      <c r="F159" s="95"/>
      <c r="G159" s="95"/>
      <c r="H159" s="93"/>
      <c r="I159" s="93">
        <v>2.1496130696474633</v>
      </c>
      <c r="J159" s="95"/>
      <c r="K159" s="95">
        <v>-1.7196904557179706</v>
      </c>
      <c r="L159" s="95">
        <v>0.42992261392949271</v>
      </c>
    </row>
    <row r="160" spans="1:12">
      <c r="A160" s="259" t="s">
        <v>74</v>
      </c>
      <c r="B160" s="93">
        <v>2.1404310060694471</v>
      </c>
      <c r="C160" s="93"/>
      <c r="D160" s="93"/>
      <c r="E160" s="101">
        <v>-0.15477214101461736</v>
      </c>
      <c r="F160" s="106"/>
      <c r="G160" s="106"/>
      <c r="H160" s="101"/>
      <c r="I160" s="101">
        <v>-0.2063628546861565</v>
      </c>
      <c r="J160" s="95"/>
      <c r="K160" s="106">
        <v>0.42992261392949271</v>
      </c>
      <c r="L160" s="95">
        <v>2.209218624298166</v>
      </c>
    </row>
    <row r="161" spans="1:13">
      <c r="A161" s="259" t="s">
        <v>75</v>
      </c>
      <c r="B161" s="93">
        <v>0</v>
      </c>
      <c r="C161" s="93"/>
      <c r="D161" s="93">
        <v>1.0782</v>
      </c>
      <c r="E161" s="93">
        <v>1.2420767288044043</v>
      </c>
      <c r="F161" s="95"/>
      <c r="G161" s="95"/>
      <c r="H161" s="93">
        <v>5.1017483519633131E-2</v>
      </c>
      <c r="I161" s="93">
        <v>2.3520206362854692</v>
      </c>
      <c r="J161" s="95"/>
      <c r="K161" s="95"/>
      <c r="L161" s="95">
        <v>4.7233148486095065</v>
      </c>
    </row>
    <row r="162" spans="1:13">
      <c r="A162" s="259" t="s">
        <v>76</v>
      </c>
      <c r="B162" s="93"/>
      <c r="C162" s="93"/>
      <c r="D162" s="93"/>
      <c r="E162" s="93">
        <v>0.3535258483957765</v>
      </c>
      <c r="F162" s="95"/>
      <c r="G162" s="95"/>
      <c r="H162" s="93"/>
      <c r="I162" s="93">
        <v>3.2582065612805073</v>
      </c>
      <c r="J162" s="95">
        <v>1.0431162352605265</v>
      </c>
      <c r="K162" s="95"/>
      <c r="L162" s="95">
        <v>4.6548486449368109</v>
      </c>
    </row>
    <row r="163" spans="1:13" ht="15.5">
      <c r="A163" s="260" t="s">
        <v>77</v>
      </c>
      <c r="B163" s="104">
        <v>2.1404310060694471</v>
      </c>
      <c r="C163" s="104">
        <v>40.735568603962228</v>
      </c>
      <c r="D163" s="104">
        <v>-38.652996478800596</v>
      </c>
      <c r="E163" s="104">
        <v>3.9335931592546101</v>
      </c>
      <c r="F163" s="104">
        <v>87.505468116535909</v>
      </c>
      <c r="G163" s="104">
        <v>19.604471195184864</v>
      </c>
      <c r="H163" s="104">
        <v>9.6261617006299556</v>
      </c>
      <c r="I163" s="104">
        <v>-42.71352258747271</v>
      </c>
      <c r="J163" s="104">
        <v>-3.960029411321448</v>
      </c>
      <c r="K163" s="97">
        <v>-1.2897678417884779</v>
      </c>
      <c r="L163" s="104">
        <v>76.929377462253782</v>
      </c>
    </row>
    <row r="164" spans="1:13" ht="15.5">
      <c r="A164" s="84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</row>
    <row r="165" spans="1:13" ht="15.5">
      <c r="A165" s="262" t="s">
        <v>78</v>
      </c>
      <c r="B165" s="93">
        <v>0</v>
      </c>
      <c r="C165" s="95"/>
      <c r="D165" s="93">
        <v>0.91047471072988595</v>
      </c>
      <c r="E165" s="93">
        <v>9.2828412206946656</v>
      </c>
      <c r="F165" s="95"/>
      <c r="G165" s="95"/>
      <c r="H165" s="93">
        <v>2.797481014933286</v>
      </c>
      <c r="I165" s="93">
        <v>9.8446264808181319</v>
      </c>
      <c r="J165" s="93">
        <v>1.0065715207299948</v>
      </c>
      <c r="K165" s="93"/>
      <c r="L165" s="95">
        <v>23.841994947905963</v>
      </c>
      <c r="M165" s="99"/>
    </row>
    <row r="166" spans="1:13" ht="15.5">
      <c r="A166" s="262" t="s">
        <v>79</v>
      </c>
      <c r="B166" s="95"/>
      <c r="C166" s="95"/>
      <c r="D166" s="93">
        <v>27.751715068457877</v>
      </c>
      <c r="E166" s="93">
        <v>0.93047307809883106</v>
      </c>
      <c r="F166" s="95"/>
      <c r="G166" s="95"/>
      <c r="H166" s="93">
        <v>3.2186817504954033</v>
      </c>
      <c r="I166" s="93">
        <v>3.1579242402183425</v>
      </c>
      <c r="J166" s="93"/>
      <c r="K166" s="102">
        <v>0</v>
      </c>
      <c r="L166" s="107">
        <v>35.058794137270453</v>
      </c>
      <c r="M166" s="99"/>
    </row>
    <row r="167" spans="1:13">
      <c r="A167" s="259" t="s">
        <v>80</v>
      </c>
      <c r="B167" s="93">
        <v>0</v>
      </c>
      <c r="C167" s="95"/>
      <c r="D167" s="93">
        <v>1.746497298641001</v>
      </c>
      <c r="E167" s="93">
        <v>8.4644882734430098</v>
      </c>
      <c r="F167" s="95"/>
      <c r="G167" s="95"/>
      <c r="H167" s="93">
        <v>10.300321992032506</v>
      </c>
      <c r="I167" s="93">
        <v>11.885627565252159</v>
      </c>
      <c r="J167" s="93">
        <v>2.1555790280909841</v>
      </c>
      <c r="K167" s="93"/>
      <c r="L167" s="95">
        <v>34.552514157459662</v>
      </c>
      <c r="M167" s="99"/>
    </row>
    <row r="168" spans="1:13">
      <c r="A168" s="259" t="s">
        <v>81</v>
      </c>
      <c r="B168" s="93">
        <v>0</v>
      </c>
      <c r="C168" s="95"/>
      <c r="D168" s="93">
        <v>0.60659804706016329</v>
      </c>
      <c r="E168" s="93">
        <v>3.373347366526199</v>
      </c>
      <c r="F168" s="95"/>
      <c r="G168" s="95"/>
      <c r="H168" s="93">
        <v>2.5554110979101758</v>
      </c>
      <c r="I168" s="93">
        <v>11.711297347178387</v>
      </c>
      <c r="J168" s="93">
        <v>0.79142519144709034</v>
      </c>
      <c r="K168" s="93"/>
      <c r="L168" s="95">
        <v>19.038079050122015</v>
      </c>
      <c r="M168" s="99"/>
    </row>
    <row r="169" spans="1:13">
      <c r="A169" s="259" t="s">
        <v>82</v>
      </c>
      <c r="B169" s="93">
        <v>2.2137192704974398E-3</v>
      </c>
      <c r="C169" s="95"/>
      <c r="D169" s="93">
        <v>2.28816075231342</v>
      </c>
      <c r="E169" s="93">
        <v>0.47763215046268398</v>
      </c>
      <c r="F169" s="95"/>
      <c r="G169" s="95"/>
      <c r="H169" s="93">
        <v>0.338816075231342</v>
      </c>
      <c r="I169" s="93">
        <v>0.77565894251492096</v>
      </c>
      <c r="J169" s="93">
        <v>6.4536710533781346E-3</v>
      </c>
      <c r="K169" s="93"/>
      <c r="L169" s="95">
        <v>3.8889353108462426</v>
      </c>
      <c r="M169" s="99"/>
    </row>
    <row r="170" spans="1:13" ht="15.5">
      <c r="A170" s="260" t="s">
        <v>83</v>
      </c>
      <c r="B170" s="104">
        <v>2.2137192704974398E-3</v>
      </c>
      <c r="C170" s="104">
        <v>0</v>
      </c>
      <c r="D170" s="104">
        <v>33.30344587720235</v>
      </c>
      <c r="E170" s="104">
        <v>22.528782089225395</v>
      </c>
      <c r="F170" s="104">
        <v>0</v>
      </c>
      <c r="G170" s="104">
        <v>0</v>
      </c>
      <c r="H170" s="104">
        <v>19.210711930602717</v>
      </c>
      <c r="I170" s="104">
        <v>37.375134575981946</v>
      </c>
      <c r="J170" s="104">
        <v>3.9600294113214476</v>
      </c>
      <c r="K170" s="97">
        <v>0</v>
      </c>
      <c r="L170" s="104">
        <v>116.38031760360433</v>
      </c>
    </row>
    <row r="171" spans="1:13">
      <c r="A171" s="259" t="s">
        <v>84</v>
      </c>
      <c r="B171" s="95">
        <v>0</v>
      </c>
      <c r="C171" s="95"/>
      <c r="D171" s="93">
        <v>8.5269295194929953</v>
      </c>
      <c r="E171" s="93">
        <v>0.65798930805195532</v>
      </c>
      <c r="F171" s="95"/>
      <c r="G171" s="95"/>
      <c r="H171" s="95"/>
      <c r="I171" s="95"/>
      <c r="J171" s="95"/>
      <c r="K171" s="95">
        <v>1.2897678417884779</v>
      </c>
      <c r="L171" s="95">
        <v>10.47468666933343</v>
      </c>
    </row>
    <row r="172" spans="1:13" ht="15.5">
      <c r="A172" s="260" t="s">
        <v>85</v>
      </c>
      <c r="B172" s="104">
        <v>2.2137192704974398E-3</v>
      </c>
      <c r="C172" s="104">
        <v>0</v>
      </c>
      <c r="D172" s="104">
        <v>41.830375396695345</v>
      </c>
      <c r="E172" s="104">
        <v>23.186771397277351</v>
      </c>
      <c r="F172" s="104">
        <v>0</v>
      </c>
      <c r="G172" s="104">
        <v>0</v>
      </c>
      <c r="H172" s="104">
        <v>19.210711930602717</v>
      </c>
      <c r="I172" s="104">
        <v>37.375134575981946</v>
      </c>
      <c r="J172" s="104">
        <v>3.9600294113214476</v>
      </c>
      <c r="K172" s="104">
        <v>1.2897678417884779</v>
      </c>
      <c r="L172" s="104">
        <v>126.85500427293775</v>
      </c>
    </row>
    <row r="183" spans="1:14" ht="15.5">
      <c r="A183" s="90" t="s">
        <v>89</v>
      </c>
      <c r="B183" s="80"/>
      <c r="C183" s="80"/>
      <c r="D183" s="80"/>
      <c r="E183" s="80"/>
      <c r="F183" s="80"/>
      <c r="G183" s="81"/>
      <c r="H183" s="80"/>
      <c r="I183" s="80"/>
      <c r="J183" s="80"/>
      <c r="K183" s="80"/>
      <c r="L183" s="80"/>
    </row>
    <row r="186" spans="1:14" ht="29">
      <c r="A186" s="83" t="s">
        <v>51</v>
      </c>
      <c r="B186" s="257" t="s">
        <v>42</v>
      </c>
      <c r="C186" s="257" t="s">
        <v>52</v>
      </c>
      <c r="D186" s="257" t="s">
        <v>53</v>
      </c>
      <c r="E186" s="258" t="s">
        <v>54</v>
      </c>
      <c r="F186" s="258" t="s">
        <v>20</v>
      </c>
      <c r="G186" s="258" t="s">
        <v>55</v>
      </c>
      <c r="H186" s="257" t="s">
        <v>56</v>
      </c>
      <c r="I186" s="257" t="s">
        <v>57</v>
      </c>
      <c r="J186" s="257" t="s">
        <v>58</v>
      </c>
      <c r="K186" s="257" t="s">
        <v>31</v>
      </c>
      <c r="L186" s="257" t="s">
        <v>10</v>
      </c>
    </row>
    <row r="187" spans="1:14" ht="15.5">
      <c r="A187" s="91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N187" s="82"/>
    </row>
    <row r="188" spans="1:14">
      <c r="A188" s="259" t="s">
        <v>59</v>
      </c>
      <c r="B188" s="93">
        <v>0</v>
      </c>
      <c r="C188" s="93">
        <v>0</v>
      </c>
      <c r="D188" s="93">
        <v>0</v>
      </c>
      <c r="E188" s="93">
        <v>0</v>
      </c>
      <c r="F188" s="94">
        <v>27.345458786417471</v>
      </c>
      <c r="G188" s="94">
        <v>46.775580395528799</v>
      </c>
      <c r="H188" s="93">
        <v>39.150228110130641</v>
      </c>
      <c r="I188" s="95"/>
      <c r="J188" s="95"/>
      <c r="K188" s="95"/>
      <c r="L188" s="95">
        <v>113.27126729207691</v>
      </c>
    </row>
    <row r="189" spans="1:14">
      <c r="A189" s="259" t="s">
        <v>60</v>
      </c>
      <c r="B189" s="93">
        <v>0.74697394369004599</v>
      </c>
      <c r="C189" s="93">
        <v>0</v>
      </c>
      <c r="D189" s="93">
        <v>15.265776616616671</v>
      </c>
      <c r="E189" s="93">
        <v>0</v>
      </c>
      <c r="F189" s="95"/>
      <c r="G189" s="95"/>
      <c r="H189" s="95">
        <v>0</v>
      </c>
      <c r="I189" s="107">
        <v>0</v>
      </c>
      <c r="J189" s="95"/>
      <c r="K189" s="95"/>
      <c r="L189" s="95">
        <v>16.012750560306717</v>
      </c>
    </row>
    <row r="190" spans="1:14">
      <c r="A190" s="259" t="s">
        <v>61</v>
      </c>
      <c r="B190" s="93">
        <v>0</v>
      </c>
      <c r="C190" s="93">
        <v>0</v>
      </c>
      <c r="D190" s="93">
        <v>0</v>
      </c>
      <c r="E190" s="93">
        <v>0</v>
      </c>
      <c r="F190" s="95"/>
      <c r="G190" s="95"/>
      <c r="H190" s="93">
        <v>0</v>
      </c>
      <c r="I190" s="95">
        <v>-1.7515441453990022</v>
      </c>
      <c r="J190" s="95"/>
      <c r="K190" s="95"/>
      <c r="L190" s="95">
        <v>-1.7515441453990022</v>
      </c>
    </row>
    <row r="191" spans="1:14">
      <c r="A191" s="259" t="s">
        <v>62</v>
      </c>
      <c r="B191" s="93"/>
      <c r="C191" s="93"/>
      <c r="D191" s="93">
        <v>-1.1000000000000001</v>
      </c>
      <c r="E191" s="93"/>
      <c r="F191" s="95"/>
      <c r="G191" s="95"/>
      <c r="H191" s="95"/>
      <c r="I191" s="95"/>
      <c r="J191" s="95"/>
      <c r="K191" s="95"/>
      <c r="L191" s="95">
        <v>-1.1000000000000001</v>
      </c>
    </row>
    <row r="192" spans="1:14">
      <c r="A192" s="259" t="s">
        <v>63</v>
      </c>
      <c r="B192" s="93"/>
      <c r="C192" s="93"/>
      <c r="D192" s="93">
        <v>-9.8675445253719403</v>
      </c>
      <c r="E192" s="93"/>
      <c r="F192" s="95"/>
      <c r="G192" s="95"/>
      <c r="H192" s="95"/>
      <c r="I192" s="95"/>
      <c r="J192" s="95"/>
      <c r="K192" s="95"/>
      <c r="L192" s="95">
        <v>-9.8675445253719403</v>
      </c>
    </row>
    <row r="193" spans="1:14">
      <c r="A193" s="259" t="s">
        <v>64</v>
      </c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>
        <v>0</v>
      </c>
    </row>
    <row r="194" spans="1:14" ht="15.5">
      <c r="A194" s="260" t="s">
        <v>65</v>
      </c>
      <c r="B194" s="97">
        <v>0.74697394369004599</v>
      </c>
      <c r="C194" s="97">
        <v>0</v>
      </c>
      <c r="D194" s="97">
        <v>4.2982320912447314</v>
      </c>
      <c r="E194" s="97">
        <v>0</v>
      </c>
      <c r="F194" s="97">
        <v>27.345458786417471</v>
      </c>
      <c r="G194" s="97">
        <v>46.775580395528799</v>
      </c>
      <c r="H194" s="97">
        <v>39.150228110130641</v>
      </c>
      <c r="I194" s="97">
        <v>-1.7515441453990022</v>
      </c>
      <c r="J194" s="97">
        <v>0</v>
      </c>
      <c r="K194" s="97"/>
      <c r="L194" s="97">
        <v>116.5649291816127</v>
      </c>
    </row>
    <row r="195" spans="1:14" ht="15.5">
      <c r="A195" s="84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</row>
    <row r="196" spans="1:14">
      <c r="A196" s="259" t="s">
        <v>66</v>
      </c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>
        <v>0</v>
      </c>
    </row>
    <row r="197" spans="1:14">
      <c r="A197" s="259" t="s">
        <v>67</v>
      </c>
      <c r="B197" s="93"/>
      <c r="C197" s="93"/>
      <c r="D197" s="93"/>
      <c r="E197" s="93"/>
      <c r="F197" s="95"/>
      <c r="G197" s="95"/>
      <c r="H197" s="93"/>
      <c r="I197" s="93"/>
      <c r="J197" s="95"/>
      <c r="K197" s="95"/>
      <c r="L197" s="95">
        <v>0</v>
      </c>
    </row>
    <row r="198" spans="1:14">
      <c r="A198" s="259" t="s">
        <v>68</v>
      </c>
      <c r="B198" s="93">
        <v>0</v>
      </c>
      <c r="C198" s="93">
        <v>0</v>
      </c>
      <c r="D198" s="93"/>
      <c r="E198" s="93">
        <v>2.1496130696474633</v>
      </c>
      <c r="F198" s="93">
        <v>27.345458786417471</v>
      </c>
      <c r="G198" s="93">
        <v>46.775580395528799</v>
      </c>
      <c r="H198" s="93">
        <v>0</v>
      </c>
      <c r="I198" s="93">
        <v>-56.673999999999992</v>
      </c>
      <c r="J198" s="95"/>
      <c r="K198" s="95"/>
      <c r="L198" s="95">
        <v>19.596652251593738</v>
      </c>
    </row>
    <row r="199" spans="1:14">
      <c r="A199" s="259" t="s">
        <v>69</v>
      </c>
      <c r="B199" s="93"/>
      <c r="C199" s="93"/>
      <c r="D199" s="93"/>
      <c r="E199" s="93"/>
      <c r="F199" s="95"/>
      <c r="G199" s="95"/>
      <c r="H199" s="93"/>
      <c r="I199" s="93"/>
      <c r="J199" s="95"/>
      <c r="K199" s="95"/>
      <c r="L199" s="95">
        <v>0</v>
      </c>
    </row>
    <row r="200" spans="1:14">
      <c r="A200" s="259" t="s">
        <v>70</v>
      </c>
      <c r="B200" s="93">
        <v>0</v>
      </c>
      <c r="C200" s="93"/>
      <c r="D200" s="93">
        <v>0</v>
      </c>
      <c r="E200" s="93">
        <v>0.85449177920296737</v>
      </c>
      <c r="F200" s="95"/>
      <c r="G200" s="95"/>
      <c r="H200" s="93">
        <v>3.403615539978218</v>
      </c>
      <c r="I200" s="93"/>
      <c r="J200" s="95">
        <v>-5.1661619878122789</v>
      </c>
      <c r="K200" s="95"/>
      <c r="L200" s="95">
        <v>-0.90805466863109352</v>
      </c>
    </row>
    <row r="201" spans="1:14">
      <c r="A201" s="259" t="s">
        <v>71</v>
      </c>
      <c r="B201" s="93"/>
      <c r="C201" s="93"/>
      <c r="D201" s="93"/>
      <c r="E201" s="93">
        <v>-13.268132354256622</v>
      </c>
      <c r="F201" s="95"/>
      <c r="G201" s="95"/>
      <c r="H201" s="93">
        <v>16.585165442820777</v>
      </c>
      <c r="I201" s="93"/>
      <c r="J201" s="95"/>
      <c r="K201" s="95"/>
      <c r="L201" s="95">
        <v>3.3170330885641555</v>
      </c>
    </row>
    <row r="202" spans="1:14">
      <c r="A202" s="259" t="s">
        <v>72</v>
      </c>
      <c r="B202" s="93"/>
      <c r="C202" s="93">
        <v>0</v>
      </c>
      <c r="D202" s="93">
        <v>0</v>
      </c>
      <c r="E202" s="93">
        <v>0</v>
      </c>
      <c r="F202" s="95"/>
      <c r="G202" s="95"/>
      <c r="H202" s="93"/>
      <c r="I202" s="93"/>
      <c r="J202" s="95"/>
      <c r="K202" s="95"/>
      <c r="L202" s="95">
        <v>0</v>
      </c>
    </row>
    <row r="203" spans="1:14">
      <c r="A203" s="259" t="s">
        <v>73</v>
      </c>
      <c r="B203" s="93"/>
      <c r="C203" s="93"/>
      <c r="D203" s="93"/>
      <c r="E203" s="93"/>
      <c r="F203" s="95"/>
      <c r="G203" s="95"/>
      <c r="H203" s="93"/>
      <c r="I203" s="93">
        <v>4.2992261392949267</v>
      </c>
      <c r="J203" s="95"/>
      <c r="K203" s="95">
        <v>-3.4393809114359413</v>
      </c>
      <c r="L203" s="95">
        <v>0.85984522785898543</v>
      </c>
    </row>
    <row r="204" spans="1:14">
      <c r="A204" s="259" t="s">
        <v>74</v>
      </c>
      <c r="B204" s="93">
        <v>0.74476022441954859</v>
      </c>
      <c r="C204" s="93"/>
      <c r="D204" s="93"/>
      <c r="E204" s="101">
        <v>-0.30954428202923473</v>
      </c>
      <c r="F204" s="95"/>
      <c r="G204" s="95"/>
      <c r="H204" s="93"/>
      <c r="I204" s="93">
        <v>-1.0318142734307825</v>
      </c>
      <c r="J204" s="95"/>
      <c r="K204" s="106">
        <v>1.633705932932072</v>
      </c>
      <c r="L204" s="95">
        <v>1.0371076018916034</v>
      </c>
    </row>
    <row r="205" spans="1:14">
      <c r="A205" s="259" t="s">
        <v>75</v>
      </c>
      <c r="B205" s="93">
        <v>0</v>
      </c>
      <c r="C205" s="93"/>
      <c r="D205" s="93">
        <v>0</v>
      </c>
      <c r="E205" s="289">
        <v>0</v>
      </c>
      <c r="F205" s="95"/>
      <c r="G205" s="95"/>
      <c r="H205" s="93">
        <v>5.1017483519633131E-2</v>
      </c>
      <c r="I205" s="93">
        <v>2.3441960447119525</v>
      </c>
      <c r="J205" s="95"/>
      <c r="K205" s="95"/>
      <c r="L205" s="95">
        <v>2.3952135282315856</v>
      </c>
      <c r="N205" s="96"/>
    </row>
    <row r="206" spans="1:14">
      <c r="A206" s="259" t="s">
        <v>76</v>
      </c>
      <c r="B206" s="93"/>
      <c r="C206" s="93"/>
      <c r="D206" s="93"/>
      <c r="E206" s="93">
        <v>0.15893900909970565</v>
      </c>
      <c r="F206" s="95"/>
      <c r="G206" s="95"/>
      <c r="H206" s="93"/>
      <c r="I206" s="93">
        <v>3.6734955070724626</v>
      </c>
      <c r="J206" s="95">
        <v>1.077103851085037</v>
      </c>
      <c r="K206" s="95"/>
      <c r="L206" s="95">
        <v>4.9095383672572055</v>
      </c>
    </row>
    <row r="207" spans="1:14" ht="15.5">
      <c r="A207" s="260" t="s">
        <v>77</v>
      </c>
      <c r="B207" s="97">
        <v>0.74476022441954859</v>
      </c>
      <c r="C207" s="97">
        <v>0</v>
      </c>
      <c r="D207" s="97">
        <v>0</v>
      </c>
      <c r="E207" s="97">
        <v>-10.414632778335719</v>
      </c>
      <c r="F207" s="97">
        <v>27.345458786417471</v>
      </c>
      <c r="G207" s="97">
        <v>46.775580395528799</v>
      </c>
      <c r="H207" s="97">
        <v>20.039798466318629</v>
      </c>
      <c r="I207" s="97">
        <v>-47.388896582351435</v>
      </c>
      <c r="J207" s="97">
        <v>-4.0890581367272416</v>
      </c>
      <c r="K207" s="97">
        <v>-1.8056749785038693</v>
      </c>
      <c r="L207" s="97">
        <v>31.20733539676618</v>
      </c>
    </row>
    <row r="208" spans="1:14" ht="15.5">
      <c r="A208" s="84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</row>
    <row r="209" spans="1:13" ht="15.5">
      <c r="A209" s="262" t="s">
        <v>78</v>
      </c>
      <c r="B209" s="93">
        <v>0</v>
      </c>
      <c r="C209" s="95"/>
      <c r="D209" s="93">
        <v>0</v>
      </c>
      <c r="E209" s="93">
        <v>2.6196131084152277</v>
      </c>
      <c r="F209" s="95"/>
      <c r="G209" s="95"/>
      <c r="H209" s="93">
        <v>2.4941614081810051</v>
      </c>
      <c r="I209" s="93">
        <v>15.692222796920932</v>
      </c>
      <c r="J209" s="93">
        <v>0.41499583184774225</v>
      </c>
      <c r="K209" s="93"/>
      <c r="L209" s="95">
        <v>21.220993145364908</v>
      </c>
      <c r="M209" s="99"/>
    </row>
    <row r="210" spans="1:13" ht="15.5">
      <c r="A210" s="262" t="s">
        <v>79</v>
      </c>
      <c r="B210" s="107"/>
      <c r="C210" s="107"/>
      <c r="D210" s="93">
        <v>0.93045123347554903</v>
      </c>
      <c r="E210" s="93">
        <v>3.6028639370370201</v>
      </c>
      <c r="F210" s="95"/>
      <c r="G210" s="95"/>
      <c r="H210" s="93">
        <v>4.2184772740988761</v>
      </c>
      <c r="I210" s="93">
        <v>8.1773954821011205</v>
      </c>
      <c r="J210" s="93"/>
      <c r="K210" s="93">
        <v>8.5984522785898534E-2</v>
      </c>
      <c r="L210" s="95">
        <v>17.015172449498465</v>
      </c>
      <c r="M210" s="99"/>
    </row>
    <row r="211" spans="1:13">
      <c r="A211" s="259" t="s">
        <v>80</v>
      </c>
      <c r="B211" s="93">
        <v>0</v>
      </c>
      <c r="C211" s="95"/>
      <c r="D211" s="93">
        <v>0.16812387266585074</v>
      </c>
      <c r="E211" s="93">
        <v>2.6677723755245331</v>
      </c>
      <c r="F211" s="95"/>
      <c r="G211" s="95"/>
      <c r="H211" s="93">
        <v>9.1119423382098859</v>
      </c>
      <c r="I211" s="93">
        <v>11.1263428965709</v>
      </c>
      <c r="J211" s="93">
        <v>2.1285056205612118</v>
      </c>
      <c r="K211" s="93"/>
      <c r="L211" s="95">
        <v>25.202687103532384</v>
      </c>
      <c r="M211" s="99"/>
    </row>
    <row r="212" spans="1:13">
      <c r="A212" s="259" t="s">
        <v>81</v>
      </c>
      <c r="B212" s="93">
        <v>0</v>
      </c>
      <c r="C212" s="95"/>
      <c r="D212" s="93">
        <v>4.3808247608083023E-2</v>
      </c>
      <c r="E212" s="93">
        <v>0.54387058176361458</v>
      </c>
      <c r="F212" s="95"/>
      <c r="G212" s="95"/>
      <c r="H212" s="93">
        <v>2.4071612194730982</v>
      </c>
      <c r="I212" s="93">
        <v>9.9325738092989031</v>
      </c>
      <c r="J212" s="93">
        <v>1.5391030132649095</v>
      </c>
      <c r="K212" s="93"/>
      <c r="L212" s="95">
        <v>14.466516871408608</v>
      </c>
      <c r="M212" s="99"/>
    </row>
    <row r="213" spans="1:13">
      <c r="A213" s="259" t="s">
        <v>82</v>
      </c>
      <c r="B213" s="93">
        <v>2.2137192704974398E-3</v>
      </c>
      <c r="C213" s="95"/>
      <c r="D213" s="93">
        <v>0</v>
      </c>
      <c r="E213" s="93">
        <v>0.69442453716561003</v>
      </c>
      <c r="F213" s="95"/>
      <c r="G213" s="95"/>
      <c r="H213" s="93">
        <v>0.87868740384914412</v>
      </c>
      <c r="I213" s="93">
        <v>0.708817452060579</v>
      </c>
      <c r="J213" s="93">
        <v>6.4536710533781346E-3</v>
      </c>
      <c r="K213" s="93"/>
      <c r="L213" s="95">
        <v>2.2905967833992089</v>
      </c>
      <c r="M213" s="99"/>
    </row>
    <row r="214" spans="1:13" ht="15.5">
      <c r="A214" s="260" t="s">
        <v>83</v>
      </c>
      <c r="B214" s="97">
        <v>2.2137192704974398E-3</v>
      </c>
      <c r="C214" s="97">
        <v>0</v>
      </c>
      <c r="D214" s="97">
        <v>1.1423833537494827</v>
      </c>
      <c r="E214" s="97">
        <v>10.128544539906006</v>
      </c>
      <c r="F214" s="97">
        <v>0</v>
      </c>
      <c r="G214" s="97">
        <v>0</v>
      </c>
      <c r="H214" s="97">
        <v>19.110429643812012</v>
      </c>
      <c r="I214" s="97">
        <v>45.637352436952433</v>
      </c>
      <c r="J214" s="97">
        <v>4.0890581367272416</v>
      </c>
      <c r="K214" s="97">
        <v>8.5984522785898534E-2</v>
      </c>
      <c r="L214" s="97">
        <v>80.195966353203573</v>
      </c>
    </row>
    <row r="215" spans="1:13">
      <c r="A215" s="259" t="s">
        <v>84</v>
      </c>
      <c r="B215" s="95">
        <v>0</v>
      </c>
      <c r="C215" s="95"/>
      <c r="D215" s="100">
        <v>3.1558487374952491</v>
      </c>
      <c r="E215" s="100">
        <v>0.28608823842971293</v>
      </c>
      <c r="F215" s="95"/>
      <c r="G215" s="95"/>
      <c r="H215" s="95"/>
      <c r="I215" s="95"/>
      <c r="J215" s="95"/>
      <c r="K215" s="95">
        <v>1.7196904557179706</v>
      </c>
      <c r="L215" s="95">
        <v>5.1616274316429323</v>
      </c>
    </row>
    <row r="216" spans="1:13" ht="15.5">
      <c r="A216" s="260" t="s">
        <v>85</v>
      </c>
      <c r="B216" s="97">
        <v>2.2137192704974398E-3</v>
      </c>
      <c r="C216" s="97">
        <v>0</v>
      </c>
      <c r="D216" s="97">
        <v>4.2982320912447314</v>
      </c>
      <c r="E216" s="97">
        <v>10.414632778335719</v>
      </c>
      <c r="F216" s="97">
        <v>0</v>
      </c>
      <c r="G216" s="97">
        <v>0</v>
      </c>
      <c r="H216" s="97">
        <v>19.110429643812012</v>
      </c>
      <c r="I216" s="97">
        <v>45.637352436952433</v>
      </c>
      <c r="J216" s="97">
        <v>4.0890581367272416</v>
      </c>
      <c r="K216" s="97">
        <v>1.8056749785038693</v>
      </c>
      <c r="L216" s="97">
        <v>85.3575937848465</v>
      </c>
    </row>
  </sheetData>
  <conditionalFormatting sqref="B11:L11">
    <cfRule type="cellIs" dxfId="166" priority="63" operator="equal">
      <formula>0</formula>
    </cfRule>
  </conditionalFormatting>
  <conditionalFormatting sqref="B55:L55">
    <cfRule type="cellIs" dxfId="165" priority="62" operator="equal">
      <formula>0</formula>
    </cfRule>
  </conditionalFormatting>
  <conditionalFormatting sqref="B99:L99">
    <cfRule type="cellIs" dxfId="164" priority="61" operator="equal">
      <formula>0</formula>
    </cfRule>
  </conditionalFormatting>
  <conditionalFormatting sqref="B187:L187">
    <cfRule type="cellIs" dxfId="163" priority="57" operator="equal">
      <formula>0</formula>
    </cfRule>
  </conditionalFormatting>
  <conditionalFormatting sqref="L215">
    <cfRule type="cellIs" dxfId="162" priority="56" operator="equal">
      <formula>0</formula>
    </cfRule>
  </conditionalFormatting>
  <conditionalFormatting sqref="B143:L143">
    <cfRule type="cellIs" dxfId="161" priority="60" operator="equal">
      <formula>0</formula>
    </cfRule>
  </conditionalFormatting>
  <conditionalFormatting sqref="B188:E188 B199:K200 J198:K198 B194:L195 J189:K190 B205:K206 C204:K204 B202:K203 B201:G201 I201:K201 B207:J207 L207 B196:K197 B191:K193 B208:L214 B216:L216 H188:K188 B198:H198">
    <cfRule type="cellIs" dxfId="160" priority="59" operator="equal">
      <formula>0</formula>
    </cfRule>
  </conditionalFormatting>
  <conditionalFormatting sqref="B215:K215">
    <cfRule type="cellIs" dxfId="159" priority="58" operator="equal">
      <formula>0</formula>
    </cfRule>
  </conditionalFormatting>
  <conditionalFormatting sqref="B84:L84 B56:E56 B57:C58 E57:K58 H56:K56 B62:L63 B82:J82 B77:K81 B75:L76 B64:K68 B59:K61 L82 B70:K74 B69:D69 F69:K69">
    <cfRule type="cellIs" dxfId="158" priority="55" operator="equal">
      <formula>0</formula>
    </cfRule>
  </conditionalFormatting>
  <conditionalFormatting sqref="B83:K83">
    <cfRule type="cellIs" dxfId="157" priority="54" operator="equal">
      <formula>0</formula>
    </cfRule>
  </conditionalFormatting>
  <conditionalFormatting sqref="B100:E100 B111:K112 B110:H110 J110:K110 B107:L107 J101:K102 B117:K118 C116:K116 H100:K100 B114:K115 B113:D113 I113:K113 B120:L120 B119:J119 L119 B126:J126 B121:K125 B108:K109 B103:K105 L126 B106:J106 L106 B128:L128 F113:G113">
    <cfRule type="cellIs" dxfId="156" priority="53" operator="equal">
      <formula>0</formula>
    </cfRule>
  </conditionalFormatting>
  <conditionalFormatting sqref="B127:K127">
    <cfRule type="cellIs" dxfId="155" priority="52" operator="equal">
      <formula>0</formula>
    </cfRule>
  </conditionalFormatting>
  <conditionalFormatting sqref="B144:F144 B155:K156 B154:H154 J154:K154 B150:L151 J145:K146 B161:K162 C160:K160 H144:K144 B158:K159 B157:D157 I157:K157 B164:L164 B163:J163 L163 B170:J170 B165:K169 B152:K153 B147:K149 L170 B172:L172 F157:G157">
    <cfRule type="cellIs" dxfId="154" priority="51" operator="equal">
      <formula>0</formula>
    </cfRule>
  </conditionalFormatting>
  <conditionalFormatting sqref="B171:K171">
    <cfRule type="cellIs" dxfId="153" priority="50" operator="equal">
      <formula>0</formula>
    </cfRule>
  </conditionalFormatting>
  <conditionalFormatting sqref="I110">
    <cfRule type="cellIs" dxfId="152" priority="49" operator="equal">
      <formula>0</formula>
    </cfRule>
  </conditionalFormatting>
  <conditionalFormatting sqref="I154">
    <cfRule type="cellIs" dxfId="151" priority="48" operator="equal">
      <formula>0</formula>
    </cfRule>
  </conditionalFormatting>
  <conditionalFormatting sqref="I198">
    <cfRule type="cellIs" dxfId="150" priority="47" operator="equal">
      <formula>0</formula>
    </cfRule>
  </conditionalFormatting>
  <conditionalFormatting sqref="I101:I102">
    <cfRule type="cellIs" dxfId="149" priority="46" operator="equal">
      <formula>0</formula>
    </cfRule>
  </conditionalFormatting>
  <conditionalFormatting sqref="I145:I146">
    <cfRule type="cellIs" dxfId="148" priority="45" operator="equal">
      <formula>0</formula>
    </cfRule>
  </conditionalFormatting>
  <conditionalFormatting sqref="I189:I190">
    <cfRule type="cellIs" dxfId="147" priority="44" operator="equal">
      <formula>0</formula>
    </cfRule>
  </conditionalFormatting>
  <conditionalFormatting sqref="B101:C102 E101:H102">
    <cfRule type="cellIs" dxfId="146" priority="43" operator="equal">
      <formula>0</formula>
    </cfRule>
  </conditionalFormatting>
  <conditionalFormatting sqref="B145:C146 E145:H146">
    <cfRule type="cellIs" dxfId="145" priority="42" operator="equal">
      <formula>0</formula>
    </cfRule>
  </conditionalFormatting>
  <conditionalFormatting sqref="B189:C190 E189:H190">
    <cfRule type="cellIs" dxfId="144" priority="41" operator="equal">
      <formula>0</formula>
    </cfRule>
  </conditionalFormatting>
  <conditionalFormatting sqref="D57:D58">
    <cfRule type="cellIs" dxfId="143" priority="40" operator="equal">
      <formula>0</formula>
    </cfRule>
  </conditionalFormatting>
  <conditionalFormatting sqref="D101:D102">
    <cfRule type="cellIs" dxfId="142" priority="39" operator="equal">
      <formula>0</formula>
    </cfRule>
  </conditionalFormatting>
  <conditionalFormatting sqref="D145:D146">
    <cfRule type="cellIs" dxfId="141" priority="38" operator="equal">
      <formula>0</formula>
    </cfRule>
  </conditionalFormatting>
  <conditionalFormatting sqref="D189:D190">
    <cfRule type="cellIs" dxfId="140" priority="37" operator="equal">
      <formula>0</formula>
    </cfRule>
  </conditionalFormatting>
  <conditionalFormatting sqref="B116">
    <cfRule type="cellIs" dxfId="139" priority="36" operator="equal">
      <formula>0</formula>
    </cfRule>
  </conditionalFormatting>
  <conditionalFormatting sqref="B160">
    <cfRule type="cellIs" dxfId="138" priority="35" operator="equal">
      <formula>0</formula>
    </cfRule>
  </conditionalFormatting>
  <conditionalFormatting sqref="B204">
    <cfRule type="cellIs" dxfId="137" priority="34" operator="equal">
      <formula>0</formula>
    </cfRule>
  </conditionalFormatting>
  <conditionalFormatting sqref="F100">
    <cfRule type="cellIs" dxfId="136" priority="33" operator="equal">
      <formula>0</formula>
    </cfRule>
  </conditionalFormatting>
  <conditionalFormatting sqref="F56:G56">
    <cfRule type="cellIs" dxfId="135" priority="32" operator="equal">
      <formula>0</formula>
    </cfRule>
  </conditionalFormatting>
  <conditionalFormatting sqref="G100">
    <cfRule type="cellIs" dxfId="134" priority="31" operator="equal">
      <formula>0</formula>
    </cfRule>
  </conditionalFormatting>
  <conditionalFormatting sqref="G144">
    <cfRule type="cellIs" dxfId="133" priority="30" operator="equal">
      <formula>0</formula>
    </cfRule>
  </conditionalFormatting>
  <conditionalFormatting sqref="H113">
    <cfRule type="cellIs" dxfId="132" priority="29" operator="equal">
      <formula>0</formula>
    </cfRule>
  </conditionalFormatting>
  <conditionalFormatting sqref="H157">
    <cfRule type="cellIs" dxfId="131" priority="28" operator="equal">
      <formula>0</formula>
    </cfRule>
  </conditionalFormatting>
  <conditionalFormatting sqref="H201">
    <cfRule type="cellIs" dxfId="130" priority="27" operator="equal">
      <formula>0</formula>
    </cfRule>
  </conditionalFormatting>
  <conditionalFormatting sqref="K119">
    <cfRule type="cellIs" dxfId="129" priority="26" operator="equal">
      <formula>0</formula>
    </cfRule>
  </conditionalFormatting>
  <conditionalFormatting sqref="K163">
    <cfRule type="cellIs" dxfId="128" priority="25" operator="equal">
      <formula>0</formula>
    </cfRule>
  </conditionalFormatting>
  <conditionalFormatting sqref="K207">
    <cfRule type="cellIs" dxfId="127" priority="24" operator="equal">
      <formula>0</formula>
    </cfRule>
  </conditionalFormatting>
  <conditionalFormatting sqref="L196:L206">
    <cfRule type="cellIs" dxfId="126" priority="23" operator="equal">
      <formula>0</formula>
    </cfRule>
  </conditionalFormatting>
  <conditionalFormatting sqref="L188:L193">
    <cfRule type="cellIs" dxfId="125" priority="22" operator="equal">
      <formula>0</formula>
    </cfRule>
  </conditionalFormatting>
  <conditionalFormatting sqref="L165:L169">
    <cfRule type="cellIs" dxfId="124" priority="21" operator="equal">
      <formula>0</formula>
    </cfRule>
  </conditionalFormatting>
  <conditionalFormatting sqref="L171">
    <cfRule type="cellIs" dxfId="123" priority="20" operator="equal">
      <formula>0</formula>
    </cfRule>
  </conditionalFormatting>
  <conditionalFormatting sqref="L152:L162">
    <cfRule type="cellIs" dxfId="122" priority="19" operator="equal">
      <formula>0</formula>
    </cfRule>
  </conditionalFormatting>
  <conditionalFormatting sqref="L144:L149">
    <cfRule type="cellIs" dxfId="121" priority="18" operator="equal">
      <formula>0</formula>
    </cfRule>
  </conditionalFormatting>
  <conditionalFormatting sqref="L121:L125">
    <cfRule type="cellIs" dxfId="120" priority="17" operator="equal">
      <formula>0</formula>
    </cfRule>
  </conditionalFormatting>
  <conditionalFormatting sqref="L108:L118">
    <cfRule type="cellIs" dxfId="119" priority="16" operator="equal">
      <formula>0</formula>
    </cfRule>
  </conditionalFormatting>
  <conditionalFormatting sqref="L100:L105">
    <cfRule type="cellIs" dxfId="118" priority="15" operator="equal">
      <formula>0</formula>
    </cfRule>
  </conditionalFormatting>
  <conditionalFormatting sqref="L77:L81">
    <cfRule type="cellIs" dxfId="117" priority="14" operator="equal">
      <formula>0</formula>
    </cfRule>
  </conditionalFormatting>
  <conditionalFormatting sqref="L83">
    <cfRule type="cellIs" dxfId="116" priority="13" operator="equal">
      <formula>0</formula>
    </cfRule>
  </conditionalFormatting>
  <conditionalFormatting sqref="L64:L74">
    <cfRule type="cellIs" dxfId="115" priority="12" operator="equal">
      <formula>0</formula>
    </cfRule>
  </conditionalFormatting>
  <conditionalFormatting sqref="L56:L61">
    <cfRule type="cellIs" dxfId="114" priority="11" operator="equal">
      <formula>0</formula>
    </cfRule>
  </conditionalFormatting>
  <conditionalFormatting sqref="K170">
    <cfRule type="cellIs" dxfId="113" priority="10" operator="equal">
      <formula>0</formula>
    </cfRule>
  </conditionalFormatting>
  <conditionalFormatting sqref="K126">
    <cfRule type="cellIs" dxfId="112" priority="9" operator="equal">
      <formula>0</formula>
    </cfRule>
  </conditionalFormatting>
  <conditionalFormatting sqref="K106">
    <cfRule type="cellIs" dxfId="111" priority="8" operator="equal">
      <formula>0</formula>
    </cfRule>
  </conditionalFormatting>
  <conditionalFormatting sqref="K82">
    <cfRule type="cellIs" dxfId="110" priority="7" operator="equal">
      <formula>0</formula>
    </cfRule>
  </conditionalFormatting>
  <conditionalFormatting sqref="L127">
    <cfRule type="cellIs" dxfId="109" priority="6" operator="equal">
      <formula>0</formula>
    </cfRule>
  </conditionalFormatting>
  <conditionalFormatting sqref="E157">
    <cfRule type="cellIs" dxfId="108" priority="5" operator="equal">
      <formula>0</formula>
    </cfRule>
  </conditionalFormatting>
  <conditionalFormatting sqref="E113">
    <cfRule type="cellIs" dxfId="107" priority="4" operator="equal">
      <formula>0</formula>
    </cfRule>
  </conditionalFormatting>
  <conditionalFormatting sqref="E69">
    <cfRule type="cellIs" dxfId="106" priority="3" operator="equal">
      <formula>0</formula>
    </cfRule>
  </conditionalFormatting>
  <conditionalFormatting sqref="F188">
    <cfRule type="cellIs" dxfId="105" priority="2" operator="equal">
      <formula>0</formula>
    </cfRule>
  </conditionalFormatting>
  <conditionalFormatting sqref="G188">
    <cfRule type="cellIs" dxfId="104" priority="1" operator="equal">
      <formula>0</formula>
    </cfRule>
  </conditionalFormatting>
  <conditionalFormatting sqref="B12:L40">
    <cfRule type="cellIs" dxfId="103" priority="65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BZ173"/>
  <sheetViews>
    <sheetView workbookViewId="0"/>
  </sheetViews>
  <sheetFormatPr baseColWidth="10" defaultColWidth="11.453125" defaultRowHeight="14.5"/>
  <cols>
    <col min="1" max="1" width="52.1796875" style="77" customWidth="1"/>
    <col min="2" max="12" width="15.81640625" style="77" customWidth="1"/>
    <col min="13" max="15" width="11.453125" style="77"/>
    <col min="16" max="16" width="52.1796875" style="77" customWidth="1"/>
    <col min="17" max="26" width="15.7265625" style="77" customWidth="1"/>
    <col min="27" max="78" width="11.453125" style="77"/>
    <col min="79" max="16384" width="11.453125" style="256"/>
  </cols>
  <sheetData>
    <row r="1" spans="1:14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4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4" s="77" customFormat="1" ht="15.5">
      <c r="A7" s="90" t="s">
        <v>86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4" s="77" customFormat="1" ht="29">
      <c r="A10" s="543"/>
      <c r="B10" s="544" t="s">
        <v>42</v>
      </c>
      <c r="C10" s="544" t="s">
        <v>52</v>
      </c>
      <c r="D10" s="544" t="s">
        <v>53</v>
      </c>
      <c r="E10" s="544" t="s">
        <v>32</v>
      </c>
      <c r="F10" s="544" t="s">
        <v>20</v>
      </c>
      <c r="G10" s="544" t="s">
        <v>55</v>
      </c>
      <c r="H10" s="544" t="s">
        <v>56</v>
      </c>
      <c r="I10" s="544" t="s">
        <v>57</v>
      </c>
      <c r="J10" s="544" t="s">
        <v>58</v>
      </c>
      <c r="K10" s="544"/>
      <c r="L10" s="544" t="s">
        <v>10</v>
      </c>
    </row>
    <row r="11" spans="1:14" s="77" customFormat="1" ht="15.5">
      <c r="A11" s="545"/>
      <c r="B11" s="546"/>
      <c r="C11" s="546"/>
      <c r="D11" s="546"/>
      <c r="E11" s="546"/>
      <c r="F11" s="546"/>
      <c r="G11" s="546"/>
      <c r="H11" s="546"/>
      <c r="I11" s="546"/>
      <c r="J11" s="546"/>
      <c r="K11" s="546"/>
      <c r="L11" s="546"/>
    </row>
    <row r="12" spans="1:14" s="77" customFormat="1">
      <c r="A12" s="547" t="s">
        <v>59</v>
      </c>
      <c r="B12" s="548">
        <f>'bilan énergie format SDS'!B55</f>
        <v>0</v>
      </c>
      <c r="C12" s="548">
        <f>'bilan énergie format SDS'!C55</f>
        <v>0.99</v>
      </c>
      <c r="D12" s="548">
        <f>'bilan énergie format SDS'!D55</f>
        <v>0</v>
      </c>
      <c r="E12" s="548">
        <f>'bilan énergie format SDS'!E55</f>
        <v>1.9114359415305201E-2</v>
      </c>
      <c r="F12" s="548">
        <f>'bilan énergie format SDS'!F55</f>
        <v>107.48065348237317</v>
      </c>
      <c r="G12" s="548">
        <f>'bilan énergie format SDS'!G55</f>
        <v>12.747898926580312</v>
      </c>
      <c r="H12" s="548">
        <f>'bilan énergie format SDS'!H55</f>
        <v>19.5</v>
      </c>
      <c r="I12" s="548">
        <f>'bilan énergie format SDS'!I55</f>
        <v>0</v>
      </c>
      <c r="J12" s="548">
        <f>'bilan énergie format SDS'!J55</f>
        <v>0</v>
      </c>
      <c r="K12" s="95"/>
      <c r="L12" s="95">
        <f>'bilan énergie format SDS'!K55</f>
        <v>140.7376667683688</v>
      </c>
    </row>
    <row r="13" spans="1:14" s="77" customFormat="1">
      <c r="A13" s="547" t="s">
        <v>60</v>
      </c>
      <c r="B13" s="548">
        <f>'bilan énergie format SDS'!B56</f>
        <v>6.4924118618689102</v>
      </c>
      <c r="C13" s="548">
        <f>'bilan énergie format SDS'!C56</f>
        <v>47.61</v>
      </c>
      <c r="D13" s="548">
        <f>'bilan énergie format SDS'!D56</f>
        <v>27.384867924416699</v>
      </c>
      <c r="E13" s="548">
        <f>'bilan énergie format SDS'!E56</f>
        <v>37.355717818532703</v>
      </c>
      <c r="F13" s="548">
        <f>'bilan énergie format SDS'!F56</f>
        <v>0</v>
      </c>
      <c r="G13" s="548">
        <f>'bilan énergie format SDS'!G56</f>
        <v>0</v>
      </c>
      <c r="H13" s="548">
        <f>'bilan énergie format SDS'!H56</f>
        <v>0</v>
      </c>
      <c r="I13" s="548">
        <f>'bilan énergie format SDS'!I56</f>
        <v>0</v>
      </c>
      <c r="J13" s="548">
        <f>'bilan énergie format SDS'!J56</f>
        <v>0</v>
      </c>
      <c r="K13" s="95"/>
      <c r="L13" s="95">
        <f>'bilan énergie format SDS'!K56</f>
        <v>118.842997604818</v>
      </c>
    </row>
    <row r="14" spans="1:14" s="77" customFormat="1">
      <c r="A14" s="547" t="s">
        <v>61</v>
      </c>
      <c r="B14" s="548">
        <f>'bilan énergie format SDS'!B57</f>
        <v>0</v>
      </c>
      <c r="C14" s="548">
        <f>'bilan énergie format SDS'!C57</f>
        <v>0</v>
      </c>
      <c r="D14" s="548">
        <f>'bilan énergie format SDS'!D57</f>
        <v>0</v>
      </c>
      <c r="E14" s="548">
        <f>'bilan énergie format SDS'!E57</f>
        <v>0</v>
      </c>
      <c r="F14" s="548">
        <f>'bilan énergie format SDS'!F57</f>
        <v>0</v>
      </c>
      <c r="G14" s="548">
        <f>'bilan énergie format SDS'!G57</f>
        <v>0</v>
      </c>
      <c r="H14" s="548">
        <f>'bilan énergie format SDS'!H57</f>
        <v>-1.5623381645663099</v>
      </c>
      <c r="I14" s="548">
        <f>'bilan énergie format SDS'!I57</f>
        <v>-3.3884524479433509</v>
      </c>
      <c r="J14" s="548">
        <f>'bilan énergie format SDS'!J57</f>
        <v>0</v>
      </c>
      <c r="K14" s="95"/>
      <c r="L14" s="95">
        <f>'bilan énergie format SDS'!K57</f>
        <v>-6.2580284456997202</v>
      </c>
    </row>
    <row r="15" spans="1:14" s="77" customFormat="1">
      <c r="A15" s="547" t="s">
        <v>62</v>
      </c>
      <c r="B15" s="548">
        <f>'bilan énergie format SDS'!B58</f>
        <v>0</v>
      </c>
      <c r="C15" s="548">
        <f>'bilan énergie format SDS'!C58</f>
        <v>0</v>
      </c>
      <c r="D15" s="548">
        <f>'bilan énergie format SDS'!D58</f>
        <v>-1.4</v>
      </c>
      <c r="E15" s="548">
        <f>'bilan énergie format SDS'!E58</f>
        <v>0</v>
      </c>
      <c r="F15" s="548">
        <f>'bilan énergie format SDS'!F58</f>
        <v>0</v>
      </c>
      <c r="G15" s="548">
        <f>'bilan énergie format SDS'!G58</f>
        <v>0</v>
      </c>
      <c r="H15" s="548">
        <f>'bilan énergie format SDS'!H58</f>
        <v>0</v>
      </c>
      <c r="I15" s="548">
        <f>'bilan énergie format SDS'!I58</f>
        <v>0</v>
      </c>
      <c r="J15" s="548">
        <f>'bilan énergie format SDS'!J58</f>
        <v>0</v>
      </c>
      <c r="K15" s="95"/>
      <c r="L15" s="95">
        <f>'bilan énergie format SDS'!K58</f>
        <v>-1.4</v>
      </c>
    </row>
    <row r="16" spans="1:14" s="77" customFormat="1">
      <c r="A16" s="547" t="s">
        <v>63</v>
      </c>
      <c r="B16" s="548">
        <f>'bilan énergie format SDS'!B59</f>
        <v>0</v>
      </c>
      <c r="C16" s="548">
        <f>'bilan énergie format SDS'!C59</f>
        <v>0</v>
      </c>
      <c r="D16" s="548">
        <f>'bilan énergie format SDS'!D59</f>
        <v>-6.3128842627624397</v>
      </c>
      <c r="E16" s="548">
        <f>'bilan énergie format SDS'!E59</f>
        <v>0</v>
      </c>
      <c r="F16" s="548">
        <f>'bilan énergie format SDS'!F59</f>
        <v>0</v>
      </c>
      <c r="G16" s="548">
        <f>'bilan énergie format SDS'!G59</f>
        <v>0</v>
      </c>
      <c r="H16" s="548">
        <f>'bilan énergie format SDS'!H59</f>
        <v>0</v>
      </c>
      <c r="I16" s="548">
        <f>'bilan énergie format SDS'!I59</f>
        <v>0</v>
      </c>
      <c r="J16" s="548">
        <f>'bilan énergie format SDS'!J59</f>
        <v>0</v>
      </c>
      <c r="K16" s="95"/>
      <c r="L16" s="95">
        <f>'bilan énergie format SDS'!K59</f>
        <v>-6.3128842627624397</v>
      </c>
      <c r="N16" s="96"/>
    </row>
    <row r="17" spans="1:14" s="77" customFormat="1">
      <c r="A17" s="547" t="s">
        <v>64</v>
      </c>
      <c r="B17" s="548">
        <f>'bilan énergie format SDS'!B60</f>
        <v>0</v>
      </c>
      <c r="C17" s="548">
        <f>'bilan énergie format SDS'!C60</f>
        <v>0</v>
      </c>
      <c r="D17" s="548">
        <f>'bilan énergie format SDS'!D60</f>
        <v>0</v>
      </c>
      <c r="E17" s="548">
        <f>'bilan énergie format SDS'!E60</f>
        <v>0</v>
      </c>
      <c r="F17" s="548">
        <f>'bilan énergie format SDS'!F60</f>
        <v>0</v>
      </c>
      <c r="G17" s="548">
        <f>'bilan énergie format SDS'!G60</f>
        <v>0</v>
      </c>
      <c r="H17" s="548">
        <f>'bilan énergie format SDS'!H60</f>
        <v>0</v>
      </c>
      <c r="I17" s="548">
        <f>'bilan énergie format SDS'!I60</f>
        <v>0</v>
      </c>
      <c r="J17" s="548">
        <f>'bilan énergie format SDS'!J60</f>
        <v>0</v>
      </c>
      <c r="K17" s="95"/>
      <c r="L17" s="95">
        <f>'bilan énergie format SDS'!K60</f>
        <v>0</v>
      </c>
    </row>
    <row r="18" spans="1:14" s="77" customFormat="1" ht="15.5">
      <c r="A18" s="550" t="s">
        <v>65</v>
      </c>
      <c r="B18" s="566">
        <f>'bilan énergie format SDS'!B61</f>
        <v>6.4924118618689102</v>
      </c>
      <c r="C18" s="566">
        <f>'bilan énergie format SDS'!C61</f>
        <v>48.6</v>
      </c>
      <c r="D18" s="566">
        <f>'bilan énergie format SDS'!D61</f>
        <v>19.671983661654199</v>
      </c>
      <c r="E18" s="566">
        <f>'bilan énergie format SDS'!E61</f>
        <v>37.374832177948001</v>
      </c>
      <c r="F18" s="566">
        <f>'bilan énergie format SDS'!F61</f>
        <v>0</v>
      </c>
      <c r="G18" s="566">
        <f>'bilan énergie format SDS'!G61</f>
        <v>0</v>
      </c>
      <c r="H18" s="566">
        <f>'bilan énergie format SDS'!H61</f>
        <v>17.937661835433701</v>
      </c>
      <c r="I18" s="566">
        <f>'bilan énergie format SDS'!I61</f>
        <v>-3.3884524479433509</v>
      </c>
      <c r="J18" s="566">
        <f>'bilan énergie format SDS'!J61</f>
        <v>0</v>
      </c>
      <c r="K18" s="567"/>
      <c r="L18" s="104">
        <f>'bilan énergie format SDS'!K61</f>
        <v>125.38119925577099</v>
      </c>
      <c r="N18" s="82"/>
    </row>
    <row r="19" spans="1:14" s="77" customFormat="1" ht="15.5">
      <c r="A19" s="552"/>
      <c r="B19" s="548">
        <f>'bilan énergie format SDS'!B62</f>
        <v>0</v>
      </c>
      <c r="C19" s="548">
        <f>'bilan énergie format SDS'!C62</f>
        <v>0</v>
      </c>
      <c r="D19" s="548">
        <f>'bilan énergie format SDS'!D62</f>
        <v>0</v>
      </c>
      <c r="E19" s="548">
        <f>'bilan énergie format SDS'!E62</f>
        <v>0</v>
      </c>
      <c r="F19" s="548">
        <f>'bilan énergie format SDS'!F62</f>
        <v>0</v>
      </c>
      <c r="G19" s="548">
        <f>'bilan énergie format SDS'!G62</f>
        <v>0</v>
      </c>
      <c r="H19" s="548">
        <f>'bilan énergie format SDS'!H62</f>
        <v>0</v>
      </c>
      <c r="I19" s="548">
        <f>'bilan énergie format SDS'!I62</f>
        <v>0</v>
      </c>
      <c r="J19" s="548">
        <f>'bilan énergie format SDS'!J62</f>
        <v>0</v>
      </c>
      <c r="K19" s="553"/>
      <c r="L19" s="95">
        <f>'bilan énergie format SDS'!K62</f>
        <v>0</v>
      </c>
    </row>
    <row r="20" spans="1:14" s="77" customFormat="1">
      <c r="A20" s="547" t="s">
        <v>66</v>
      </c>
      <c r="B20" s="548">
        <f>'bilan énergie format SDS'!B63</f>
        <v>0</v>
      </c>
      <c r="C20" s="548">
        <f>'bilan énergie format SDS'!C63</f>
        <v>0</v>
      </c>
      <c r="D20" s="548">
        <f>'bilan énergie format SDS'!D63</f>
        <v>0</v>
      </c>
      <c r="E20" s="548">
        <f>'bilan énergie format SDS'!E63</f>
        <v>0</v>
      </c>
      <c r="F20" s="548">
        <f>'bilan énergie format SDS'!F63</f>
        <v>0</v>
      </c>
      <c r="G20" s="548">
        <f>'bilan énergie format SDS'!G63</f>
        <v>0</v>
      </c>
      <c r="H20" s="548">
        <f>'bilan énergie format SDS'!H63</f>
        <v>0</v>
      </c>
      <c r="I20" s="548">
        <f>'bilan énergie format SDS'!I63</f>
        <v>0</v>
      </c>
      <c r="J20" s="548">
        <f>'bilan énergie format SDS'!J63</f>
        <v>0</v>
      </c>
      <c r="K20" s="95"/>
      <c r="L20" s="95">
        <f>'bilan énergie format SDS'!K63</f>
        <v>0</v>
      </c>
    </row>
    <row r="21" spans="1:14" s="77" customFormat="1">
      <c r="A21" s="547" t="s">
        <v>67</v>
      </c>
      <c r="B21" s="548">
        <f>'bilan énergie format SDS'!B64</f>
        <v>0</v>
      </c>
      <c r="C21" s="548">
        <f>'bilan énergie format SDS'!C64</f>
        <v>0</v>
      </c>
      <c r="D21" s="548">
        <f>'bilan énergie format SDS'!D64</f>
        <v>0</v>
      </c>
      <c r="E21" s="548">
        <f>'bilan énergie format SDS'!E64</f>
        <v>0</v>
      </c>
      <c r="F21" s="548">
        <f>'bilan énergie format SDS'!F64</f>
        <v>0</v>
      </c>
      <c r="G21" s="548">
        <f>'bilan énergie format SDS'!G64</f>
        <v>0</v>
      </c>
      <c r="H21" s="548">
        <f>'bilan énergie format SDS'!H64</f>
        <v>0</v>
      </c>
      <c r="I21" s="548">
        <f>'bilan énergie format SDS'!I64</f>
        <v>0</v>
      </c>
      <c r="J21" s="548">
        <f>'bilan énergie format SDS'!J64</f>
        <v>0</v>
      </c>
      <c r="K21" s="95"/>
      <c r="L21" s="95">
        <f>'bilan énergie format SDS'!K64</f>
        <v>0</v>
      </c>
    </row>
    <row r="22" spans="1:14" s="77" customFormat="1">
      <c r="A22" s="547" t="s">
        <v>68</v>
      </c>
      <c r="B22" s="548">
        <f>'bilan énergie format SDS'!B65</f>
        <v>2.5795356835769558</v>
      </c>
      <c r="C22" s="548">
        <f>'bilan énergie format SDS'!C65</f>
        <v>0</v>
      </c>
      <c r="D22" s="548">
        <f>'bilan énergie format SDS'!D65</f>
        <v>0</v>
      </c>
      <c r="E22" s="548">
        <f>'bilan énergie format SDS'!E65</f>
        <v>4.1474887461433418</v>
      </c>
      <c r="F22" s="548">
        <f>'bilan énergie format SDS'!F65</f>
        <v>107.48065348237317</v>
      </c>
      <c r="G22" s="548">
        <f>'bilan énergie format SDS'!G65</f>
        <v>12.747898926580312</v>
      </c>
      <c r="H22" s="548">
        <f>'bilan énergie format SDS'!H65</f>
        <v>2.7736942834160816</v>
      </c>
      <c r="I22" s="548">
        <f>'bilan énergie format SDS'!I65</f>
        <v>-47.987962166809972</v>
      </c>
      <c r="J22" s="548">
        <f>'bilan énergie format SDS'!J65</f>
        <v>0</v>
      </c>
      <c r="K22" s="95"/>
      <c r="L22" s="95">
        <f>'bilan énergie format SDS'!K65</f>
        <v>81.741308955279891</v>
      </c>
    </row>
    <row r="23" spans="1:14" s="77" customFormat="1">
      <c r="A23" s="547" t="s">
        <v>69</v>
      </c>
      <c r="B23" s="548">
        <f>'bilan énergie format SDS'!B66</f>
        <v>0</v>
      </c>
      <c r="C23" s="548">
        <f>'bilan énergie format SDS'!C66</f>
        <v>0</v>
      </c>
      <c r="D23" s="548">
        <f>'bilan énergie format SDS'!D66</f>
        <v>0</v>
      </c>
      <c r="E23" s="548">
        <f>'bilan énergie format SDS'!E66</f>
        <v>0</v>
      </c>
      <c r="F23" s="548">
        <f>'bilan énergie format SDS'!F66</f>
        <v>0</v>
      </c>
      <c r="G23" s="548">
        <f>'bilan énergie format SDS'!G66</f>
        <v>0</v>
      </c>
      <c r="H23" s="548">
        <f>'bilan énergie format SDS'!H66</f>
        <v>0</v>
      </c>
      <c r="I23" s="548">
        <f>'bilan énergie format SDS'!I66</f>
        <v>0</v>
      </c>
      <c r="J23" s="548">
        <f>'bilan énergie format SDS'!J66</f>
        <v>0</v>
      </c>
      <c r="K23" s="95"/>
      <c r="L23" s="95">
        <f>'bilan énergie format SDS'!K66</f>
        <v>0</v>
      </c>
    </row>
    <row r="24" spans="1:14" s="77" customFormat="1">
      <c r="A24" s="547" t="s">
        <v>70</v>
      </c>
      <c r="B24" s="548">
        <f>'bilan énergie format SDS'!B67</f>
        <v>0.21713387712283699</v>
      </c>
      <c r="C24" s="548">
        <f>'bilan énergie format SDS'!C67</f>
        <v>0</v>
      </c>
      <c r="D24" s="548">
        <f>'bilan énergie format SDS'!D67</f>
        <v>5.48846849383424E-2</v>
      </c>
      <c r="E24" s="548">
        <f>'bilan énergie format SDS'!E67</f>
        <v>1.4546665535205101</v>
      </c>
      <c r="F24" s="548">
        <f>'bilan énergie format SDS'!F67</f>
        <v>0</v>
      </c>
      <c r="G24" s="548">
        <f>'bilan énergie format SDS'!G67</f>
        <v>0</v>
      </c>
      <c r="H24" s="548">
        <f>'bilan énergie format SDS'!H67</f>
        <v>1.2389026049198599</v>
      </c>
      <c r="I24" s="548">
        <f>'bilan énergie format SDS'!I67</f>
        <v>0</v>
      </c>
      <c r="J24" s="548">
        <f>'bilan énergie format SDS'!J67</f>
        <v>2.69093256169241</v>
      </c>
      <c r="K24" s="95"/>
      <c r="L24" s="95">
        <f>'bilan énergie format SDS'!K67</f>
        <v>5.6565202821939504</v>
      </c>
    </row>
    <row r="25" spans="1:14" s="77" customFormat="1">
      <c r="A25" s="547" t="s">
        <v>71</v>
      </c>
      <c r="B25" s="548">
        <f>'bilan énergie format SDS'!B68</f>
        <v>0</v>
      </c>
      <c r="C25" s="548">
        <f>'bilan énergie format SDS'!C68</f>
        <v>0</v>
      </c>
      <c r="D25" s="548">
        <f>'bilan énergie format SDS'!D68</f>
        <v>0</v>
      </c>
      <c r="E25" s="548">
        <f>'bilan énergie format SDS'!E68</f>
        <v>0</v>
      </c>
      <c r="F25" s="548">
        <f>'bilan énergie format SDS'!F68</f>
        <v>0</v>
      </c>
      <c r="G25" s="548">
        <f>'bilan énergie format SDS'!G68</f>
        <v>0</v>
      </c>
      <c r="H25" s="548">
        <f>'bilan énergie format SDS'!H68</f>
        <v>0</v>
      </c>
      <c r="I25" s="548">
        <f>'bilan énergie format SDS'!I68</f>
        <v>0</v>
      </c>
      <c r="J25" s="548">
        <f>'bilan énergie format SDS'!J68</f>
        <v>0</v>
      </c>
      <c r="K25" s="95"/>
      <c r="L25" s="95">
        <f>'bilan énergie format SDS'!K68</f>
        <v>0</v>
      </c>
    </row>
    <row r="26" spans="1:14" s="77" customFormat="1">
      <c r="A26" s="547" t="s">
        <v>72</v>
      </c>
      <c r="B26" s="548">
        <f>'bilan énergie format SDS'!B69</f>
        <v>0</v>
      </c>
      <c r="C26" s="548">
        <f>'bilan énergie format SDS'!C69</f>
        <v>48.6</v>
      </c>
      <c r="D26" s="548">
        <f>'bilan énergie format SDS'!D69</f>
        <v>-46.5</v>
      </c>
      <c r="E26" s="548">
        <f>'bilan énergie format SDS'!E69</f>
        <v>0.7</v>
      </c>
      <c r="F26" s="548">
        <f>'bilan énergie format SDS'!F69</f>
        <v>0</v>
      </c>
      <c r="G26" s="548">
        <f>'bilan énergie format SDS'!G69</f>
        <v>0</v>
      </c>
      <c r="H26" s="548">
        <f>'bilan énergie format SDS'!H69</f>
        <v>0</v>
      </c>
      <c r="I26" s="548">
        <f>'bilan énergie format SDS'!I69</f>
        <v>0</v>
      </c>
      <c r="J26" s="548">
        <f>'bilan énergie format SDS'!J69</f>
        <v>0</v>
      </c>
      <c r="K26" s="95"/>
      <c r="L26" s="95">
        <f>'bilan énergie format SDS'!K69</f>
        <v>2.8</v>
      </c>
    </row>
    <row r="27" spans="1:14" s="77" customFormat="1">
      <c r="A27" s="547"/>
      <c r="B27" s="548"/>
      <c r="C27" s="548"/>
      <c r="D27" s="548"/>
      <c r="E27" s="548"/>
      <c r="F27" s="548"/>
      <c r="G27" s="548"/>
      <c r="H27" s="548"/>
      <c r="I27" s="548"/>
      <c r="J27" s="548"/>
      <c r="K27" s="95"/>
      <c r="L27" s="95"/>
    </row>
    <row r="28" spans="1:14" s="77" customFormat="1">
      <c r="A28" s="547" t="s">
        <v>74</v>
      </c>
      <c r="B28" s="548">
        <f>'bilan énergie format SDS'!B70</f>
        <v>2.8917000000000002</v>
      </c>
      <c r="C28" s="548">
        <f>'bilan énergie format SDS'!C70</f>
        <v>0</v>
      </c>
      <c r="D28" s="548">
        <f>'bilan énergie format SDS'!D70</f>
        <v>0</v>
      </c>
      <c r="E28" s="548">
        <f>'bilan énergie format SDS'!E70</f>
        <v>0</v>
      </c>
      <c r="F28" s="548">
        <f>'bilan énergie format SDS'!F70</f>
        <v>0</v>
      </c>
      <c r="G28" s="548">
        <f>'bilan énergie format SDS'!G70</f>
        <v>0</v>
      </c>
      <c r="H28" s="548">
        <f>'bilan énergie format SDS'!H70</f>
        <v>0</v>
      </c>
      <c r="I28" s="548">
        <f>'bilan énergie format SDS'!I70</f>
        <v>0</v>
      </c>
      <c r="J28" s="548">
        <f>'bilan énergie format SDS'!J70</f>
        <v>0</v>
      </c>
      <c r="K28" s="95"/>
      <c r="L28" s="95">
        <f>'bilan énergie format SDS'!K70</f>
        <v>2.8917000000000002</v>
      </c>
    </row>
    <row r="29" spans="1:14" s="77" customFormat="1">
      <c r="A29" s="547" t="s">
        <v>75</v>
      </c>
      <c r="B29" s="548">
        <f>'bilan énergie format SDS'!B71</f>
        <v>1.0374988057705199</v>
      </c>
      <c r="C29" s="548">
        <f>'bilan énergie format SDS'!C71</f>
        <v>0</v>
      </c>
      <c r="D29" s="548">
        <f>'bilan énergie format SDS'!D71</f>
        <v>1.7969999999999999</v>
      </c>
      <c r="E29" s="548">
        <f>'bilan énergie format SDS'!E71</f>
        <v>1.2420767288043999</v>
      </c>
      <c r="F29" s="548">
        <f>'bilan énergie format SDS'!F71</f>
        <v>73.086844368013743</v>
      </c>
      <c r="G29" s="548">
        <f>'bilan énergie format SDS'!G71</f>
        <v>0</v>
      </c>
      <c r="H29" s="548">
        <f>'bilan énergie format SDS'!H71</f>
        <v>5.1017483519633103E-2</v>
      </c>
      <c r="I29" s="548">
        <f>'bilan énergie format SDS'!I71</f>
        <v>2.7822871883060998</v>
      </c>
      <c r="J29" s="548">
        <f>'bilan énergie format SDS'!J71</f>
        <v>0</v>
      </c>
      <c r="K29" s="95"/>
      <c r="L29" s="95">
        <f>'bilan énergie format SDS'!K71</f>
        <v>6.9098802064006604</v>
      </c>
    </row>
    <row r="30" spans="1:14" s="77" customFormat="1">
      <c r="A30" s="547" t="s">
        <v>76</v>
      </c>
      <c r="B30" s="548">
        <f>'bilan énergie format SDS'!B72</f>
        <v>0</v>
      </c>
      <c r="C30" s="548">
        <f>'bilan énergie format SDS'!C72</f>
        <v>0</v>
      </c>
      <c r="D30" s="548">
        <f>'bilan énergie format SDS'!D72</f>
        <v>0</v>
      </c>
      <c r="E30" s="548">
        <f>'bilan énergie format SDS'!E72</f>
        <v>0.47010684579952999</v>
      </c>
      <c r="F30" s="548">
        <f>'bilan énergie format SDS'!F72</f>
        <v>0</v>
      </c>
      <c r="G30" s="548">
        <f>'bilan énergie format SDS'!G72</f>
        <v>0</v>
      </c>
      <c r="H30" s="548">
        <f>'bilan énergie format SDS'!H72</f>
        <v>0</v>
      </c>
      <c r="I30" s="548">
        <f>'bilan énergie format SDS'!I72</f>
        <v>3.07048500216422</v>
      </c>
      <c r="J30" s="548">
        <f>'bilan énergie format SDS'!J72</f>
        <v>0</v>
      </c>
      <c r="K30" s="95"/>
      <c r="L30" s="95">
        <f>'bilan énergie format SDS'!K72</f>
        <v>3.5405918479637499</v>
      </c>
    </row>
    <row r="31" spans="1:14" s="77" customFormat="1" ht="15.5">
      <c r="A31" s="550" t="s">
        <v>77</v>
      </c>
      <c r="B31" s="566">
        <f>'bilan énergie format SDS'!B73</f>
        <v>6.7258683664703129</v>
      </c>
      <c r="C31" s="566">
        <f>'bilan énergie format SDS'!C73</f>
        <v>48.6</v>
      </c>
      <c r="D31" s="566">
        <f>'bilan énergie format SDS'!D73</f>
        <v>-44.648115315061659</v>
      </c>
      <c r="E31" s="566">
        <f>'bilan énergie format SDS'!E73</f>
        <v>8.0143388742677821</v>
      </c>
      <c r="F31" s="566">
        <f>'bilan énergie format SDS'!F73</f>
        <v>180.56749785038693</v>
      </c>
      <c r="G31" s="566">
        <f>'bilan énergie format SDS'!G73</f>
        <v>12.747898926580312</v>
      </c>
      <c r="H31" s="566">
        <f>'bilan énergie format SDS'!H73</f>
        <v>4.0636143718555751</v>
      </c>
      <c r="I31" s="566">
        <f>'bilan énergie format SDS'!I73</f>
        <v>-42.135189976339653</v>
      </c>
      <c r="J31" s="566">
        <f>'bilan énergie format SDS'!J73</f>
        <v>2.69093256169241</v>
      </c>
      <c r="K31" s="567"/>
      <c r="L31" s="104">
        <f>'bilan énergie format SDS'!K73</f>
        <v>103.54000129183825</v>
      </c>
    </row>
    <row r="32" spans="1:14" s="77" customFormat="1" ht="15.5">
      <c r="A32" s="552"/>
      <c r="B32" s="548">
        <f>'bilan énergie format SDS'!B74</f>
        <v>0</v>
      </c>
      <c r="C32" s="548">
        <f>'bilan énergie format SDS'!C74</f>
        <v>0</v>
      </c>
      <c r="D32" s="548">
        <f>'bilan énergie format SDS'!D74</f>
        <v>0</v>
      </c>
      <c r="E32" s="548">
        <f>'bilan énergie format SDS'!E74</f>
        <v>0</v>
      </c>
      <c r="F32" s="548">
        <f>'bilan énergie format SDS'!F74</f>
        <v>0</v>
      </c>
      <c r="G32" s="548">
        <f>'bilan énergie format SDS'!G74</f>
        <v>0</v>
      </c>
      <c r="H32" s="548">
        <f>'bilan énergie format SDS'!H74</f>
        <v>0</v>
      </c>
      <c r="I32" s="548">
        <f>'bilan énergie format SDS'!I74</f>
        <v>0</v>
      </c>
      <c r="J32" s="548">
        <f>'bilan énergie format SDS'!J74</f>
        <v>0</v>
      </c>
      <c r="K32" s="553"/>
      <c r="L32" s="95">
        <f>'bilan énergie format SDS'!K74</f>
        <v>0</v>
      </c>
    </row>
    <row r="33" spans="1:17" s="77" customFormat="1" ht="15.5">
      <c r="A33" s="555" t="s">
        <v>78</v>
      </c>
      <c r="B33" s="548">
        <f>'bilan énergie format SDS'!B75</f>
        <v>0.34460926494283001</v>
      </c>
      <c r="C33" s="548">
        <f>'bilan énergie format SDS'!C75</f>
        <v>0</v>
      </c>
      <c r="D33" s="548">
        <f>'bilan énergie format SDS'!D75</f>
        <v>1.6824094604778199</v>
      </c>
      <c r="E33" s="548">
        <f>'bilan énergie format SDS'!E75</f>
        <v>11.162255863946999</v>
      </c>
      <c r="F33" s="548">
        <f>'bilan énergie format SDS'!F75</f>
        <v>0</v>
      </c>
      <c r="G33" s="548">
        <f>'bilan énergie format SDS'!G75</f>
        <v>0</v>
      </c>
      <c r="H33" s="548">
        <f>'bilan énergie format SDS'!H75</f>
        <v>2.21443427408621</v>
      </c>
      <c r="I33" s="548">
        <f>'bilan énergie format SDS'!I75</f>
        <v>10.361652160227999</v>
      </c>
      <c r="J33" s="548">
        <f>'bilan énergie format SDS'!J75</f>
        <v>0.73743472365086704</v>
      </c>
      <c r="K33" s="548"/>
      <c r="L33" s="95">
        <f>'bilan énergie format SDS'!K75</f>
        <v>26.502795747332701</v>
      </c>
      <c r="M33" s="99"/>
      <c r="Q33" s="99"/>
    </row>
    <row r="34" spans="1:17" s="77" customFormat="1" ht="15.5">
      <c r="A34" s="555" t="s">
        <v>79</v>
      </c>
      <c r="B34" s="548">
        <f>'bilan énergie format SDS'!B76</f>
        <v>0</v>
      </c>
      <c r="C34" s="548">
        <f>'bilan énergie format SDS'!C76</f>
        <v>0</v>
      </c>
      <c r="D34" s="548">
        <f>'bilan énergie format SDS'!D76</f>
        <v>38.466254560000003</v>
      </c>
      <c r="E34" s="548">
        <f>'bilan énergie format SDS'!E76</f>
        <v>7.6411998210945506E-2</v>
      </c>
      <c r="F34" s="548">
        <f>'bilan énergie format SDS'!F76</f>
        <v>0</v>
      </c>
      <c r="G34" s="548">
        <f>'bilan énergie format SDS'!G76</f>
        <v>0</v>
      </c>
      <c r="H34" s="548">
        <f>'bilan énergie format SDS'!H76</f>
        <v>3.6461042896859799</v>
      </c>
      <c r="I34" s="548">
        <f>'bilan énergie format SDS'!I76</f>
        <v>1.1990119518486699</v>
      </c>
      <c r="J34" s="548">
        <f>'bilan énergie format SDS'!J76</f>
        <v>0</v>
      </c>
      <c r="K34" s="548"/>
      <c r="L34" s="95">
        <f>'bilan énergie format SDS'!K76</f>
        <v>43.387782799745601</v>
      </c>
      <c r="M34" s="99"/>
      <c r="Q34" s="99"/>
    </row>
    <row r="35" spans="1:17" s="77" customFormat="1">
      <c r="A35" s="547" t="s">
        <v>80</v>
      </c>
      <c r="B35" s="548">
        <f>'bilan énergie format SDS'!B77</f>
        <v>0</v>
      </c>
      <c r="C35" s="548">
        <f>'bilan énergie format SDS'!C77</f>
        <v>0</v>
      </c>
      <c r="D35" s="548">
        <f>'bilan énergie format SDS'!D77</f>
        <v>5.3179954110546097</v>
      </c>
      <c r="E35" s="548">
        <f>'bilan énergie format SDS'!E77</f>
        <v>9.4612008749007703</v>
      </c>
      <c r="F35" s="548">
        <f>'bilan énergie format SDS'!F77</f>
        <v>0</v>
      </c>
      <c r="G35" s="548">
        <f>'bilan énergie format SDS'!G77</f>
        <v>0</v>
      </c>
      <c r="H35" s="548">
        <f>'bilan énergie format SDS'!H77</f>
        <v>9.6645163701542103</v>
      </c>
      <c r="I35" s="548">
        <f>'bilan énergie format SDS'!I77</f>
        <v>13.284467058142599</v>
      </c>
      <c r="J35" s="548">
        <f>'bilan énergie format SDS'!J77</f>
        <v>1.3282443630018601</v>
      </c>
      <c r="K35" s="548"/>
      <c r="L35" s="95">
        <f>'bilan énergie format SDS'!K77</f>
        <v>39.0564240772541</v>
      </c>
      <c r="M35" s="99"/>
      <c r="Q35" s="99"/>
    </row>
    <row r="36" spans="1:17" s="77" customFormat="1">
      <c r="A36" s="547" t="s">
        <v>81</v>
      </c>
      <c r="B36" s="548">
        <f>'bilan énergie format SDS'!B78</f>
        <v>0</v>
      </c>
      <c r="C36" s="548">
        <f>'bilan énergie format SDS'!C78</f>
        <v>0</v>
      </c>
      <c r="D36" s="548">
        <f>'bilan énergie format SDS'!D78</f>
        <v>2.5563656446401701</v>
      </c>
      <c r="E36" s="548">
        <f>'bilan énergie format SDS'!E78</f>
        <v>6.7347370383486203</v>
      </c>
      <c r="F36" s="548">
        <f>'bilan énergie format SDS'!F78</f>
        <v>0</v>
      </c>
      <c r="G36" s="548">
        <f>'bilan énergie format SDS'!G78</f>
        <v>0</v>
      </c>
      <c r="H36" s="548">
        <f>'bilan énergie format SDS'!H78</f>
        <v>0.96062076724509604</v>
      </c>
      <c r="I36" s="548">
        <f>'bilan énergie format SDS'!I78</f>
        <v>13.178365476499801</v>
      </c>
      <c r="J36" s="548">
        <f>'bilan énergie format SDS'!J78</f>
        <v>0.62525347503968098</v>
      </c>
      <c r="K36" s="548"/>
      <c r="L36" s="95">
        <f>'bilan énergie format SDS'!K78</f>
        <v>24.055342401773299</v>
      </c>
      <c r="M36" s="99"/>
      <c r="Q36" s="99"/>
    </row>
    <row r="37" spans="1:17" s="77" customFormat="1">
      <c r="A37" s="547" t="s">
        <v>82</v>
      </c>
      <c r="B37" s="548">
        <f>'bilan énergie format SDS'!B79</f>
        <v>2.2137192704974398E-3</v>
      </c>
      <c r="C37" s="548">
        <f>'bilan énergie format SDS'!C79</f>
        <v>0</v>
      </c>
      <c r="D37" s="548">
        <f>'bilan énergie format SDS'!D79</f>
        <v>3.2913790892055199</v>
      </c>
      <c r="E37" s="548">
        <f>'bilan énergie format SDS'!E79</f>
        <v>0.197127474158172</v>
      </c>
      <c r="F37" s="548">
        <f>'bilan énergie format SDS'!F79</f>
        <v>0</v>
      </c>
      <c r="G37" s="548">
        <f>'bilan énergie format SDS'!G79</f>
        <v>0</v>
      </c>
      <c r="H37" s="548">
        <f>'bilan énergie format SDS'!H79</f>
        <v>0.16206604582270401</v>
      </c>
      <c r="I37" s="548">
        <f>'bilan énergie format SDS'!I79</f>
        <v>0.723240881677221</v>
      </c>
      <c r="J37" s="548">
        <f>'bilan énergie format SDS'!J79</f>
        <v>6.4536710533781398E-3</v>
      </c>
      <c r="K37" s="548"/>
      <c r="L37" s="95">
        <f>'bilan énergie format SDS'!K79</f>
        <v>4.3824808811875</v>
      </c>
      <c r="M37" s="99"/>
      <c r="Q37" s="99"/>
    </row>
    <row r="38" spans="1:17" s="77" customFormat="1" ht="15.5">
      <c r="A38" s="550" t="s">
        <v>83</v>
      </c>
      <c r="B38" s="566">
        <f>'bilan énergie format SDS'!B80</f>
        <v>0.34682298421332702</v>
      </c>
      <c r="C38" s="566">
        <f>'bilan énergie format SDS'!C80</f>
        <v>0</v>
      </c>
      <c r="D38" s="566">
        <f>'bilan énergie format SDS'!D80</f>
        <v>51.3144041653781</v>
      </c>
      <c r="E38" s="566">
        <f>'bilan énergie format SDS'!E80</f>
        <v>27.631733249565499</v>
      </c>
      <c r="F38" s="566">
        <f>'bilan énergie format SDS'!F80</f>
        <v>0</v>
      </c>
      <c r="G38" s="566">
        <f>'bilan énergie format SDS'!G80</f>
        <v>0</v>
      </c>
      <c r="H38" s="566">
        <f>'bilan énergie format SDS'!H80</f>
        <v>16.6477417469942</v>
      </c>
      <c r="I38" s="566">
        <f>'bilan énergie format SDS'!I80</f>
        <v>38.746737528396302</v>
      </c>
      <c r="J38" s="566">
        <f>'bilan énergie format SDS'!J80</f>
        <v>2.69738623274579</v>
      </c>
      <c r="K38" s="567"/>
      <c r="L38" s="104">
        <f>'bilan énergie format SDS'!K80</f>
        <v>137.38482590729299</v>
      </c>
    </row>
    <row r="39" spans="1:17" s="77" customFormat="1">
      <c r="A39" s="547" t="s">
        <v>84</v>
      </c>
      <c r="B39" s="548">
        <f>'bilan énergie format SDS'!B81</f>
        <v>0.32686044561077698</v>
      </c>
      <c r="C39" s="548">
        <f>'bilan énergie format SDS'!C81</f>
        <v>0</v>
      </c>
      <c r="D39" s="548">
        <f>'bilan énergie format SDS'!D81</f>
        <v>13.005694811337801</v>
      </c>
      <c r="E39" s="548">
        <f>'bilan énergie format SDS'!E81</f>
        <v>1.10724474305145</v>
      </c>
      <c r="F39" s="548">
        <f>'bilan énergie format SDS'!F81</f>
        <v>0</v>
      </c>
      <c r="G39" s="548">
        <f>'bilan énergie format SDS'!G81</f>
        <v>0</v>
      </c>
      <c r="H39" s="548">
        <f>'bilan énergie format SDS'!H81</f>
        <v>0</v>
      </c>
      <c r="I39" s="548">
        <f>'bilan énergie format SDS'!I81</f>
        <v>0</v>
      </c>
      <c r="J39" s="548">
        <f>'bilan énergie format SDS'!J81</f>
        <v>0</v>
      </c>
      <c r="K39" s="95"/>
      <c r="L39" s="95">
        <f>'bilan énergie format SDS'!K81</f>
        <v>14.4398</v>
      </c>
    </row>
    <row r="40" spans="1:17" s="77" customFormat="1" ht="15.5">
      <c r="A40" s="550" t="s">
        <v>85</v>
      </c>
      <c r="B40" s="566">
        <f>'bilan énergie format SDS'!B82</f>
        <v>0.67368342982410501</v>
      </c>
      <c r="C40" s="566">
        <f>'bilan énergie format SDS'!C82</f>
        <v>0</v>
      </c>
      <c r="D40" s="566">
        <f>'bilan énergie format SDS'!D82</f>
        <v>64.320098976715897</v>
      </c>
      <c r="E40" s="566">
        <f>'bilan énergie format SDS'!E82</f>
        <v>28.738977992616999</v>
      </c>
      <c r="F40" s="566">
        <f>'bilan énergie format SDS'!F82</f>
        <v>0</v>
      </c>
      <c r="G40" s="566">
        <f>'bilan énergie format SDS'!G82</f>
        <v>0</v>
      </c>
      <c r="H40" s="566">
        <f>'bilan énergie format SDS'!H82</f>
        <v>16.6477417469942</v>
      </c>
      <c r="I40" s="566">
        <f>'bilan énergie format SDS'!I82</f>
        <v>38.746737528396302</v>
      </c>
      <c r="J40" s="566">
        <f>'bilan énergie format SDS'!J82</f>
        <v>2.69738623274579</v>
      </c>
      <c r="K40" s="567"/>
      <c r="L40" s="104">
        <f>'bilan énergie format SDS'!K82</f>
        <v>151.82462590729301</v>
      </c>
    </row>
    <row r="51" spans="1:12" s="77" customFormat="1" ht="15.5">
      <c r="A51" s="90" t="s">
        <v>87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2" s="77" customFormat="1" ht="29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2" s="77" customFormat="1" ht="15.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2" s="77" customFormat="1">
      <c r="A56" s="259" t="s">
        <v>59</v>
      </c>
      <c r="B56" s="93">
        <v>0</v>
      </c>
      <c r="C56" s="93">
        <v>0.7</v>
      </c>
      <c r="D56" s="93">
        <v>0</v>
      </c>
      <c r="E56" s="93">
        <v>0.02</v>
      </c>
      <c r="F56" s="94">
        <v>103.91274338838639</v>
      </c>
      <c r="G56" s="94">
        <v>14.961306964746345</v>
      </c>
      <c r="H56" s="93">
        <v>23.557057880608284</v>
      </c>
      <c r="I56" s="95"/>
      <c r="J56" s="95"/>
      <c r="K56" s="95"/>
      <c r="L56" s="95">
        <v>143.15110823374101</v>
      </c>
    </row>
    <row r="57" spans="1:12" s="77" customFormat="1">
      <c r="A57" s="259" t="s">
        <v>60</v>
      </c>
      <c r="B57" s="93">
        <v>2.6488212454034969</v>
      </c>
      <c r="C57" s="93">
        <v>47.0782111969732</v>
      </c>
      <c r="D57" s="93">
        <v>15.597678413553723</v>
      </c>
      <c r="E57" s="93">
        <v>32.40491197538708</v>
      </c>
      <c r="F57" s="95"/>
      <c r="G57" s="95"/>
      <c r="H57" s="95">
        <v>1.6146683170390475</v>
      </c>
      <c r="I57" s="95">
        <v>0</v>
      </c>
      <c r="J57" s="95"/>
      <c r="K57" s="95"/>
      <c r="L57" s="95">
        <v>99.344291148356547</v>
      </c>
    </row>
    <row r="58" spans="1:12" s="77" customFormat="1">
      <c r="A58" s="259" t="s">
        <v>61</v>
      </c>
      <c r="B58" s="93">
        <v>0</v>
      </c>
      <c r="C58" s="93">
        <v>0</v>
      </c>
      <c r="D58" s="93">
        <v>0</v>
      </c>
      <c r="E58" s="93">
        <v>0</v>
      </c>
      <c r="F58" s="95"/>
      <c r="G58" s="95"/>
      <c r="H58" s="93">
        <v>0</v>
      </c>
      <c r="I58" s="95">
        <v>-6.8529198133149265</v>
      </c>
      <c r="J58" s="95"/>
      <c r="K58" s="95"/>
      <c r="L58" s="95">
        <v>-6.8529198133149265</v>
      </c>
    </row>
    <row r="59" spans="1:12" s="77" customFormat="1">
      <c r="A59" s="259" t="s">
        <v>62</v>
      </c>
      <c r="B59" s="93"/>
      <c r="C59" s="93"/>
      <c r="D59" s="93">
        <v>-1.1000000000000001</v>
      </c>
      <c r="E59" s="93"/>
      <c r="F59" s="95"/>
      <c r="G59" s="95"/>
      <c r="H59" s="93"/>
      <c r="I59" s="95"/>
      <c r="J59" s="95"/>
      <c r="K59" s="95"/>
      <c r="L59" s="95">
        <v>-1.1000000000000001</v>
      </c>
    </row>
    <row r="60" spans="1:12" s="77" customFormat="1">
      <c r="A60" s="259" t="s">
        <v>63</v>
      </c>
      <c r="B60" s="93"/>
      <c r="C60" s="93"/>
      <c r="D60" s="93">
        <v>-6.8007692346473698</v>
      </c>
      <c r="E60" s="93"/>
      <c r="F60" s="95"/>
      <c r="G60" s="95"/>
      <c r="H60" s="95"/>
      <c r="I60" s="95"/>
      <c r="J60" s="95"/>
      <c r="K60" s="95"/>
      <c r="L60" s="95">
        <v>-6.8007692346473698</v>
      </c>
    </row>
    <row r="61" spans="1:12" s="77" customFormat="1">
      <c r="A61" s="259" t="s">
        <v>64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>
        <v>0</v>
      </c>
    </row>
    <row r="62" spans="1:12" s="77" customFormat="1" ht="15.5">
      <c r="A62" s="260" t="s">
        <v>65</v>
      </c>
      <c r="B62" s="97">
        <v>2.6488212454034969</v>
      </c>
      <c r="C62" s="97">
        <v>47.778211196973203</v>
      </c>
      <c r="D62" s="97">
        <v>7.6969091789063535</v>
      </c>
      <c r="E62" s="97">
        <v>32.424911975387083</v>
      </c>
      <c r="F62" s="97">
        <v>103.91274338838639</v>
      </c>
      <c r="G62" s="97">
        <v>14.961306964746345</v>
      </c>
      <c r="H62" s="97">
        <v>25.171726197647331</v>
      </c>
      <c r="I62" s="97">
        <v>-6.8529198133149265</v>
      </c>
      <c r="J62" s="97">
        <v>0</v>
      </c>
      <c r="K62" s="97">
        <v>0</v>
      </c>
      <c r="L62" s="97">
        <v>227.74171033413526</v>
      </c>
    </row>
    <row r="63" spans="1:12" s="77" customFormat="1" ht="15.5">
      <c r="A63" s="8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2" s="77" customFormat="1">
      <c r="A64" s="259" t="s">
        <v>66</v>
      </c>
      <c r="B64" s="93"/>
      <c r="C64" s="93"/>
      <c r="D64" s="93"/>
      <c r="E64" s="93"/>
      <c r="F64" s="95"/>
      <c r="G64" s="95"/>
      <c r="H64" s="95"/>
      <c r="I64" s="95"/>
      <c r="J64" s="95"/>
      <c r="K64" s="95"/>
      <c r="L64" s="95">
        <v>0</v>
      </c>
    </row>
    <row r="65" spans="1:13" s="77" customFormat="1">
      <c r="A65" s="259" t="s">
        <v>67</v>
      </c>
      <c r="B65" s="93"/>
      <c r="C65" s="93"/>
      <c r="D65" s="93"/>
      <c r="E65" s="93"/>
      <c r="F65" s="95"/>
      <c r="G65" s="95"/>
      <c r="H65" s="93"/>
      <c r="I65" s="93"/>
      <c r="J65" s="95"/>
      <c r="K65" s="95"/>
      <c r="L65" s="95">
        <v>0</v>
      </c>
    </row>
    <row r="66" spans="1:13" s="77" customFormat="1">
      <c r="A66" s="259" t="s">
        <v>68</v>
      </c>
      <c r="B66" s="93">
        <v>0</v>
      </c>
      <c r="C66" s="93">
        <v>0</v>
      </c>
      <c r="D66" s="93"/>
      <c r="E66" s="93">
        <v>4.20632773002602</v>
      </c>
      <c r="F66" s="94">
        <v>103.91274338838639</v>
      </c>
      <c r="G66" s="94">
        <v>14.961306964746345</v>
      </c>
      <c r="H66" s="93">
        <v>2.4180820758374684</v>
      </c>
      <c r="I66" s="93">
        <v>-50.696999999999996</v>
      </c>
      <c r="J66" s="95"/>
      <c r="K66" s="95"/>
      <c r="L66" s="95">
        <v>74.801460158996235</v>
      </c>
    </row>
    <row r="67" spans="1:13" s="77" customFormat="1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3" s="77" customFormat="1">
      <c r="A68" s="259" t="s">
        <v>70</v>
      </c>
      <c r="B68" s="93">
        <v>5.3419770632032383E-2</v>
      </c>
      <c r="C68" s="93"/>
      <c r="D68" s="93">
        <v>0</v>
      </c>
      <c r="E68" s="93">
        <v>1.2147336798111752</v>
      </c>
      <c r="F68" s="95"/>
      <c r="G68" s="95"/>
      <c r="H68" s="93">
        <v>3.3160878375169278</v>
      </c>
      <c r="I68" s="93"/>
      <c r="J68" s="95">
        <v>-4.5900902111438011</v>
      </c>
      <c r="K68" s="95"/>
      <c r="L68" s="95">
        <v>-5.8489231836658107E-3</v>
      </c>
    </row>
    <row r="69" spans="1:13" s="77" customFormat="1">
      <c r="A69" s="259" t="s">
        <v>71</v>
      </c>
      <c r="B69" s="93"/>
      <c r="C69" s="93"/>
      <c r="D69" s="93"/>
      <c r="E69" s="93">
        <v>-1.7065743144940571</v>
      </c>
      <c r="F69" s="95"/>
      <c r="G69" s="95"/>
      <c r="H69" s="93">
        <v>2.1332178931175712</v>
      </c>
      <c r="I69" s="93"/>
      <c r="J69" s="95"/>
      <c r="K69" s="95"/>
      <c r="L69" s="95">
        <v>0.4266435786235141</v>
      </c>
    </row>
    <row r="70" spans="1:13" s="77" customFormat="1">
      <c r="A70" s="259" t="s">
        <v>72</v>
      </c>
      <c r="B70" s="93"/>
      <c r="C70" s="93">
        <v>47.778211196973203</v>
      </c>
      <c r="D70" s="93">
        <v>-46.473309251920703</v>
      </c>
      <c r="E70" s="93">
        <v>0.42321213691880566</v>
      </c>
      <c r="F70" s="95"/>
      <c r="G70" s="95"/>
      <c r="H70" s="93"/>
      <c r="I70" s="93"/>
      <c r="J70" s="95"/>
      <c r="K70" s="95"/>
      <c r="L70" s="95">
        <v>1.728114081971305</v>
      </c>
    </row>
    <row r="71" spans="1:13" s="77" customFormat="1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0.53740326741186584</v>
      </c>
      <c r="J71" s="95"/>
      <c r="K71" s="95">
        <v>-0.42992261392949266</v>
      </c>
      <c r="L71" s="95">
        <v>0.10748065348237318</v>
      </c>
    </row>
    <row r="72" spans="1:13" s="77" customFormat="1">
      <c r="A72" s="259" t="s">
        <v>74</v>
      </c>
      <c r="B72" s="93">
        <v>2.4786780164701674</v>
      </c>
      <c r="C72" s="93"/>
      <c r="D72" s="93"/>
      <c r="E72" s="289">
        <v>0</v>
      </c>
      <c r="F72" s="95"/>
      <c r="G72" s="95"/>
      <c r="H72" s="93"/>
      <c r="I72" s="101">
        <v>-3.4393809114359415E-2</v>
      </c>
      <c r="J72" s="95"/>
      <c r="K72" s="106">
        <v>4.2992261392949267E-2</v>
      </c>
      <c r="L72" s="95">
        <v>2.4872764687487572</v>
      </c>
    </row>
    <row r="73" spans="1:13" s="77" customFormat="1">
      <c r="A73" s="259" t="s">
        <v>75</v>
      </c>
      <c r="B73" s="93">
        <v>0</v>
      </c>
      <c r="C73" s="93"/>
      <c r="D73" s="93">
        <v>1.0782</v>
      </c>
      <c r="E73" s="93">
        <v>1.2420767288044043</v>
      </c>
      <c r="F73" s="95"/>
      <c r="G73" s="95"/>
      <c r="H73" s="93">
        <v>5.1017483519633131E-2</v>
      </c>
      <c r="I73" s="93">
        <v>2.3564918314703358</v>
      </c>
      <c r="J73" s="95"/>
      <c r="K73" s="95"/>
      <c r="L73" s="95">
        <v>4.7277860437943726</v>
      </c>
    </row>
    <row r="74" spans="1:13" s="77" customFormat="1">
      <c r="A74" s="259" t="s">
        <v>76</v>
      </c>
      <c r="B74" s="93"/>
      <c r="C74" s="93"/>
      <c r="D74" s="93"/>
      <c r="E74" s="93">
        <v>0.40459209271542057</v>
      </c>
      <c r="F74" s="95"/>
      <c r="G74" s="95"/>
      <c r="H74" s="93"/>
      <c r="I74" s="93">
        <v>3.2860783026088267</v>
      </c>
      <c r="J74" s="95">
        <v>0.95699744896004757</v>
      </c>
      <c r="K74" s="95"/>
      <c r="L74" s="95">
        <v>4.6476678442842951</v>
      </c>
    </row>
    <row r="75" spans="1:13" s="77" customFormat="1" ht="15.5">
      <c r="A75" s="260" t="s">
        <v>77</v>
      </c>
      <c r="B75" s="97">
        <v>2.5320977871021997</v>
      </c>
      <c r="C75" s="97">
        <v>47.778211196973203</v>
      </c>
      <c r="D75" s="97">
        <v>-45.395109251920701</v>
      </c>
      <c r="E75" s="97">
        <v>5.7843680537817681</v>
      </c>
      <c r="F75" s="97">
        <v>103.91274338838639</v>
      </c>
      <c r="G75" s="97">
        <v>14.961306964746345</v>
      </c>
      <c r="H75" s="97">
        <v>7.9184052899916004</v>
      </c>
      <c r="I75" s="97">
        <v>-44.551420407623326</v>
      </c>
      <c r="J75" s="97">
        <v>-3.6330927621837534</v>
      </c>
      <c r="K75" s="97">
        <v>-0.3869303525365434</v>
      </c>
      <c r="L75" s="97">
        <v>88.92057990671718</v>
      </c>
    </row>
    <row r="76" spans="1:13" s="77" customFormat="1" ht="15.5">
      <c r="A76" s="8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3" s="77" customFormat="1" ht="15.5">
      <c r="A77" s="262" t="s">
        <v>78</v>
      </c>
      <c r="B77" s="93">
        <v>0</v>
      </c>
      <c r="C77" s="95"/>
      <c r="D77" s="93">
        <v>1.4729206178416236</v>
      </c>
      <c r="E77" s="93">
        <v>10.500396800049039</v>
      </c>
      <c r="F77" s="95"/>
      <c r="G77" s="95"/>
      <c r="H77" s="93">
        <v>2.2533883417615286</v>
      </c>
      <c r="I77" s="93">
        <v>9.9189000147829578</v>
      </c>
      <c r="J77" s="93">
        <v>1.0888044989932395</v>
      </c>
      <c r="K77" s="93"/>
      <c r="L77" s="95">
        <v>25.234410273428388</v>
      </c>
      <c r="M77" s="99"/>
    </row>
    <row r="78" spans="1:13" s="77" customFormat="1" ht="15.5">
      <c r="A78" s="262" t="s">
        <v>79</v>
      </c>
      <c r="B78" s="95"/>
      <c r="C78" s="95"/>
      <c r="D78" s="93">
        <v>33.467243817501647</v>
      </c>
      <c r="E78" s="93">
        <v>0.45902890397400081</v>
      </c>
      <c r="F78" s="95"/>
      <c r="G78" s="95"/>
      <c r="H78" s="93">
        <v>3.0649318006802346</v>
      </c>
      <c r="I78" s="93">
        <v>2.1184928132217893</v>
      </c>
      <c r="J78" s="93"/>
      <c r="K78" s="102">
        <v>0</v>
      </c>
      <c r="L78" s="95">
        <v>39.109697335377675</v>
      </c>
      <c r="M78" s="99"/>
    </row>
    <row r="79" spans="1:13" s="77" customFormat="1">
      <c r="A79" s="259" t="s">
        <v>80</v>
      </c>
      <c r="B79" s="93">
        <v>0</v>
      </c>
      <c r="C79" s="95"/>
      <c r="D79" s="93">
        <v>3.9393678084627735</v>
      </c>
      <c r="E79" s="93">
        <v>9.6715864226456425</v>
      </c>
      <c r="F79" s="95"/>
      <c r="G79" s="95"/>
      <c r="H79" s="93">
        <v>9.5694574161932415</v>
      </c>
      <c r="I79" s="93">
        <v>12.545996400325794</v>
      </c>
      <c r="J79" s="93">
        <v>1.7548492723748692</v>
      </c>
      <c r="K79" s="93"/>
      <c r="L79" s="95">
        <v>37.481257320002321</v>
      </c>
      <c r="M79" s="99"/>
    </row>
    <row r="80" spans="1:13" s="77" customFormat="1">
      <c r="A80" s="259" t="s">
        <v>81</v>
      </c>
      <c r="B80" s="93">
        <v>0</v>
      </c>
      <c r="C80" s="95"/>
      <c r="D80" s="93">
        <v>1.2037428576368416</v>
      </c>
      <c r="E80" s="93">
        <v>4.7420165632308739</v>
      </c>
      <c r="F80" s="95"/>
      <c r="G80" s="95"/>
      <c r="H80" s="93">
        <v>2.1255433490207265</v>
      </c>
      <c r="I80" s="93">
        <v>12.383405198063125</v>
      </c>
      <c r="J80" s="93">
        <v>0.78298531976226649</v>
      </c>
      <c r="K80" s="93"/>
      <c r="L80" s="95">
        <v>21.237693287713832</v>
      </c>
      <c r="M80" s="99"/>
    </row>
    <row r="81" spans="1:13" s="77" customFormat="1">
      <c r="A81" s="259" t="s">
        <v>82</v>
      </c>
      <c r="B81" s="93">
        <v>2.2137192704974398E-3</v>
      </c>
      <c r="C81" s="95"/>
      <c r="D81" s="93">
        <v>2.65</v>
      </c>
      <c r="E81" s="93">
        <v>0.41</v>
      </c>
      <c r="F81" s="95"/>
      <c r="G81" s="95"/>
      <c r="H81" s="93">
        <v>0.24</v>
      </c>
      <c r="I81" s="93">
        <v>0.73170616791472998</v>
      </c>
      <c r="J81" s="93">
        <v>6.4536710533781346E-3</v>
      </c>
      <c r="K81" s="93"/>
      <c r="L81" s="95">
        <v>4.0403735582386053</v>
      </c>
      <c r="M81" s="99"/>
    </row>
    <row r="82" spans="1:13" s="77" customFormat="1" ht="15.5">
      <c r="A82" s="260" t="s">
        <v>83</v>
      </c>
      <c r="B82" s="97">
        <v>2.2137192704974398E-3</v>
      </c>
      <c r="C82" s="97">
        <v>0</v>
      </c>
      <c r="D82" s="97">
        <v>42.733275101442885</v>
      </c>
      <c r="E82" s="97">
        <v>25.783028689899556</v>
      </c>
      <c r="F82" s="97">
        <v>0</v>
      </c>
      <c r="G82" s="97">
        <v>0</v>
      </c>
      <c r="H82" s="97">
        <v>17.253320907655731</v>
      </c>
      <c r="I82" s="97">
        <v>37.698500594308399</v>
      </c>
      <c r="J82" s="97">
        <v>3.6330927621837534</v>
      </c>
      <c r="K82" s="97">
        <v>0</v>
      </c>
      <c r="L82" s="97">
        <v>127.10343177476082</v>
      </c>
    </row>
    <row r="83" spans="1:13" s="77" customFormat="1">
      <c r="A83" s="259" t="s">
        <v>84</v>
      </c>
      <c r="B83" s="95">
        <v>0.11450973903079993</v>
      </c>
      <c r="C83" s="95"/>
      <c r="D83" s="100">
        <v>10.358743329384168</v>
      </c>
      <c r="E83" s="100">
        <v>0.8575152317057565</v>
      </c>
      <c r="F83" s="95"/>
      <c r="G83" s="95"/>
      <c r="H83" s="95"/>
      <c r="I83" s="95"/>
      <c r="J83" s="95"/>
      <c r="K83" s="95">
        <v>0.3869303525365434</v>
      </c>
      <c r="L83" s="95">
        <v>11.717698652657267</v>
      </c>
    </row>
    <row r="84" spans="1:13" s="77" customFormat="1" ht="15.5">
      <c r="A84" s="260" t="s">
        <v>85</v>
      </c>
      <c r="B84" s="97">
        <v>0.11672345830129738</v>
      </c>
      <c r="C84" s="97">
        <v>0</v>
      </c>
      <c r="D84" s="97">
        <v>53.092018430827054</v>
      </c>
      <c r="E84" s="97">
        <v>26.640543921605314</v>
      </c>
      <c r="F84" s="97">
        <v>0</v>
      </c>
      <c r="G84" s="97">
        <v>0</v>
      </c>
      <c r="H84" s="97">
        <v>17.253320907655731</v>
      </c>
      <c r="I84" s="97">
        <v>37.698500594308399</v>
      </c>
      <c r="J84" s="97">
        <v>3.6330927621837534</v>
      </c>
      <c r="K84" s="97">
        <v>0.3869303525365434</v>
      </c>
      <c r="L84" s="97">
        <v>138.8211304274181</v>
      </c>
    </row>
    <row r="95" spans="1:13" s="77" customFormat="1" ht="15.5">
      <c r="A95" s="90" t="s">
        <v>88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2" s="77" customFormat="1" ht="29">
      <c r="A98" s="83" t="s">
        <v>51</v>
      </c>
      <c r="B98" s="257" t="s">
        <v>42</v>
      </c>
      <c r="C98" s="257" t="s">
        <v>52</v>
      </c>
      <c r="D98" s="257" t="s">
        <v>53</v>
      </c>
      <c r="E98" s="258" t="s">
        <v>54</v>
      </c>
      <c r="F98" s="258" t="s">
        <v>20</v>
      </c>
      <c r="G98" s="258" t="s">
        <v>55</v>
      </c>
      <c r="H98" s="257" t="s">
        <v>56</v>
      </c>
      <c r="I98" s="257" t="s">
        <v>57</v>
      </c>
      <c r="J98" s="257" t="s">
        <v>58</v>
      </c>
      <c r="K98" s="257" t="s">
        <v>31</v>
      </c>
      <c r="L98" s="257" t="s">
        <v>10</v>
      </c>
    </row>
    <row r="99" spans="1:12" s="77" customFormat="1" ht="15.5">
      <c r="A99" s="91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</row>
    <row r="100" spans="1:12" s="77" customFormat="1">
      <c r="A100" s="259" t="s">
        <v>59</v>
      </c>
      <c r="B100" s="93">
        <v>0</v>
      </c>
      <c r="C100" s="93">
        <v>0.6</v>
      </c>
      <c r="D100" s="93">
        <v>0</v>
      </c>
      <c r="E100" s="93">
        <v>0.01</v>
      </c>
      <c r="F100" s="94">
        <v>87.505468116535909</v>
      </c>
      <c r="G100" s="94">
        <v>19.604471195184864</v>
      </c>
      <c r="H100" s="93">
        <v>27.652813608001015</v>
      </c>
      <c r="I100" s="95"/>
      <c r="J100" s="95"/>
      <c r="K100" s="95"/>
      <c r="L100" s="95">
        <v>135.37275291972179</v>
      </c>
    </row>
    <row r="101" spans="1:12" s="77" customFormat="1">
      <c r="A101" s="259" t="s">
        <v>60</v>
      </c>
      <c r="B101" s="93">
        <v>2.1426447253399448</v>
      </c>
      <c r="C101" s="93">
        <v>40.135568603962227</v>
      </c>
      <c r="D101" s="93">
        <v>11.603738828489348</v>
      </c>
      <c r="E101" s="93">
        <v>27.110364556531959</v>
      </c>
      <c r="F101" s="95"/>
      <c r="G101" s="95"/>
      <c r="H101" s="95">
        <v>1.1840600232316554</v>
      </c>
      <c r="I101" s="95">
        <v>0</v>
      </c>
      <c r="J101" s="95"/>
      <c r="K101" s="95"/>
      <c r="L101" s="95">
        <v>82.176376737555131</v>
      </c>
    </row>
    <row r="102" spans="1:12" s="77" customFormat="1">
      <c r="A102" s="259" t="s">
        <v>61</v>
      </c>
      <c r="B102" s="103">
        <v>0</v>
      </c>
      <c r="C102" s="103">
        <v>0</v>
      </c>
      <c r="D102" s="93">
        <v>0</v>
      </c>
      <c r="E102" s="103">
        <v>0</v>
      </c>
      <c r="F102" s="95"/>
      <c r="G102" s="95"/>
      <c r="H102" s="103">
        <v>0</v>
      </c>
      <c r="I102" s="95">
        <v>-5.338388011490764</v>
      </c>
      <c r="J102" s="95"/>
      <c r="K102" s="95"/>
      <c r="L102" s="95">
        <v>-5.338388011490764</v>
      </c>
    </row>
    <row r="103" spans="1:12" s="77" customFormat="1">
      <c r="A103" s="259" t="s">
        <v>62</v>
      </c>
      <c r="B103" s="95"/>
      <c r="C103" s="95"/>
      <c r="D103" s="95">
        <v>-1.1000000000000001</v>
      </c>
      <c r="E103" s="95"/>
      <c r="F103" s="95"/>
      <c r="G103" s="95"/>
      <c r="H103" s="95"/>
      <c r="I103" s="95"/>
      <c r="J103" s="95"/>
      <c r="K103" s="95"/>
      <c r="L103" s="95">
        <v>-1.1000000000000001</v>
      </c>
    </row>
    <row r="104" spans="1:12" s="77" customFormat="1">
      <c r="A104" s="259" t="s">
        <v>63</v>
      </c>
      <c r="B104" s="95"/>
      <c r="C104" s="95"/>
      <c r="D104" s="95">
        <v>-7.3263599105945998</v>
      </c>
      <c r="E104" s="95"/>
      <c r="F104" s="95"/>
      <c r="G104" s="95"/>
      <c r="H104" s="95"/>
      <c r="I104" s="95"/>
      <c r="J104" s="95"/>
      <c r="K104" s="95"/>
      <c r="L104" s="95">
        <v>-7.3263599105945998</v>
      </c>
    </row>
    <row r="105" spans="1:12" s="77" customFormat="1">
      <c r="A105" s="259" t="s">
        <v>64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>
        <v>0</v>
      </c>
    </row>
    <row r="106" spans="1:12" s="77" customFormat="1" ht="15.5">
      <c r="A106" s="260" t="s">
        <v>65</v>
      </c>
      <c r="B106" s="104">
        <v>2.1426447253399448</v>
      </c>
      <c r="C106" s="104">
        <v>40.735568603962228</v>
      </c>
      <c r="D106" s="104">
        <v>3.1773789178947487</v>
      </c>
      <c r="E106" s="104">
        <v>27.12036455653196</v>
      </c>
      <c r="F106" s="104">
        <v>87.505468116535909</v>
      </c>
      <c r="G106" s="104">
        <v>19.604471195184864</v>
      </c>
      <c r="H106" s="104">
        <v>28.83687363123267</v>
      </c>
      <c r="I106" s="104">
        <v>-5.338388011490764</v>
      </c>
      <c r="J106" s="104">
        <v>0</v>
      </c>
      <c r="K106" s="104"/>
      <c r="L106" s="104">
        <v>203.78438173519157</v>
      </c>
    </row>
    <row r="107" spans="1:12" s="77" customFormat="1" ht="15.5">
      <c r="A107" s="84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</row>
    <row r="108" spans="1:12" s="77" customFormat="1">
      <c r="A108" s="259" t="s">
        <v>66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>
        <v>0</v>
      </c>
    </row>
    <row r="109" spans="1:12" s="77" customFormat="1">
      <c r="A109" s="259" t="s">
        <v>67</v>
      </c>
      <c r="B109" s="93"/>
      <c r="C109" s="93"/>
      <c r="D109" s="93"/>
      <c r="E109" s="93"/>
      <c r="F109" s="95"/>
      <c r="G109" s="95"/>
      <c r="H109" s="95"/>
      <c r="I109" s="95"/>
      <c r="J109" s="95"/>
      <c r="K109" s="95"/>
      <c r="L109" s="95">
        <v>0</v>
      </c>
    </row>
    <row r="110" spans="1:12" s="77" customFormat="1">
      <c r="A110" s="259" t="s">
        <v>68</v>
      </c>
      <c r="B110" s="93">
        <v>0</v>
      </c>
      <c r="C110" s="93">
        <v>0</v>
      </c>
      <c r="D110" s="93"/>
      <c r="E110" s="93">
        <v>4.0829815025015792</v>
      </c>
      <c r="F110" s="94">
        <v>87.505468116535909</v>
      </c>
      <c r="G110" s="94">
        <v>19.604471195184864</v>
      </c>
      <c r="H110" s="93">
        <v>2.3645743766122096</v>
      </c>
      <c r="I110" s="93">
        <v>-50.266999999999996</v>
      </c>
      <c r="J110" s="95"/>
      <c r="K110" s="95"/>
      <c r="L110" s="95">
        <v>63.290495190834577</v>
      </c>
    </row>
    <row r="111" spans="1:12" s="77" customFormat="1">
      <c r="A111" s="259" t="s">
        <v>69</v>
      </c>
      <c r="B111" s="93"/>
      <c r="C111" s="93"/>
      <c r="D111" s="93"/>
      <c r="E111" s="93"/>
      <c r="F111" s="95"/>
      <c r="G111" s="95"/>
      <c r="H111" s="93"/>
      <c r="I111" s="93"/>
      <c r="J111" s="95"/>
      <c r="K111" s="95"/>
      <c r="L111" s="95">
        <v>0</v>
      </c>
    </row>
    <row r="112" spans="1:12" s="77" customFormat="1">
      <c r="A112" s="259" t="s">
        <v>70</v>
      </c>
      <c r="B112" s="93">
        <v>0</v>
      </c>
      <c r="C112" s="93"/>
      <c r="D112" s="93">
        <v>0</v>
      </c>
      <c r="E112" s="93">
        <v>1.1033714738962501</v>
      </c>
      <c r="F112" s="95"/>
      <c r="G112" s="95"/>
      <c r="H112" s="93">
        <v>3.4223564102833111</v>
      </c>
      <c r="I112" s="93"/>
      <c r="J112" s="95">
        <v>-5.0031456465819746</v>
      </c>
      <c r="K112" s="95"/>
      <c r="L112" s="95">
        <v>-0.47741776240241318</v>
      </c>
    </row>
    <row r="113" spans="1:13" s="77" customFormat="1">
      <c r="A113" s="259" t="s">
        <v>71</v>
      </c>
      <c r="B113" s="93"/>
      <c r="C113" s="93"/>
      <c r="D113" s="93"/>
      <c r="E113" s="93">
        <v>-3.0305707441718415</v>
      </c>
      <c r="F113" s="95"/>
      <c r="G113" s="95"/>
      <c r="H113" s="93">
        <v>3.7882134302148018</v>
      </c>
      <c r="I113" s="93"/>
      <c r="J113" s="95"/>
      <c r="K113" s="95"/>
      <c r="L113" s="95">
        <v>0.75764268604296037</v>
      </c>
    </row>
    <row r="114" spans="1:13" s="77" customFormat="1">
      <c r="A114" s="259" t="s">
        <v>72</v>
      </c>
      <c r="B114" s="93"/>
      <c r="C114" s="93">
        <v>40.735568603962228</v>
      </c>
      <c r="D114" s="93">
        <v>-39.731196478800598</v>
      </c>
      <c r="E114" s="93">
        <v>0.33698049084305848</v>
      </c>
      <c r="F114" s="95"/>
      <c r="G114" s="95"/>
      <c r="H114" s="93"/>
      <c r="I114" s="93"/>
      <c r="J114" s="95"/>
      <c r="K114" s="95"/>
      <c r="L114" s="95">
        <v>1.3413526160046889</v>
      </c>
    </row>
    <row r="115" spans="1:13" s="77" customFormat="1">
      <c r="A115" s="259" t="s">
        <v>73</v>
      </c>
      <c r="B115" s="93"/>
      <c r="C115" s="93"/>
      <c r="D115" s="93"/>
      <c r="E115" s="93"/>
      <c r="F115" s="95"/>
      <c r="G115" s="95"/>
      <c r="H115" s="93"/>
      <c r="I115" s="93">
        <v>2.1496130696474633</v>
      </c>
      <c r="J115" s="95"/>
      <c r="K115" s="95">
        <v>-1.7196904557179706</v>
      </c>
      <c r="L115" s="95">
        <v>0.42992261392949271</v>
      </c>
    </row>
    <row r="116" spans="1:13" s="77" customFormat="1">
      <c r="A116" s="259" t="s">
        <v>74</v>
      </c>
      <c r="B116" s="93">
        <v>2.1404310060694471</v>
      </c>
      <c r="C116" s="93"/>
      <c r="D116" s="93"/>
      <c r="E116" s="101">
        <v>-0.15477214101461736</v>
      </c>
      <c r="F116" s="106"/>
      <c r="G116" s="106"/>
      <c r="H116" s="101"/>
      <c r="I116" s="101">
        <v>-0.2063628546861565</v>
      </c>
      <c r="J116" s="95"/>
      <c r="K116" s="106">
        <v>0.42992261392949271</v>
      </c>
      <c r="L116" s="95">
        <v>2.209218624298166</v>
      </c>
    </row>
    <row r="117" spans="1:13" s="77" customFormat="1">
      <c r="A117" s="259" t="s">
        <v>75</v>
      </c>
      <c r="B117" s="93">
        <v>0</v>
      </c>
      <c r="C117" s="93"/>
      <c r="D117" s="93">
        <v>1.0782</v>
      </c>
      <c r="E117" s="93">
        <v>1.2420767288044043</v>
      </c>
      <c r="F117" s="95"/>
      <c r="G117" s="95"/>
      <c r="H117" s="93">
        <v>5.1017483519633131E-2</v>
      </c>
      <c r="I117" s="93">
        <v>2.3520206362854692</v>
      </c>
      <c r="J117" s="95"/>
      <c r="K117" s="95"/>
      <c r="L117" s="95">
        <v>4.7233148486095065</v>
      </c>
    </row>
    <row r="118" spans="1:13" s="77" customFormat="1">
      <c r="A118" s="259" t="s">
        <v>76</v>
      </c>
      <c r="B118" s="93"/>
      <c r="C118" s="93"/>
      <c r="D118" s="93"/>
      <c r="E118" s="93">
        <v>0.3535258483957765</v>
      </c>
      <c r="F118" s="95"/>
      <c r="G118" s="95"/>
      <c r="H118" s="93"/>
      <c r="I118" s="93">
        <v>3.2582065612805073</v>
      </c>
      <c r="J118" s="95">
        <v>1.0431162352605265</v>
      </c>
      <c r="K118" s="95"/>
      <c r="L118" s="95">
        <v>4.6548486449368109</v>
      </c>
    </row>
    <row r="119" spans="1:13" s="77" customFormat="1" ht="15.5">
      <c r="A119" s="260" t="s">
        <v>77</v>
      </c>
      <c r="B119" s="104">
        <v>2.1404310060694471</v>
      </c>
      <c r="C119" s="104">
        <v>40.735568603962228</v>
      </c>
      <c r="D119" s="104">
        <v>-38.652996478800596</v>
      </c>
      <c r="E119" s="104">
        <v>3.9335931592546101</v>
      </c>
      <c r="F119" s="104">
        <v>87.505468116535909</v>
      </c>
      <c r="G119" s="104">
        <v>19.604471195184864</v>
      </c>
      <c r="H119" s="104">
        <v>9.6261617006299556</v>
      </c>
      <c r="I119" s="104">
        <v>-42.71352258747271</v>
      </c>
      <c r="J119" s="104">
        <v>-3.960029411321448</v>
      </c>
      <c r="K119" s="97">
        <v>-1.2897678417884779</v>
      </c>
      <c r="L119" s="104">
        <v>76.929377462253782</v>
      </c>
    </row>
    <row r="120" spans="1:13" s="77" customFormat="1" ht="15.5">
      <c r="A120" s="84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</row>
    <row r="121" spans="1:13" s="77" customFormat="1" ht="15.5">
      <c r="A121" s="262" t="s">
        <v>78</v>
      </c>
      <c r="B121" s="93">
        <v>0</v>
      </c>
      <c r="C121" s="95"/>
      <c r="D121" s="93">
        <v>0.91047471072988595</v>
      </c>
      <c r="E121" s="93">
        <v>9.2828412206946656</v>
      </c>
      <c r="F121" s="95"/>
      <c r="G121" s="95"/>
      <c r="H121" s="93">
        <v>2.797481014933286</v>
      </c>
      <c r="I121" s="93">
        <v>9.8446264808181319</v>
      </c>
      <c r="J121" s="93">
        <v>1.0065715207299948</v>
      </c>
      <c r="K121" s="93"/>
      <c r="L121" s="95">
        <v>23.841994947905963</v>
      </c>
      <c r="M121" s="99"/>
    </row>
    <row r="122" spans="1:13" s="77" customFormat="1" ht="15.5">
      <c r="A122" s="262" t="s">
        <v>79</v>
      </c>
      <c r="B122" s="95"/>
      <c r="C122" s="95"/>
      <c r="D122" s="93">
        <v>27.751715068457877</v>
      </c>
      <c r="E122" s="93">
        <v>0.93047307809883106</v>
      </c>
      <c r="F122" s="95"/>
      <c r="G122" s="95"/>
      <c r="H122" s="93">
        <v>3.2186817504954033</v>
      </c>
      <c r="I122" s="93">
        <v>3.1579242402183425</v>
      </c>
      <c r="J122" s="93"/>
      <c r="K122" s="102">
        <v>0</v>
      </c>
      <c r="L122" s="107">
        <v>35.058794137270453</v>
      </c>
      <c r="M122" s="99"/>
    </row>
    <row r="123" spans="1:13" s="77" customFormat="1">
      <c r="A123" s="259" t="s">
        <v>80</v>
      </c>
      <c r="B123" s="93">
        <v>0</v>
      </c>
      <c r="C123" s="95"/>
      <c r="D123" s="93">
        <v>1.746497298641001</v>
      </c>
      <c r="E123" s="93">
        <v>8.4644882734430098</v>
      </c>
      <c r="F123" s="95"/>
      <c r="G123" s="95"/>
      <c r="H123" s="93">
        <v>10.300321992032506</v>
      </c>
      <c r="I123" s="93">
        <v>11.885627565252159</v>
      </c>
      <c r="J123" s="93">
        <v>2.1555790280909841</v>
      </c>
      <c r="K123" s="93"/>
      <c r="L123" s="95">
        <v>34.552514157459662</v>
      </c>
      <c r="M123" s="99"/>
    </row>
    <row r="124" spans="1:13" s="77" customFormat="1">
      <c r="A124" s="259" t="s">
        <v>81</v>
      </c>
      <c r="B124" s="93">
        <v>0</v>
      </c>
      <c r="C124" s="95"/>
      <c r="D124" s="93">
        <v>0.60659804706016329</v>
      </c>
      <c r="E124" s="93">
        <v>3.373347366526199</v>
      </c>
      <c r="F124" s="95"/>
      <c r="G124" s="95"/>
      <c r="H124" s="93">
        <v>2.5554110979101758</v>
      </c>
      <c r="I124" s="93">
        <v>11.711297347178387</v>
      </c>
      <c r="J124" s="93">
        <v>0.79142519144709034</v>
      </c>
      <c r="K124" s="93"/>
      <c r="L124" s="95">
        <v>19.038079050122015</v>
      </c>
      <c r="M124" s="99"/>
    </row>
    <row r="125" spans="1:13" s="77" customFormat="1">
      <c r="A125" s="259" t="s">
        <v>82</v>
      </c>
      <c r="B125" s="93">
        <v>2.2137192704974398E-3</v>
      </c>
      <c r="C125" s="95"/>
      <c r="D125" s="93">
        <v>2.28816075231342</v>
      </c>
      <c r="E125" s="93">
        <v>0.47763215046268398</v>
      </c>
      <c r="F125" s="95"/>
      <c r="G125" s="95"/>
      <c r="H125" s="93">
        <v>0.338816075231342</v>
      </c>
      <c r="I125" s="93">
        <v>0.77565894251492096</v>
      </c>
      <c r="J125" s="93">
        <v>6.4536710533781346E-3</v>
      </c>
      <c r="K125" s="93"/>
      <c r="L125" s="95">
        <v>3.8889353108462426</v>
      </c>
      <c r="M125" s="99"/>
    </row>
    <row r="126" spans="1:13" s="77" customFormat="1" ht="15.5">
      <c r="A126" s="260" t="s">
        <v>83</v>
      </c>
      <c r="B126" s="104">
        <v>2.2137192704974398E-3</v>
      </c>
      <c r="C126" s="104">
        <v>0</v>
      </c>
      <c r="D126" s="104">
        <v>33.30344587720235</v>
      </c>
      <c r="E126" s="104">
        <v>22.528782089225395</v>
      </c>
      <c r="F126" s="104">
        <v>0</v>
      </c>
      <c r="G126" s="104">
        <v>0</v>
      </c>
      <c r="H126" s="104">
        <v>19.210711930602717</v>
      </c>
      <c r="I126" s="104">
        <v>37.375134575981946</v>
      </c>
      <c r="J126" s="104">
        <v>3.9600294113214476</v>
      </c>
      <c r="K126" s="97">
        <v>0</v>
      </c>
      <c r="L126" s="104">
        <v>116.38031760360433</v>
      </c>
    </row>
    <row r="127" spans="1:13" s="77" customFormat="1">
      <c r="A127" s="259" t="s">
        <v>84</v>
      </c>
      <c r="B127" s="95">
        <v>0</v>
      </c>
      <c r="C127" s="95"/>
      <c r="D127" s="93">
        <v>8.5269295194929953</v>
      </c>
      <c r="E127" s="93">
        <v>0.65798930805195532</v>
      </c>
      <c r="F127" s="95"/>
      <c r="G127" s="95"/>
      <c r="H127" s="95"/>
      <c r="I127" s="95"/>
      <c r="J127" s="95"/>
      <c r="K127" s="95">
        <v>1.2897678417884779</v>
      </c>
      <c r="L127" s="95">
        <v>10.47468666933343</v>
      </c>
    </row>
    <row r="128" spans="1:13" s="77" customFormat="1" ht="15.5">
      <c r="A128" s="260" t="s">
        <v>85</v>
      </c>
      <c r="B128" s="104">
        <v>2.2137192704974398E-3</v>
      </c>
      <c r="C128" s="104">
        <v>0</v>
      </c>
      <c r="D128" s="104">
        <v>41.830375396695345</v>
      </c>
      <c r="E128" s="104">
        <v>23.186771397277351</v>
      </c>
      <c r="F128" s="104">
        <v>0</v>
      </c>
      <c r="G128" s="104">
        <v>0</v>
      </c>
      <c r="H128" s="104">
        <v>19.210711930602717</v>
      </c>
      <c r="I128" s="104">
        <v>37.375134575981946</v>
      </c>
      <c r="J128" s="104">
        <v>3.9600294113214476</v>
      </c>
      <c r="K128" s="104">
        <v>1.2897678417884779</v>
      </c>
      <c r="L128" s="104">
        <v>126.85500427293775</v>
      </c>
    </row>
    <row r="139" spans="1:14" s="77" customFormat="1" ht="15.5">
      <c r="A139" s="90" t="s">
        <v>89</v>
      </c>
      <c r="B139" s="80"/>
      <c r="C139" s="80"/>
      <c r="D139" s="80"/>
      <c r="E139" s="80"/>
      <c r="F139" s="80"/>
      <c r="G139" s="81"/>
      <c r="H139" s="80"/>
      <c r="I139" s="80"/>
      <c r="J139" s="80"/>
      <c r="K139" s="80"/>
      <c r="L139" s="80"/>
    </row>
    <row r="142" spans="1:14" s="77" customFormat="1" ht="29">
      <c r="A142" s="83" t="s">
        <v>51</v>
      </c>
      <c r="B142" s="257" t="s">
        <v>42</v>
      </c>
      <c r="C142" s="257" t="s">
        <v>52</v>
      </c>
      <c r="D142" s="257" t="s">
        <v>53</v>
      </c>
      <c r="E142" s="258" t="s">
        <v>54</v>
      </c>
      <c r="F142" s="258" t="s">
        <v>20</v>
      </c>
      <c r="G142" s="258" t="s">
        <v>55</v>
      </c>
      <c r="H142" s="257" t="s">
        <v>56</v>
      </c>
      <c r="I142" s="257" t="s">
        <v>57</v>
      </c>
      <c r="J142" s="257" t="s">
        <v>58</v>
      </c>
      <c r="K142" s="257" t="s">
        <v>31</v>
      </c>
      <c r="L142" s="257" t="s">
        <v>10</v>
      </c>
    </row>
    <row r="143" spans="1:14" s="77" customFormat="1" ht="15.5">
      <c r="A143" s="91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N143" s="82"/>
    </row>
    <row r="144" spans="1:14" s="77" customFormat="1">
      <c r="A144" s="259" t="s">
        <v>59</v>
      </c>
      <c r="B144" s="93">
        <v>0</v>
      </c>
      <c r="C144" s="93">
        <v>0</v>
      </c>
      <c r="D144" s="93">
        <v>0</v>
      </c>
      <c r="E144" s="93">
        <v>0</v>
      </c>
      <c r="F144" s="94">
        <v>27.345458786417471</v>
      </c>
      <c r="G144" s="94">
        <v>46.775580395528799</v>
      </c>
      <c r="H144" s="93">
        <v>39.150228110130641</v>
      </c>
      <c r="I144" s="95"/>
      <c r="J144" s="95"/>
      <c r="K144" s="95"/>
      <c r="L144" s="95">
        <v>113.27126729207691</v>
      </c>
    </row>
    <row r="145" spans="1:12" s="77" customFormat="1">
      <c r="A145" s="259" t="s">
        <v>60</v>
      </c>
      <c r="B145" s="93">
        <v>0.74697394369004599</v>
      </c>
      <c r="C145" s="93">
        <v>0</v>
      </c>
      <c r="D145" s="93">
        <v>15.265776616616671</v>
      </c>
      <c r="E145" s="93">
        <v>0</v>
      </c>
      <c r="F145" s="95"/>
      <c r="G145" s="95"/>
      <c r="H145" s="95">
        <v>0</v>
      </c>
      <c r="I145" s="107">
        <v>0</v>
      </c>
      <c r="J145" s="95"/>
      <c r="K145" s="95"/>
      <c r="L145" s="95">
        <v>16.012750560306717</v>
      </c>
    </row>
    <row r="146" spans="1:12" s="77" customFormat="1">
      <c r="A146" s="259" t="s">
        <v>61</v>
      </c>
      <c r="B146" s="93">
        <v>0</v>
      </c>
      <c r="C146" s="93">
        <v>0</v>
      </c>
      <c r="D146" s="93">
        <v>0</v>
      </c>
      <c r="E146" s="93">
        <v>0</v>
      </c>
      <c r="F146" s="95"/>
      <c r="G146" s="95"/>
      <c r="H146" s="93">
        <v>0</v>
      </c>
      <c r="I146" s="95">
        <v>-1.7515441453990022</v>
      </c>
      <c r="J146" s="95"/>
      <c r="K146" s="95"/>
      <c r="L146" s="95">
        <v>-1.7515441453990022</v>
      </c>
    </row>
    <row r="147" spans="1:12" s="77" customFormat="1">
      <c r="A147" s="259" t="s">
        <v>62</v>
      </c>
      <c r="B147" s="93"/>
      <c r="C147" s="93"/>
      <c r="D147" s="93">
        <v>-1.1000000000000001</v>
      </c>
      <c r="E147" s="93"/>
      <c r="F147" s="95"/>
      <c r="G147" s="95"/>
      <c r="H147" s="95"/>
      <c r="I147" s="95"/>
      <c r="J147" s="95"/>
      <c r="K147" s="95"/>
      <c r="L147" s="95">
        <v>-1.1000000000000001</v>
      </c>
    </row>
    <row r="148" spans="1:12" s="77" customFormat="1">
      <c r="A148" s="259" t="s">
        <v>63</v>
      </c>
      <c r="B148" s="93"/>
      <c r="C148" s="93"/>
      <c r="D148" s="93">
        <v>-9.8675445253719403</v>
      </c>
      <c r="E148" s="93"/>
      <c r="F148" s="95"/>
      <c r="G148" s="95"/>
      <c r="H148" s="95"/>
      <c r="I148" s="95"/>
      <c r="J148" s="95"/>
      <c r="K148" s="95"/>
      <c r="L148" s="95">
        <v>-9.8675445253719403</v>
      </c>
    </row>
    <row r="149" spans="1:12" s="77" customFormat="1">
      <c r="A149" s="259" t="s">
        <v>64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>
        <v>0</v>
      </c>
    </row>
    <row r="150" spans="1:12" s="77" customFormat="1" ht="15.5">
      <c r="A150" s="260" t="s">
        <v>65</v>
      </c>
      <c r="B150" s="97">
        <v>0.74697394369004599</v>
      </c>
      <c r="C150" s="97">
        <v>0</v>
      </c>
      <c r="D150" s="97">
        <v>4.2982320912447314</v>
      </c>
      <c r="E150" s="97">
        <v>0</v>
      </c>
      <c r="F150" s="97">
        <v>27.345458786417471</v>
      </c>
      <c r="G150" s="97">
        <v>46.775580395528799</v>
      </c>
      <c r="H150" s="97">
        <v>39.150228110130641</v>
      </c>
      <c r="I150" s="97">
        <v>-1.7515441453990022</v>
      </c>
      <c r="J150" s="97">
        <v>0</v>
      </c>
      <c r="K150" s="97"/>
      <c r="L150" s="97">
        <v>116.5649291816127</v>
      </c>
    </row>
    <row r="151" spans="1:12" s="77" customFormat="1" ht="15.5">
      <c r="A151" s="84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</row>
    <row r="152" spans="1:12" s="77" customFormat="1">
      <c r="A152" s="259" t="s">
        <v>66</v>
      </c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>
        <v>0</v>
      </c>
    </row>
    <row r="153" spans="1:12" s="77" customFormat="1">
      <c r="A153" s="259" t="s">
        <v>67</v>
      </c>
      <c r="B153" s="93"/>
      <c r="C153" s="93"/>
      <c r="D153" s="93"/>
      <c r="E153" s="93"/>
      <c r="F153" s="95"/>
      <c r="G153" s="95"/>
      <c r="H153" s="93"/>
      <c r="I153" s="93"/>
      <c r="J153" s="95"/>
      <c r="K153" s="95"/>
      <c r="L153" s="95">
        <v>0</v>
      </c>
    </row>
    <row r="154" spans="1:12" s="77" customFormat="1">
      <c r="A154" s="259" t="s">
        <v>68</v>
      </c>
      <c r="B154" s="93">
        <v>0</v>
      </c>
      <c r="C154" s="93">
        <v>0</v>
      </c>
      <c r="D154" s="93"/>
      <c r="E154" s="93">
        <v>2.1496130696474633</v>
      </c>
      <c r="F154" s="93">
        <v>27.345458786417471</v>
      </c>
      <c r="G154" s="93">
        <v>46.775580395528799</v>
      </c>
      <c r="H154" s="93">
        <v>0</v>
      </c>
      <c r="I154" s="93">
        <v>-56.673999999999992</v>
      </c>
      <c r="J154" s="95"/>
      <c r="K154" s="95"/>
      <c r="L154" s="95">
        <v>19.596652251593738</v>
      </c>
    </row>
    <row r="155" spans="1:12" s="77" customFormat="1">
      <c r="A155" s="259" t="s">
        <v>69</v>
      </c>
      <c r="B155" s="93"/>
      <c r="C155" s="93"/>
      <c r="D155" s="93"/>
      <c r="E155" s="93"/>
      <c r="F155" s="95"/>
      <c r="G155" s="95"/>
      <c r="H155" s="93"/>
      <c r="I155" s="93"/>
      <c r="J155" s="95"/>
      <c r="K155" s="95"/>
      <c r="L155" s="95">
        <v>0</v>
      </c>
    </row>
    <row r="156" spans="1:12" s="77" customFormat="1">
      <c r="A156" s="259" t="s">
        <v>70</v>
      </c>
      <c r="B156" s="93">
        <v>0</v>
      </c>
      <c r="C156" s="93"/>
      <c r="D156" s="93">
        <v>0</v>
      </c>
      <c r="E156" s="93">
        <v>0.85449177920296737</v>
      </c>
      <c r="F156" s="95"/>
      <c r="G156" s="95"/>
      <c r="H156" s="93">
        <v>3.403615539978218</v>
      </c>
      <c r="I156" s="93"/>
      <c r="J156" s="95">
        <v>-5.1661619878122789</v>
      </c>
      <c r="K156" s="95"/>
      <c r="L156" s="95">
        <v>-0.90805466863109352</v>
      </c>
    </row>
    <row r="157" spans="1:12" s="77" customFormat="1">
      <c r="A157" s="259" t="s">
        <v>71</v>
      </c>
      <c r="B157" s="93"/>
      <c r="C157" s="93"/>
      <c r="D157" s="93"/>
      <c r="E157" s="93">
        <v>-13.268132354256622</v>
      </c>
      <c r="F157" s="95"/>
      <c r="G157" s="95"/>
      <c r="H157" s="93">
        <v>16.585165442820777</v>
      </c>
      <c r="I157" s="93"/>
      <c r="J157" s="95"/>
      <c r="K157" s="95"/>
      <c r="L157" s="95">
        <v>3.3170330885641555</v>
      </c>
    </row>
    <row r="158" spans="1:12" s="77" customFormat="1">
      <c r="A158" s="259" t="s">
        <v>72</v>
      </c>
      <c r="B158" s="93"/>
      <c r="C158" s="93">
        <v>0</v>
      </c>
      <c r="D158" s="93">
        <v>0</v>
      </c>
      <c r="E158" s="93">
        <v>0</v>
      </c>
      <c r="F158" s="95"/>
      <c r="G158" s="95"/>
      <c r="H158" s="93"/>
      <c r="I158" s="93"/>
      <c r="J158" s="95"/>
      <c r="K158" s="95"/>
      <c r="L158" s="95">
        <v>0</v>
      </c>
    </row>
    <row r="159" spans="1:12" s="77" customFormat="1">
      <c r="A159" s="259" t="s">
        <v>73</v>
      </c>
      <c r="B159" s="93"/>
      <c r="C159" s="93"/>
      <c r="D159" s="93"/>
      <c r="E159" s="93"/>
      <c r="F159" s="95"/>
      <c r="G159" s="95"/>
      <c r="H159" s="93"/>
      <c r="I159" s="93">
        <v>4.2992261392949267</v>
      </c>
      <c r="J159" s="95"/>
      <c r="K159" s="95">
        <v>-3.4393809114359413</v>
      </c>
      <c r="L159" s="95">
        <v>0.85984522785898543</v>
      </c>
    </row>
    <row r="160" spans="1:12" s="77" customFormat="1">
      <c r="A160" s="259" t="s">
        <v>74</v>
      </c>
      <c r="B160" s="93">
        <v>0.74476022441954859</v>
      </c>
      <c r="C160" s="93"/>
      <c r="D160" s="93"/>
      <c r="E160" s="101">
        <v>-0.30954428202923473</v>
      </c>
      <c r="F160" s="95"/>
      <c r="G160" s="95"/>
      <c r="H160" s="93"/>
      <c r="I160" s="93">
        <v>-1.0318142734307825</v>
      </c>
      <c r="J160" s="95"/>
      <c r="K160" s="106">
        <v>1.633705932932072</v>
      </c>
      <c r="L160" s="95">
        <v>1.0371076018916034</v>
      </c>
    </row>
    <row r="161" spans="1:14" s="77" customFormat="1">
      <c r="A161" s="259" t="s">
        <v>75</v>
      </c>
      <c r="B161" s="93">
        <v>0</v>
      </c>
      <c r="C161" s="93"/>
      <c r="D161" s="93">
        <v>0</v>
      </c>
      <c r="E161" s="289">
        <v>0</v>
      </c>
      <c r="F161" s="95"/>
      <c r="G161" s="95"/>
      <c r="H161" s="93">
        <v>5.1017483519633131E-2</v>
      </c>
      <c r="I161" s="93">
        <v>2.3441960447119525</v>
      </c>
      <c r="J161" s="95"/>
      <c r="K161" s="95"/>
      <c r="L161" s="95">
        <v>2.3952135282315856</v>
      </c>
      <c r="N161" s="96"/>
    </row>
    <row r="162" spans="1:14" s="77" customFormat="1">
      <c r="A162" s="259" t="s">
        <v>76</v>
      </c>
      <c r="B162" s="93"/>
      <c r="C162" s="93"/>
      <c r="D162" s="93"/>
      <c r="E162" s="93">
        <v>0.15893900909970565</v>
      </c>
      <c r="F162" s="95"/>
      <c r="G162" s="95"/>
      <c r="H162" s="93"/>
      <c r="I162" s="93">
        <v>3.6734955070724626</v>
      </c>
      <c r="J162" s="95">
        <v>1.077103851085037</v>
      </c>
      <c r="K162" s="95"/>
      <c r="L162" s="95">
        <v>4.9095383672572055</v>
      </c>
    </row>
    <row r="163" spans="1:14" s="77" customFormat="1" ht="15.5">
      <c r="A163" s="260" t="s">
        <v>77</v>
      </c>
      <c r="B163" s="97">
        <v>0.74476022441954859</v>
      </c>
      <c r="C163" s="97">
        <v>0</v>
      </c>
      <c r="D163" s="97">
        <v>0</v>
      </c>
      <c r="E163" s="97">
        <v>-10.414632778335719</v>
      </c>
      <c r="F163" s="97">
        <v>27.345458786417471</v>
      </c>
      <c r="G163" s="97">
        <v>46.775580395528799</v>
      </c>
      <c r="H163" s="97">
        <v>20.039798466318629</v>
      </c>
      <c r="I163" s="97">
        <v>-47.388896582351435</v>
      </c>
      <c r="J163" s="97">
        <v>-4.0890581367272416</v>
      </c>
      <c r="K163" s="97">
        <v>-1.8056749785038693</v>
      </c>
      <c r="L163" s="97">
        <v>31.20733539676618</v>
      </c>
    </row>
    <row r="164" spans="1:14" s="77" customFormat="1" ht="15.5">
      <c r="A164" s="84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</row>
    <row r="165" spans="1:14" s="77" customFormat="1" ht="15.5">
      <c r="A165" s="262" t="s">
        <v>78</v>
      </c>
      <c r="B165" s="93">
        <v>0</v>
      </c>
      <c r="C165" s="95"/>
      <c r="D165" s="93">
        <v>0</v>
      </c>
      <c r="E165" s="93">
        <v>2.6196131084152277</v>
      </c>
      <c r="F165" s="95"/>
      <c r="G165" s="95"/>
      <c r="H165" s="93">
        <v>2.4941614081810051</v>
      </c>
      <c r="I165" s="93">
        <v>15.692222796920932</v>
      </c>
      <c r="J165" s="93">
        <v>0.41499583184774225</v>
      </c>
      <c r="K165" s="93"/>
      <c r="L165" s="95">
        <v>21.220993145364908</v>
      </c>
      <c r="M165" s="99"/>
    </row>
    <row r="166" spans="1:14" s="77" customFormat="1" ht="15.5">
      <c r="A166" s="262" t="s">
        <v>79</v>
      </c>
      <c r="B166" s="107"/>
      <c r="C166" s="107"/>
      <c r="D166" s="93">
        <v>0.93045123347554903</v>
      </c>
      <c r="E166" s="93">
        <v>3.6028639370370201</v>
      </c>
      <c r="F166" s="95"/>
      <c r="G166" s="95"/>
      <c r="H166" s="93">
        <v>4.2184772740988761</v>
      </c>
      <c r="I166" s="93">
        <v>8.1773954821011205</v>
      </c>
      <c r="J166" s="93"/>
      <c r="K166" s="93">
        <v>8.5984522785898534E-2</v>
      </c>
      <c r="L166" s="95">
        <v>17.015172449498465</v>
      </c>
      <c r="M166" s="99"/>
    </row>
    <row r="167" spans="1:14" s="77" customFormat="1">
      <c r="A167" s="259" t="s">
        <v>80</v>
      </c>
      <c r="B167" s="93">
        <v>0</v>
      </c>
      <c r="C167" s="95"/>
      <c r="D167" s="93">
        <v>0.16812387266585074</v>
      </c>
      <c r="E167" s="93">
        <v>2.6677723755245331</v>
      </c>
      <c r="F167" s="95"/>
      <c r="G167" s="95"/>
      <c r="H167" s="93">
        <v>9.1119423382098859</v>
      </c>
      <c r="I167" s="93">
        <v>11.1263428965709</v>
      </c>
      <c r="J167" s="93">
        <v>2.1285056205612118</v>
      </c>
      <c r="K167" s="93"/>
      <c r="L167" s="95">
        <v>25.202687103532384</v>
      </c>
      <c r="M167" s="99"/>
    </row>
    <row r="168" spans="1:14" s="77" customFormat="1">
      <c r="A168" s="259" t="s">
        <v>81</v>
      </c>
      <c r="B168" s="93">
        <v>0</v>
      </c>
      <c r="C168" s="95"/>
      <c r="D168" s="93">
        <v>4.3808247608083023E-2</v>
      </c>
      <c r="E168" s="93">
        <v>0.54387058176361458</v>
      </c>
      <c r="F168" s="95"/>
      <c r="G168" s="95"/>
      <c r="H168" s="93">
        <v>2.4071612194730982</v>
      </c>
      <c r="I168" s="93">
        <v>9.9325738092989031</v>
      </c>
      <c r="J168" s="93">
        <v>1.5391030132649095</v>
      </c>
      <c r="K168" s="93"/>
      <c r="L168" s="95">
        <v>14.466516871408608</v>
      </c>
      <c r="M168" s="99"/>
    </row>
    <row r="169" spans="1:14" s="77" customFormat="1">
      <c r="A169" s="259" t="s">
        <v>82</v>
      </c>
      <c r="B169" s="93">
        <v>2.2137192704974398E-3</v>
      </c>
      <c r="C169" s="95"/>
      <c r="D169" s="93">
        <v>0</v>
      </c>
      <c r="E169" s="93">
        <v>0.69442453716561003</v>
      </c>
      <c r="F169" s="95"/>
      <c r="G169" s="95"/>
      <c r="H169" s="93">
        <v>0.87868740384914412</v>
      </c>
      <c r="I169" s="93">
        <v>0.708817452060579</v>
      </c>
      <c r="J169" s="93">
        <v>6.4536710533781346E-3</v>
      </c>
      <c r="K169" s="93"/>
      <c r="L169" s="95">
        <v>2.2905967833992089</v>
      </c>
      <c r="M169" s="99"/>
    </row>
    <row r="170" spans="1:14" s="77" customFormat="1" ht="15.5">
      <c r="A170" s="260" t="s">
        <v>83</v>
      </c>
      <c r="B170" s="97">
        <v>2.2137192704974398E-3</v>
      </c>
      <c r="C170" s="97">
        <v>0</v>
      </c>
      <c r="D170" s="97">
        <v>1.1423833537494827</v>
      </c>
      <c r="E170" s="97">
        <v>10.128544539906006</v>
      </c>
      <c r="F170" s="97">
        <v>0</v>
      </c>
      <c r="G170" s="97">
        <v>0</v>
      </c>
      <c r="H170" s="97">
        <v>19.110429643812012</v>
      </c>
      <c r="I170" s="97">
        <v>45.637352436952433</v>
      </c>
      <c r="J170" s="97">
        <v>4.0890581367272416</v>
      </c>
      <c r="K170" s="97">
        <v>8.5984522785898534E-2</v>
      </c>
      <c r="L170" s="97">
        <v>80.195966353203573</v>
      </c>
    </row>
    <row r="171" spans="1:14" s="77" customFormat="1">
      <c r="A171" s="259" t="s">
        <v>84</v>
      </c>
      <c r="B171" s="95">
        <v>0</v>
      </c>
      <c r="C171" s="95"/>
      <c r="D171" s="100">
        <v>3.1558487374952491</v>
      </c>
      <c r="E171" s="100">
        <v>0.28608823842971293</v>
      </c>
      <c r="F171" s="95"/>
      <c r="G171" s="95"/>
      <c r="H171" s="95"/>
      <c r="I171" s="95"/>
      <c r="J171" s="95"/>
      <c r="K171" s="95">
        <v>1.7196904557179706</v>
      </c>
      <c r="L171" s="95">
        <v>5.1616274316429323</v>
      </c>
    </row>
    <row r="172" spans="1:14" s="77" customFormat="1" ht="15.5">
      <c r="A172" s="260" t="s">
        <v>85</v>
      </c>
      <c r="B172" s="97">
        <v>2.2137192704974398E-3</v>
      </c>
      <c r="C172" s="97">
        <v>0</v>
      </c>
      <c r="D172" s="97">
        <v>4.2982320912447314</v>
      </c>
      <c r="E172" s="97">
        <v>10.414632778335719</v>
      </c>
      <c r="F172" s="97">
        <v>0</v>
      </c>
      <c r="G172" s="97">
        <v>0</v>
      </c>
      <c r="H172" s="97">
        <v>19.110429643812012</v>
      </c>
      <c r="I172" s="97">
        <v>45.637352436952433</v>
      </c>
      <c r="J172" s="97">
        <v>4.0890581367272416</v>
      </c>
      <c r="K172" s="97">
        <v>1.8056749785038693</v>
      </c>
      <c r="L172" s="97">
        <v>85.3575937848465</v>
      </c>
    </row>
    <row r="173" spans="1:14" s="77" customFormat="1">
      <c r="I173" s="77">
        <f>(I172+I162+I161+I159)*11.63</f>
        <v>650.74816158900944</v>
      </c>
    </row>
  </sheetData>
  <conditionalFormatting sqref="B143:L143">
    <cfRule type="cellIs" dxfId="102" priority="61" operator="equal">
      <formula>0</formula>
    </cfRule>
  </conditionalFormatting>
  <conditionalFormatting sqref="L171">
    <cfRule type="cellIs" dxfId="101" priority="60" operator="equal">
      <formula>0</formula>
    </cfRule>
  </conditionalFormatting>
  <conditionalFormatting sqref="B99:L99">
    <cfRule type="cellIs" dxfId="100" priority="64" operator="equal">
      <formula>0</formula>
    </cfRule>
  </conditionalFormatting>
  <conditionalFormatting sqref="B144:E144 B155:K156 J154:K154 B150:L151 J145:K146 B161:K162 C160:K160 B158:K159 B157:G157 I157:K157 B163:J163 L163 B152:K153 B147:K149 B164:L170 B172:L172 H144:K144 B154:H154">
    <cfRule type="cellIs" dxfId="99" priority="63" operator="equal">
      <formula>0</formula>
    </cfRule>
  </conditionalFormatting>
  <conditionalFormatting sqref="B171:K171">
    <cfRule type="cellIs" dxfId="98" priority="62" operator="equal">
      <formula>0</formula>
    </cfRule>
  </conditionalFormatting>
  <conditionalFormatting sqref="B100:F100 B111:K112 B110:H110 J110:K110 B106:L107 J101:K102 B117:K118 C116:K116 H100:K100 B114:K115 B113:D113 I113:K113 B120:L120 B119:J119 L119 B126:J126 B121:K125 B108:K109 B103:K105 L126 B128:L128 F113:G113">
    <cfRule type="cellIs" dxfId="97" priority="55" operator="equal">
      <formula>0</formula>
    </cfRule>
  </conditionalFormatting>
  <conditionalFormatting sqref="B127:K127">
    <cfRule type="cellIs" dxfId="96" priority="54" operator="equal">
      <formula>0</formula>
    </cfRule>
  </conditionalFormatting>
  <conditionalFormatting sqref="B56:E56 B67:K68 B66:H66 J66:K66 B63:L63 J57:K58 B73:K74 C72:K72 H56:K56 B70:K71 B69:D69 I69:K69 B76:L76 B75:J75 L75 B82:J82 B77:K81 B64:K65 B59:K61 L82 B62:J62 L62 B84:L84 F69:G69">
    <cfRule type="cellIs" dxfId="95" priority="57" operator="equal">
      <formula>0</formula>
    </cfRule>
  </conditionalFormatting>
  <conditionalFormatting sqref="B83:K83">
    <cfRule type="cellIs" dxfId="94" priority="56" operator="equal">
      <formula>0</formula>
    </cfRule>
  </conditionalFormatting>
  <conditionalFormatting sqref="I66">
    <cfRule type="cellIs" dxfId="93" priority="53" operator="equal">
      <formula>0</formula>
    </cfRule>
  </conditionalFormatting>
  <conditionalFormatting sqref="I110">
    <cfRule type="cellIs" dxfId="92" priority="52" operator="equal">
      <formula>0</formula>
    </cfRule>
  </conditionalFormatting>
  <conditionalFormatting sqref="I154">
    <cfRule type="cellIs" dxfId="91" priority="51" operator="equal">
      <formula>0</formula>
    </cfRule>
  </conditionalFormatting>
  <conditionalFormatting sqref="I57:I58">
    <cfRule type="cellIs" dxfId="90" priority="50" operator="equal">
      <formula>0</formula>
    </cfRule>
  </conditionalFormatting>
  <conditionalFormatting sqref="I101:I102">
    <cfRule type="cellIs" dxfId="89" priority="49" operator="equal">
      <formula>0</formula>
    </cfRule>
  </conditionalFormatting>
  <conditionalFormatting sqref="I145:I146">
    <cfRule type="cellIs" dxfId="88" priority="48" operator="equal">
      <formula>0</formula>
    </cfRule>
  </conditionalFormatting>
  <conditionalFormatting sqref="B57:C58 E57:H58">
    <cfRule type="cellIs" dxfId="87" priority="47" operator="equal">
      <formula>0</formula>
    </cfRule>
  </conditionalFormatting>
  <conditionalFormatting sqref="B101:C102 E101:H102">
    <cfRule type="cellIs" dxfId="86" priority="46" operator="equal">
      <formula>0</formula>
    </cfRule>
  </conditionalFormatting>
  <conditionalFormatting sqref="B145:C146 E145:H146">
    <cfRule type="cellIs" dxfId="85" priority="45" operator="equal">
      <formula>0</formula>
    </cfRule>
  </conditionalFormatting>
  <conditionalFormatting sqref="B72">
    <cfRule type="cellIs" dxfId="84" priority="40" operator="equal">
      <formula>0</formula>
    </cfRule>
  </conditionalFormatting>
  <conditionalFormatting sqref="D57:D58">
    <cfRule type="cellIs" dxfId="83" priority="43" operator="equal">
      <formula>0</formula>
    </cfRule>
  </conditionalFormatting>
  <conditionalFormatting sqref="D101:D102">
    <cfRule type="cellIs" dxfId="82" priority="42" operator="equal">
      <formula>0</formula>
    </cfRule>
  </conditionalFormatting>
  <conditionalFormatting sqref="D145:D146">
    <cfRule type="cellIs" dxfId="81" priority="41" operator="equal">
      <formula>0</formula>
    </cfRule>
  </conditionalFormatting>
  <conditionalFormatting sqref="B116">
    <cfRule type="cellIs" dxfId="80" priority="39" operator="equal">
      <formula>0</formula>
    </cfRule>
  </conditionalFormatting>
  <conditionalFormatting sqref="B160">
    <cfRule type="cellIs" dxfId="79" priority="38" operator="equal">
      <formula>0</formula>
    </cfRule>
  </conditionalFormatting>
  <conditionalFormatting sqref="F56">
    <cfRule type="cellIs" dxfId="78" priority="37" operator="equal">
      <formula>0</formula>
    </cfRule>
  </conditionalFormatting>
  <conditionalFormatting sqref="H113">
    <cfRule type="cellIs" dxfId="77" priority="32" operator="equal">
      <formula>0</formula>
    </cfRule>
  </conditionalFormatting>
  <conditionalFormatting sqref="G56">
    <cfRule type="cellIs" dxfId="76" priority="35" operator="equal">
      <formula>0</formula>
    </cfRule>
  </conditionalFormatting>
  <conditionalFormatting sqref="G100">
    <cfRule type="cellIs" dxfId="75" priority="34" operator="equal">
      <formula>0</formula>
    </cfRule>
  </conditionalFormatting>
  <conditionalFormatting sqref="H69">
    <cfRule type="cellIs" dxfId="74" priority="33" operator="equal">
      <formula>0</formula>
    </cfRule>
  </conditionalFormatting>
  <conditionalFormatting sqref="H157">
    <cfRule type="cellIs" dxfId="73" priority="31" operator="equal">
      <formula>0</formula>
    </cfRule>
  </conditionalFormatting>
  <conditionalFormatting sqref="K75">
    <cfRule type="cellIs" dxfId="72" priority="30" operator="equal">
      <formula>0</formula>
    </cfRule>
  </conditionalFormatting>
  <conditionalFormatting sqref="K119">
    <cfRule type="cellIs" dxfId="71" priority="29" operator="equal">
      <formula>0</formula>
    </cfRule>
  </conditionalFormatting>
  <conditionalFormatting sqref="K163">
    <cfRule type="cellIs" dxfId="70" priority="28" operator="equal">
      <formula>0</formula>
    </cfRule>
  </conditionalFormatting>
  <conditionalFormatting sqref="L152:L162">
    <cfRule type="cellIs" dxfId="69" priority="27" operator="equal">
      <formula>0</formula>
    </cfRule>
  </conditionalFormatting>
  <conditionalFormatting sqref="L144:L149">
    <cfRule type="cellIs" dxfId="68" priority="26" operator="equal">
      <formula>0</formula>
    </cfRule>
  </conditionalFormatting>
  <conditionalFormatting sqref="L121:L125">
    <cfRule type="cellIs" dxfId="67" priority="25" operator="equal">
      <formula>0</formula>
    </cfRule>
  </conditionalFormatting>
  <conditionalFormatting sqref="L127">
    <cfRule type="cellIs" dxfId="66" priority="24" operator="equal">
      <formula>0</formula>
    </cfRule>
  </conditionalFormatting>
  <conditionalFormatting sqref="L108:L118">
    <cfRule type="cellIs" dxfId="65" priority="23" operator="equal">
      <formula>0</formula>
    </cfRule>
  </conditionalFormatting>
  <conditionalFormatting sqref="L100:L105">
    <cfRule type="cellIs" dxfId="64" priority="22" operator="equal">
      <formula>0</formula>
    </cfRule>
  </conditionalFormatting>
  <conditionalFormatting sqref="L77:L81">
    <cfRule type="cellIs" dxfId="63" priority="21" operator="equal">
      <formula>0</formula>
    </cfRule>
  </conditionalFormatting>
  <conditionalFormatting sqref="L64:L74">
    <cfRule type="cellIs" dxfId="62" priority="20" operator="equal">
      <formula>0</formula>
    </cfRule>
  </conditionalFormatting>
  <conditionalFormatting sqref="L56:L61">
    <cfRule type="cellIs" dxfId="61" priority="19" operator="equal">
      <formula>0</formula>
    </cfRule>
  </conditionalFormatting>
  <conditionalFormatting sqref="K126">
    <cfRule type="cellIs" dxfId="60" priority="14" operator="equal">
      <formula>0</formula>
    </cfRule>
  </conditionalFormatting>
  <conditionalFormatting sqref="K82">
    <cfRule type="cellIs" dxfId="59" priority="13" operator="equal">
      <formula>0</formula>
    </cfRule>
  </conditionalFormatting>
  <conditionalFormatting sqref="K62">
    <cfRule type="cellIs" dxfId="58" priority="12" operator="equal">
      <formula>0</formula>
    </cfRule>
  </conditionalFormatting>
  <conditionalFormatting sqref="L83">
    <cfRule type="cellIs" dxfId="57" priority="10" operator="equal">
      <formula>0</formula>
    </cfRule>
  </conditionalFormatting>
  <conditionalFormatting sqref="E113">
    <cfRule type="cellIs" dxfId="56" priority="9" operator="equal">
      <formula>0</formula>
    </cfRule>
  </conditionalFormatting>
  <conditionalFormatting sqref="E69">
    <cfRule type="cellIs" dxfId="55" priority="8" operator="equal">
      <formula>0</formula>
    </cfRule>
  </conditionalFormatting>
  <conditionalFormatting sqref="F144">
    <cfRule type="cellIs" dxfId="54" priority="6" operator="equal">
      <formula>0</formula>
    </cfRule>
  </conditionalFormatting>
  <conditionalFormatting sqref="G144">
    <cfRule type="cellIs" dxfId="53" priority="5" operator="equal">
      <formula>0</formula>
    </cfRule>
  </conditionalFormatting>
  <conditionalFormatting sqref="B55:L55">
    <cfRule type="cellIs" dxfId="52" priority="65" operator="equal">
      <formula>0</formula>
    </cfRule>
  </conditionalFormatting>
  <conditionalFormatting sqref="B11:L11">
    <cfRule type="cellIs" dxfId="51" priority="1" operator="equal">
      <formula>0</formula>
    </cfRule>
  </conditionalFormatting>
  <conditionalFormatting sqref="K39">
    <cfRule type="cellIs" dxfId="50" priority="2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BZ129"/>
  <sheetViews>
    <sheetView workbookViewId="0"/>
  </sheetViews>
  <sheetFormatPr baseColWidth="10" defaultColWidth="11.453125" defaultRowHeight="14.5"/>
  <cols>
    <col min="1" max="1" width="52.1796875" style="77" customWidth="1"/>
    <col min="2" max="12" width="15.81640625" style="77" customWidth="1"/>
    <col min="13" max="15" width="11.453125" style="77"/>
    <col min="16" max="16" width="52.1796875" style="77" customWidth="1"/>
    <col min="17" max="26" width="15.7265625" style="77" customWidth="1"/>
    <col min="27" max="78" width="11.453125" style="77"/>
    <col min="79" max="16384" width="11.453125" style="256"/>
  </cols>
  <sheetData>
    <row r="1" spans="1:12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2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2" s="77" customFormat="1" ht="15.5">
      <c r="A7" s="90" t="s">
        <v>87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2" s="77" customFormat="1" ht="29">
      <c r="A10" s="543"/>
      <c r="B10" s="544" t="s">
        <v>42</v>
      </c>
      <c r="C10" s="544" t="s">
        <v>52</v>
      </c>
      <c r="D10" s="544" t="s">
        <v>53</v>
      </c>
      <c r="E10" s="544" t="s">
        <v>32</v>
      </c>
      <c r="F10" s="544" t="s">
        <v>20</v>
      </c>
      <c r="G10" s="544" t="s">
        <v>55</v>
      </c>
      <c r="H10" s="544" t="s">
        <v>56</v>
      </c>
      <c r="I10" s="544" t="s">
        <v>57</v>
      </c>
      <c r="J10" s="544" t="s">
        <v>58</v>
      </c>
      <c r="K10" s="544"/>
      <c r="L10" s="544" t="s">
        <v>10</v>
      </c>
    </row>
    <row r="11" spans="1:12" s="77" customFormat="1" ht="15.5">
      <c r="A11" s="545"/>
      <c r="B11" s="546"/>
      <c r="C11" s="546"/>
      <c r="D11" s="546"/>
      <c r="E11" s="546"/>
      <c r="F11" s="546"/>
      <c r="G11" s="546"/>
      <c r="H11" s="546"/>
      <c r="I11" s="546"/>
      <c r="J11" s="546"/>
      <c r="K11" s="546"/>
      <c r="L11" s="546"/>
    </row>
    <row r="12" spans="1:12" s="77" customFormat="1">
      <c r="A12" s="547" t="s">
        <v>59</v>
      </c>
      <c r="B12" s="548">
        <f>'bilan énergie format SDS'!B98</f>
        <v>0</v>
      </c>
      <c r="C12" s="548">
        <f>'bilan énergie format SDS'!C98</f>
        <v>0.99</v>
      </c>
      <c r="D12" s="548">
        <f>'bilan énergie format SDS'!D98</f>
        <v>0</v>
      </c>
      <c r="E12" s="548">
        <f>'bilan énergie format SDS'!E98</f>
        <v>1.9114359415305201E-2</v>
      </c>
      <c r="F12" s="548">
        <f>'bilan énergie format SDS'!F98</f>
        <v>107.5</v>
      </c>
      <c r="G12" s="548">
        <f>'bilan énergie format SDS'!G98</f>
        <v>14.275999999999998</v>
      </c>
      <c r="H12" s="548">
        <f>'bilan énergie format SDS'!H98</f>
        <v>21.5</v>
      </c>
      <c r="I12" s="548">
        <f>'bilan énergie format SDS'!I98</f>
        <v>0</v>
      </c>
      <c r="J12" s="548">
        <f>'bilan énergie format SDS'!J98</f>
        <v>0</v>
      </c>
      <c r="K12" s="548" t="e">
        <f>'bilan énergie format SDS'!#REF!</f>
        <v>#REF!</v>
      </c>
      <c r="L12" s="548">
        <f>'bilan énergie format SDS'!K98</f>
        <v>144.2851143594153</v>
      </c>
    </row>
    <row r="13" spans="1:12" s="77" customFormat="1">
      <c r="A13" s="547" t="s">
        <v>60</v>
      </c>
      <c r="B13" s="548">
        <f>'bilan énergie format SDS'!B99</f>
        <v>4.3835833936696398</v>
      </c>
      <c r="C13" s="548">
        <f>'bilan énergie format SDS'!C99</f>
        <v>45.11</v>
      </c>
      <c r="D13" s="548">
        <f>'bilan énergie format SDS'!D99</f>
        <v>27.823369679704001</v>
      </c>
      <c r="E13" s="548">
        <f>'bilan énergie format SDS'!E99</f>
        <v>36.059223088511303</v>
      </c>
      <c r="F13" s="548">
        <f>'bilan énergie format SDS'!F99</f>
        <v>0</v>
      </c>
      <c r="G13" s="548">
        <f>'bilan énergie format SDS'!G99</f>
        <v>0</v>
      </c>
      <c r="H13" s="548">
        <f>'bilan énergie format SDS'!H99</f>
        <v>0</v>
      </c>
      <c r="I13" s="548">
        <f>'bilan énergie format SDS'!I99</f>
        <v>0</v>
      </c>
      <c r="J13" s="548">
        <f>'bilan énergie format SDS'!J99</f>
        <v>0</v>
      </c>
      <c r="K13" s="548" t="e">
        <f>'bilan énergie format SDS'!#REF!</f>
        <v>#REF!</v>
      </c>
      <c r="L13" s="548">
        <f>'bilan énergie format SDS'!K99</f>
        <v>113.376176161885</v>
      </c>
    </row>
    <row r="14" spans="1:12" s="77" customFormat="1">
      <c r="A14" s="547" t="s">
        <v>61</v>
      </c>
      <c r="B14" s="548">
        <f>'bilan énergie format SDS'!B100</f>
        <v>0</v>
      </c>
      <c r="C14" s="548">
        <f>'bilan énergie format SDS'!C100</f>
        <v>0</v>
      </c>
      <c r="D14" s="548">
        <f>'bilan énergie format SDS'!D100</f>
        <v>0</v>
      </c>
      <c r="E14" s="548">
        <f>'bilan énergie format SDS'!E100</f>
        <v>0</v>
      </c>
      <c r="F14" s="548">
        <f>'bilan énergie format SDS'!F100</f>
        <v>0</v>
      </c>
      <c r="G14" s="548">
        <f>'bilan énergie format SDS'!G100</f>
        <v>0</v>
      </c>
      <c r="H14" s="548">
        <f>'bilan énergie format SDS'!H100</f>
        <v>-2.5426065513161702</v>
      </c>
      <c r="I14" s="548">
        <f>'bilan énergie format SDS'!I100</f>
        <v>-5.7399940155349327</v>
      </c>
      <c r="J14" s="548">
        <f>'bilan énergie format SDS'!J100</f>
        <v>0</v>
      </c>
      <c r="K14" s="548" t="e">
        <f>'bilan énergie format SDS'!#REF!</f>
        <v>#REF!</v>
      </c>
      <c r="L14" s="548">
        <f>'bilan énergie format SDS'!K100</f>
        <v>-10.037671418097901</v>
      </c>
    </row>
    <row r="15" spans="1:12" s="77" customFormat="1">
      <c r="A15" s="547" t="s">
        <v>62</v>
      </c>
      <c r="B15" s="548">
        <f>'bilan énergie format SDS'!B101</f>
        <v>0</v>
      </c>
      <c r="C15" s="548">
        <f>'bilan énergie format SDS'!C101</f>
        <v>0</v>
      </c>
      <c r="D15" s="548">
        <f>'bilan énergie format SDS'!D101</f>
        <v>-1.4</v>
      </c>
      <c r="E15" s="548">
        <f>'bilan énergie format SDS'!E101</f>
        <v>0</v>
      </c>
      <c r="F15" s="548">
        <f>'bilan énergie format SDS'!F101</f>
        <v>0</v>
      </c>
      <c r="G15" s="548">
        <f>'bilan énergie format SDS'!G101</f>
        <v>0</v>
      </c>
      <c r="H15" s="548">
        <f>'bilan énergie format SDS'!H101</f>
        <v>0</v>
      </c>
      <c r="I15" s="548">
        <f>'bilan énergie format SDS'!I101</f>
        <v>0</v>
      </c>
      <c r="J15" s="548">
        <f>'bilan énergie format SDS'!J101</f>
        <v>0</v>
      </c>
      <c r="K15" s="548" t="e">
        <f>'bilan énergie format SDS'!#REF!</f>
        <v>#REF!</v>
      </c>
      <c r="L15" s="548">
        <f>'bilan énergie format SDS'!K101</f>
        <v>20.100000000000001</v>
      </c>
    </row>
    <row r="16" spans="1:12" s="77" customFormat="1">
      <c r="A16" s="547" t="s">
        <v>63</v>
      </c>
      <c r="B16" s="548">
        <f>'bilan énergie format SDS'!B102</f>
        <v>0</v>
      </c>
      <c r="C16" s="548">
        <f>'bilan énergie format SDS'!C102</f>
        <v>0</v>
      </c>
      <c r="D16" s="548">
        <f>'bilan énergie format SDS'!D102</f>
        <v>-6.8007692346473698</v>
      </c>
      <c r="E16" s="548">
        <f>'bilan énergie format SDS'!E102</f>
        <v>0</v>
      </c>
      <c r="F16" s="548">
        <f>'bilan énergie format SDS'!F102</f>
        <v>0</v>
      </c>
      <c r="G16" s="548">
        <f>'bilan énergie format SDS'!G102</f>
        <v>0</v>
      </c>
      <c r="H16" s="548">
        <f>'bilan énergie format SDS'!H102</f>
        <v>0</v>
      </c>
      <c r="I16" s="548">
        <f>'bilan énergie format SDS'!I102</f>
        <v>0</v>
      </c>
      <c r="J16" s="548">
        <f>'bilan énergie format SDS'!J102</f>
        <v>0</v>
      </c>
      <c r="K16" s="548" t="e">
        <f>'bilan énergie format SDS'!#REF!</f>
        <v>#REF!</v>
      </c>
      <c r="L16" s="548">
        <f>'bilan énergie format SDS'!K102</f>
        <v>-6.8007692346473698</v>
      </c>
    </row>
    <row r="17" spans="1:12" s="77" customFormat="1">
      <c r="A17" s="547" t="s">
        <v>64</v>
      </c>
      <c r="B17" s="548">
        <f>'bilan énergie format SDS'!B103</f>
        <v>0</v>
      </c>
      <c r="C17" s="548">
        <f>'bilan énergie format SDS'!C103</f>
        <v>0</v>
      </c>
      <c r="D17" s="548">
        <f>'bilan énergie format SDS'!D103</f>
        <v>0</v>
      </c>
      <c r="E17" s="548">
        <f>'bilan énergie format SDS'!E103</f>
        <v>0</v>
      </c>
      <c r="F17" s="548">
        <f>'bilan énergie format SDS'!F103</f>
        <v>0</v>
      </c>
      <c r="G17" s="548">
        <f>'bilan énergie format SDS'!G103</f>
        <v>0</v>
      </c>
      <c r="H17" s="548">
        <f>'bilan énergie format SDS'!H103</f>
        <v>0</v>
      </c>
      <c r="I17" s="548">
        <f>'bilan énergie format SDS'!I103</f>
        <v>0</v>
      </c>
      <c r="J17" s="548">
        <f>'bilan énergie format SDS'!J103</f>
        <v>0</v>
      </c>
      <c r="K17" s="548" t="e">
        <f>'bilan énergie format SDS'!#REF!</f>
        <v>#REF!</v>
      </c>
      <c r="L17" s="548">
        <f>'bilan énergie format SDS'!K103</f>
        <v>0</v>
      </c>
    </row>
    <row r="18" spans="1:12" s="77" customFormat="1" ht="15.5">
      <c r="A18" s="550" t="s">
        <v>65</v>
      </c>
      <c r="B18" s="548">
        <f>'bilan énergie format SDS'!B104</f>
        <v>4.3835833936696398</v>
      </c>
      <c r="C18" s="548">
        <f>'bilan énergie format SDS'!C104</f>
        <v>46.1</v>
      </c>
      <c r="D18" s="548">
        <f>'bilan énergie format SDS'!D104</f>
        <v>19.622600445056602</v>
      </c>
      <c r="E18" s="548">
        <f>'bilan énergie format SDS'!E104</f>
        <v>36.0783374479266</v>
      </c>
      <c r="F18" s="548">
        <f>'bilan énergie format SDS'!F104</f>
        <v>0</v>
      </c>
      <c r="G18" s="548">
        <f>'bilan énergie format SDS'!G104</f>
        <v>0</v>
      </c>
      <c r="H18" s="548">
        <f>'bilan énergie format SDS'!H104</f>
        <v>18.957393448683831</v>
      </c>
      <c r="I18" s="548">
        <f>'bilan énergie format SDS'!I104</f>
        <v>-5.7399940155349327</v>
      </c>
      <c r="J18" s="548">
        <f>'bilan énergie format SDS'!J104</f>
        <v>0</v>
      </c>
      <c r="K18" s="548" t="e">
        <f>'bilan énergie format SDS'!#REF!</f>
        <v>#REF!</v>
      </c>
      <c r="L18" s="548">
        <f>'bilan énergie format SDS'!K104</f>
        <v>139.14684986855499</v>
      </c>
    </row>
    <row r="19" spans="1:12" s="77" customFormat="1" ht="15.5">
      <c r="A19" s="552"/>
      <c r="B19" s="548">
        <f>'bilan énergie format SDS'!B105</f>
        <v>0</v>
      </c>
      <c r="C19" s="548">
        <f>'bilan énergie format SDS'!C105</f>
        <v>0</v>
      </c>
      <c r="D19" s="548">
        <f>'bilan énergie format SDS'!D105</f>
        <v>0</v>
      </c>
      <c r="E19" s="548">
        <f>'bilan énergie format SDS'!E105</f>
        <v>0</v>
      </c>
      <c r="F19" s="548">
        <f>'bilan énergie format SDS'!F105</f>
        <v>0</v>
      </c>
      <c r="G19" s="548">
        <f>'bilan énergie format SDS'!G105</f>
        <v>0</v>
      </c>
      <c r="H19" s="548">
        <f>'bilan énergie format SDS'!H105</f>
        <v>0</v>
      </c>
      <c r="I19" s="548">
        <f>'bilan énergie format SDS'!I105</f>
        <v>0</v>
      </c>
      <c r="J19" s="548">
        <f>'bilan énergie format SDS'!J105</f>
        <v>0</v>
      </c>
      <c r="K19" s="548" t="e">
        <f>'bilan énergie format SDS'!#REF!</f>
        <v>#REF!</v>
      </c>
      <c r="L19" s="548">
        <f>'bilan énergie format SDS'!K105</f>
        <v>0</v>
      </c>
    </row>
    <row r="20" spans="1:12" s="77" customFormat="1">
      <c r="A20" s="547" t="s">
        <v>66</v>
      </c>
      <c r="B20" s="548">
        <f>'bilan énergie format SDS'!B106</f>
        <v>0</v>
      </c>
      <c r="C20" s="548">
        <f>'bilan énergie format SDS'!C106</f>
        <v>0</v>
      </c>
      <c r="D20" s="548">
        <f>'bilan énergie format SDS'!D106</f>
        <v>0</v>
      </c>
      <c r="E20" s="548">
        <f>'bilan énergie format SDS'!E106</f>
        <v>0</v>
      </c>
      <c r="F20" s="548">
        <f>'bilan énergie format SDS'!F106</f>
        <v>0</v>
      </c>
      <c r="G20" s="548">
        <f>'bilan énergie format SDS'!G106</f>
        <v>0</v>
      </c>
      <c r="H20" s="548">
        <f>'bilan énergie format SDS'!H106</f>
        <v>0</v>
      </c>
      <c r="I20" s="548">
        <f>'bilan énergie format SDS'!I106</f>
        <v>0</v>
      </c>
      <c r="J20" s="548">
        <f>'bilan énergie format SDS'!J106</f>
        <v>0</v>
      </c>
      <c r="K20" s="548" t="e">
        <f>'bilan énergie format SDS'!#REF!</f>
        <v>#REF!</v>
      </c>
      <c r="L20" s="548">
        <f>'bilan énergie format SDS'!K106</f>
        <v>0</v>
      </c>
    </row>
    <row r="21" spans="1:12" s="77" customFormat="1">
      <c r="A21" s="547" t="s">
        <v>67</v>
      </c>
      <c r="B21" s="548">
        <f>'bilan énergie format SDS'!B107</f>
        <v>0</v>
      </c>
      <c r="C21" s="548">
        <f>'bilan énergie format SDS'!C107</f>
        <v>0</v>
      </c>
      <c r="D21" s="548">
        <f>'bilan énergie format SDS'!D107</f>
        <v>0</v>
      </c>
      <c r="E21" s="548">
        <f>'bilan énergie format SDS'!E107</f>
        <v>0</v>
      </c>
      <c r="F21" s="548">
        <f>'bilan énergie format SDS'!F107</f>
        <v>0</v>
      </c>
      <c r="G21" s="548">
        <f>'bilan énergie format SDS'!G107</f>
        <v>0</v>
      </c>
      <c r="H21" s="548">
        <f>'bilan énergie format SDS'!H107</f>
        <v>0</v>
      </c>
      <c r="I21" s="548">
        <f>'bilan énergie format SDS'!I107</f>
        <v>0</v>
      </c>
      <c r="J21" s="548">
        <f>'bilan énergie format SDS'!J107</f>
        <v>0</v>
      </c>
      <c r="K21" s="548" t="e">
        <f>'bilan énergie format SDS'!#REF!</f>
        <v>#REF!</v>
      </c>
      <c r="L21" s="548">
        <f>'bilan énergie format SDS'!K107</f>
        <v>0</v>
      </c>
    </row>
    <row r="22" spans="1:12" s="77" customFormat="1">
      <c r="A22" s="547" t="s">
        <v>68</v>
      </c>
      <c r="B22" s="548">
        <f>'bilan énergie format SDS'!B108</f>
        <v>2.5795356835769558</v>
      </c>
      <c r="C22" s="548">
        <f>'bilan énergie format SDS'!C108</f>
        <v>0</v>
      </c>
      <c r="D22" s="548">
        <f>'bilan énergie format SDS'!D108</f>
        <v>0</v>
      </c>
      <c r="E22" s="548">
        <f>'bilan énergie format SDS'!E108</f>
        <v>4.1369911906422878</v>
      </c>
      <c r="F22" s="548">
        <f>'bilan énergie format SDS'!F108</f>
        <v>107.5</v>
      </c>
      <c r="G22" s="548">
        <f>'bilan énergie format SDS'!G108</f>
        <v>14.275999999999998</v>
      </c>
      <c r="H22" s="548">
        <f>'bilan énergie format SDS'!H108</f>
        <v>3.4393809114359413</v>
      </c>
      <c r="I22" s="548">
        <f>'bilan énergie format SDS'!I108</f>
        <v>-51.504729148753221</v>
      </c>
      <c r="J22" s="548">
        <f>'bilan énergie format SDS'!J108</f>
        <v>0</v>
      </c>
      <c r="K22" s="548" t="e">
        <f>'bilan énergie format SDS'!#REF!</f>
        <v>#REF!</v>
      </c>
      <c r="L22" s="548">
        <f>'bilan énergie format SDS'!K108</f>
        <v>80.427178636901942</v>
      </c>
    </row>
    <row r="23" spans="1:12" s="77" customFormat="1">
      <c r="A23" s="547" t="s">
        <v>69</v>
      </c>
      <c r="B23" s="548">
        <f>'bilan énergie format SDS'!B109</f>
        <v>0</v>
      </c>
      <c r="C23" s="548">
        <f>'bilan énergie format SDS'!C109</f>
        <v>0</v>
      </c>
      <c r="D23" s="548">
        <f>'bilan énergie format SDS'!D109</f>
        <v>0</v>
      </c>
      <c r="E23" s="548">
        <f>'bilan énergie format SDS'!E109</f>
        <v>0</v>
      </c>
      <c r="F23" s="548">
        <f>'bilan énergie format SDS'!F109</f>
        <v>0</v>
      </c>
      <c r="G23" s="548">
        <f>'bilan énergie format SDS'!G109</f>
        <v>0</v>
      </c>
      <c r="H23" s="548">
        <f>'bilan énergie format SDS'!H109</f>
        <v>0</v>
      </c>
      <c r="I23" s="548">
        <f>'bilan énergie format SDS'!I109</f>
        <v>0</v>
      </c>
      <c r="J23" s="548">
        <f>'bilan énergie format SDS'!J109</f>
        <v>0</v>
      </c>
      <c r="K23" s="548" t="e">
        <f>'bilan énergie format SDS'!#REF!</f>
        <v>#REF!</v>
      </c>
      <c r="L23" s="548">
        <f>'bilan énergie format SDS'!K109</f>
        <v>0</v>
      </c>
    </row>
    <row r="24" spans="1:12" s="77" customFormat="1">
      <c r="A24" s="547" t="s">
        <v>70</v>
      </c>
      <c r="B24" s="548">
        <f>'bilan énergie format SDS'!B110</f>
        <v>0.15863413858007</v>
      </c>
      <c r="C24" s="548">
        <f>'bilan énergie format SDS'!C110</f>
        <v>0</v>
      </c>
      <c r="D24" s="548">
        <f>'bilan énergie format SDS'!D110</f>
        <v>3.27594604359982E-2</v>
      </c>
      <c r="E24" s="548">
        <f>'bilan énergie format SDS'!E110</f>
        <v>1.3935858860636501</v>
      </c>
      <c r="F24" s="548">
        <f>'bilan énergie format SDS'!F110</f>
        <v>0</v>
      </c>
      <c r="G24" s="548">
        <f>'bilan énergie format SDS'!G110</f>
        <v>0</v>
      </c>
      <c r="H24" s="548">
        <f>'bilan énergie format SDS'!H110</f>
        <v>1.30219575327652</v>
      </c>
      <c r="I24" s="548">
        <f>'bilan énergie format SDS'!I110</f>
        <v>0</v>
      </c>
      <c r="J24" s="548">
        <f>'bilan énergie format SDS'!J110</f>
        <v>2.6193325616924099</v>
      </c>
      <c r="K24" s="548" t="e">
        <f>'bilan énergie format SDS'!#REF!</f>
        <v>#REF!</v>
      </c>
      <c r="L24" s="548">
        <f>'bilan énergie format SDS'!K110</f>
        <v>5.5065078000486398</v>
      </c>
    </row>
    <row r="25" spans="1:12" s="77" customFormat="1">
      <c r="A25" s="547" t="s">
        <v>71</v>
      </c>
      <c r="B25" s="548">
        <f>'bilan énergie format SDS'!B111</f>
        <v>0</v>
      </c>
      <c r="C25" s="548">
        <f>'bilan énergie format SDS'!C111</f>
        <v>0</v>
      </c>
      <c r="D25" s="548">
        <f>'bilan énergie format SDS'!D111</f>
        <v>0</v>
      </c>
      <c r="E25" s="548">
        <f>'bilan énergie format SDS'!E111</f>
        <v>0</v>
      </c>
      <c r="F25" s="548">
        <f>'bilan énergie format SDS'!F111</f>
        <v>0</v>
      </c>
      <c r="G25" s="548">
        <f>'bilan énergie format SDS'!G111</f>
        <v>0</v>
      </c>
      <c r="H25" s="548">
        <f>'bilan énergie format SDS'!H111</f>
        <v>0</v>
      </c>
      <c r="I25" s="548">
        <f>'bilan énergie format SDS'!I111</f>
        <v>0</v>
      </c>
      <c r="J25" s="548">
        <f>'bilan énergie format SDS'!J111</f>
        <v>0</v>
      </c>
      <c r="K25" s="548" t="e">
        <f>'bilan énergie format SDS'!#REF!</f>
        <v>#REF!</v>
      </c>
      <c r="L25" s="548">
        <f>'bilan énergie format SDS'!K111</f>
        <v>0</v>
      </c>
    </row>
    <row r="26" spans="1:12" s="77" customFormat="1">
      <c r="A26" s="547" t="s">
        <v>72</v>
      </c>
      <c r="B26" s="548">
        <f>'bilan énergie format SDS'!B112</f>
        <v>0</v>
      </c>
      <c r="C26" s="548">
        <f>'bilan énergie format SDS'!C112</f>
        <v>46.1</v>
      </c>
      <c r="D26" s="548">
        <f>'bilan énergie format SDS'!D112</f>
        <v>-44</v>
      </c>
      <c r="E26" s="548">
        <f>'bilan énergie format SDS'!E112</f>
        <v>0.7</v>
      </c>
      <c r="F26" s="548">
        <f>'bilan énergie format SDS'!F112</f>
        <v>0</v>
      </c>
      <c r="G26" s="548">
        <f>'bilan énergie format SDS'!G112</f>
        <v>0</v>
      </c>
      <c r="H26" s="548">
        <f>'bilan énergie format SDS'!H112</f>
        <v>0</v>
      </c>
      <c r="I26" s="548">
        <f>'bilan énergie format SDS'!I112</f>
        <v>0</v>
      </c>
      <c r="J26" s="548">
        <f>'bilan énergie format SDS'!J112</f>
        <v>0</v>
      </c>
      <c r="K26" s="548" t="e">
        <f>'bilan énergie format SDS'!#REF!</f>
        <v>#REF!</v>
      </c>
      <c r="L26" s="548">
        <f>'bilan énergie format SDS'!K112</f>
        <v>2.8</v>
      </c>
    </row>
    <row r="27" spans="1:12" s="77" customFormat="1">
      <c r="A27" s="547"/>
      <c r="B27" s="548" t="e">
        <f>'bilan énergie format SDS'!#REF!</f>
        <v>#REF!</v>
      </c>
      <c r="C27" s="548" t="e">
        <f>'bilan énergie format SDS'!#REF!</f>
        <v>#REF!</v>
      </c>
      <c r="D27" s="548" t="e">
        <f>'bilan énergie format SDS'!#REF!</f>
        <v>#REF!</v>
      </c>
      <c r="E27" s="548" t="e">
        <f>'bilan énergie format SDS'!#REF!</f>
        <v>#REF!</v>
      </c>
      <c r="F27" s="548" t="e">
        <f>'bilan énergie format SDS'!#REF!</f>
        <v>#REF!</v>
      </c>
      <c r="G27" s="548" t="e">
        <f>'bilan énergie format SDS'!#REF!</f>
        <v>#REF!</v>
      </c>
      <c r="H27" s="548" t="e">
        <f>'bilan énergie format SDS'!#REF!</f>
        <v>#REF!</v>
      </c>
      <c r="I27" s="548" t="e">
        <f>'bilan énergie format SDS'!#REF!</f>
        <v>#REF!</v>
      </c>
      <c r="J27" s="548" t="e">
        <f>'bilan énergie format SDS'!#REF!</f>
        <v>#REF!</v>
      </c>
      <c r="K27" s="548" t="e">
        <f>'bilan énergie format SDS'!#REF!</f>
        <v>#REF!</v>
      </c>
      <c r="L27" s="548" t="e">
        <f>'bilan énergie format SDS'!#REF!</f>
        <v>#REF!</v>
      </c>
    </row>
    <row r="28" spans="1:12" s="77" customFormat="1">
      <c r="A28" s="547" t="s">
        <v>74</v>
      </c>
      <c r="B28" s="548">
        <f>'bilan énergie format SDS'!B113</f>
        <v>2.7919999999999998</v>
      </c>
      <c r="C28" s="548">
        <f>'bilan énergie format SDS'!C113</f>
        <v>0</v>
      </c>
      <c r="D28" s="548">
        <f>'bilan énergie format SDS'!D113</f>
        <v>0</v>
      </c>
      <c r="E28" s="548">
        <f>'bilan énergie format SDS'!E113</f>
        <v>0</v>
      </c>
      <c r="F28" s="548">
        <f>'bilan énergie format SDS'!F113</f>
        <v>0</v>
      </c>
      <c r="G28" s="548">
        <f>'bilan énergie format SDS'!G113</f>
        <v>0</v>
      </c>
      <c r="H28" s="548">
        <f>'bilan énergie format SDS'!H113</f>
        <v>0</v>
      </c>
      <c r="I28" s="548">
        <f>'bilan énergie format SDS'!I113</f>
        <v>0</v>
      </c>
      <c r="J28" s="548">
        <f>'bilan énergie format SDS'!J113</f>
        <v>0</v>
      </c>
      <c r="K28" s="548" t="e">
        <f>'bilan énergie format SDS'!#REF!</f>
        <v>#REF!</v>
      </c>
      <c r="L28" s="548">
        <f>'bilan énergie format SDS'!K113</f>
        <v>2.7919999999999998</v>
      </c>
    </row>
    <row r="29" spans="1:12" s="77" customFormat="1">
      <c r="A29" s="547" t="s">
        <v>75</v>
      </c>
      <c r="B29" s="548">
        <f>'bilan énergie format SDS'!B114</f>
        <v>1.0374988057705199</v>
      </c>
      <c r="C29" s="548">
        <f>'bilan énergie format SDS'!C114</f>
        <v>0</v>
      </c>
      <c r="D29" s="548">
        <f>'bilan énergie format SDS'!D114</f>
        <v>1.7969999999999999</v>
      </c>
      <c r="E29" s="548">
        <f>'bilan énergie format SDS'!E114</f>
        <v>1.2420767288043999</v>
      </c>
      <c r="F29" s="548">
        <f>'bilan énergie format SDS'!F114</f>
        <v>0</v>
      </c>
      <c r="G29" s="548">
        <f>'bilan énergie format SDS'!G114</f>
        <v>0</v>
      </c>
      <c r="H29" s="548">
        <f>'bilan énergie format SDS'!H114</f>
        <v>5.1017483519633103E-2</v>
      </c>
      <c r="I29" s="548">
        <f>'bilan énergie format SDS'!I114</f>
        <v>2.7822871883060998</v>
      </c>
      <c r="J29" s="548">
        <f>'bilan énergie format SDS'!J114</f>
        <v>0</v>
      </c>
      <c r="K29" s="548" t="e">
        <f>'bilan énergie format SDS'!#REF!</f>
        <v>#REF!</v>
      </c>
      <c r="L29" s="548">
        <f>'bilan énergie format SDS'!K114</f>
        <v>6.9098802064006604</v>
      </c>
    </row>
    <row r="30" spans="1:12" s="77" customFormat="1">
      <c r="A30" s="547" t="s">
        <v>76</v>
      </c>
      <c r="B30" s="548">
        <f>'bilan énergie format SDS'!B115</f>
        <v>0</v>
      </c>
      <c r="C30" s="548">
        <f>'bilan énergie format SDS'!C115</f>
        <v>0</v>
      </c>
      <c r="D30" s="548">
        <f>'bilan énergie format SDS'!D115</f>
        <v>0</v>
      </c>
      <c r="E30" s="548">
        <f>'bilan énergie format SDS'!E115</f>
        <v>0.45324533266530498</v>
      </c>
      <c r="F30" s="548">
        <f>'bilan énergie format SDS'!F115</f>
        <v>0</v>
      </c>
      <c r="G30" s="548">
        <f>'bilan énergie format SDS'!G115</f>
        <v>0</v>
      </c>
      <c r="H30" s="548">
        <f>'bilan énergie format SDS'!H115</f>
        <v>0</v>
      </c>
      <c r="I30" s="548">
        <f>'bilan énergie format SDS'!I115</f>
        <v>3.3174308475929899</v>
      </c>
      <c r="J30" s="548">
        <f>'bilan énergie format SDS'!J115</f>
        <v>0</v>
      </c>
      <c r="K30" s="548" t="e">
        <f>'bilan énergie format SDS'!#REF!</f>
        <v>#REF!</v>
      </c>
      <c r="L30" s="548">
        <f>'bilan énergie format SDS'!K115</f>
        <v>3.77067618025829</v>
      </c>
    </row>
    <row r="31" spans="1:12" s="77" customFormat="1" ht="15.5">
      <c r="A31" s="550" t="s">
        <v>77</v>
      </c>
      <c r="B31" s="548">
        <f>'bilan énergie format SDS'!B116</f>
        <v>3.98813294435059</v>
      </c>
      <c r="C31" s="548">
        <f>'bilan énergie format SDS'!C116</f>
        <v>46.1</v>
      </c>
      <c r="D31" s="548">
        <f>'bilan énergie format SDS'!D116</f>
        <v>-42.170240539563999</v>
      </c>
      <c r="E31" s="548">
        <f>'bilan énergie format SDS'!E116</f>
        <v>8.7323877629304505</v>
      </c>
      <c r="F31" s="548">
        <f>'bilan énergie format SDS'!F116</f>
        <v>0</v>
      </c>
      <c r="G31" s="548">
        <f>'bilan énergie format SDS'!G116</f>
        <v>0</v>
      </c>
      <c r="H31" s="548">
        <f>'bilan énergie format SDS'!H116</f>
        <v>1.35321323679615</v>
      </c>
      <c r="I31" s="548">
        <f>'bilan énergie format SDS'!I116</f>
        <v>-45.405011112854133</v>
      </c>
      <c r="J31" s="548">
        <f>'bilan énergie format SDS'!J116</f>
        <v>2.6193325616924099</v>
      </c>
      <c r="K31" s="548" t="e">
        <f>'bilan énergie format SDS'!#REF!</f>
        <v>#REF!</v>
      </c>
      <c r="L31" s="548">
        <f>'bilan énergie format SDS'!K116</f>
        <v>-26.537255997895301</v>
      </c>
    </row>
    <row r="32" spans="1:12" s="77" customFormat="1" ht="15.5">
      <c r="A32" s="552"/>
      <c r="B32" s="548">
        <f>'bilan énergie format SDS'!B117</f>
        <v>0</v>
      </c>
      <c r="C32" s="548">
        <f>'bilan énergie format SDS'!C117</f>
        <v>0</v>
      </c>
      <c r="D32" s="548">
        <f>'bilan énergie format SDS'!D117</f>
        <v>0</v>
      </c>
      <c r="E32" s="548">
        <f>'bilan énergie format SDS'!E117</f>
        <v>0</v>
      </c>
      <c r="F32" s="548">
        <f>'bilan énergie format SDS'!F117</f>
        <v>0</v>
      </c>
      <c r="G32" s="548">
        <f>'bilan énergie format SDS'!G117</f>
        <v>0</v>
      </c>
      <c r="H32" s="548">
        <f>'bilan énergie format SDS'!H117</f>
        <v>0</v>
      </c>
      <c r="I32" s="548">
        <f>'bilan énergie format SDS'!I117</f>
        <v>0</v>
      </c>
      <c r="J32" s="548">
        <f>'bilan énergie format SDS'!J117</f>
        <v>0</v>
      </c>
      <c r="K32" s="548" t="e">
        <f>'bilan énergie format SDS'!#REF!</f>
        <v>#REF!</v>
      </c>
      <c r="L32" s="548">
        <f>'bilan énergie format SDS'!K117</f>
        <v>0</v>
      </c>
    </row>
    <row r="33" spans="1:13" s="77" customFormat="1" ht="15.5">
      <c r="A33" s="555" t="s">
        <v>78</v>
      </c>
      <c r="B33" s="548">
        <f>'bilan énergie format SDS'!B118</f>
        <v>4.9709264942829498E-2</v>
      </c>
      <c r="C33" s="548">
        <f>'bilan énergie format SDS'!C118</f>
        <v>0</v>
      </c>
      <c r="D33" s="548">
        <f>'bilan énergie format SDS'!D118</f>
        <v>1.0148094604778199</v>
      </c>
      <c r="E33" s="548">
        <f>'bilan énergie format SDS'!E118</f>
        <v>11.4087101159338</v>
      </c>
      <c r="F33" s="548">
        <f>'bilan énergie format SDS'!F118</f>
        <v>0</v>
      </c>
      <c r="G33" s="548">
        <f>'bilan énergie format SDS'!G118</f>
        <v>0</v>
      </c>
      <c r="H33" s="548">
        <f>'bilan énergie format SDS'!H118</f>
        <v>3.0015800220994202</v>
      </c>
      <c r="I33" s="548">
        <f>'bilan énergie format SDS'!I118</f>
        <v>10.545152160228</v>
      </c>
      <c r="J33" s="548">
        <f>'bilan énergie format SDS'!J118</f>
        <v>0.73363472365086702</v>
      </c>
      <c r="K33" s="548" t="e">
        <f>'bilan énergie format SDS'!#REF!</f>
        <v>#REF!</v>
      </c>
      <c r="L33" s="548">
        <f>'bilan énergie format SDS'!K118</f>
        <v>26.7535957473327</v>
      </c>
      <c r="M33" s="99"/>
    </row>
    <row r="34" spans="1:13" s="77" customFormat="1" ht="15.5">
      <c r="A34" s="555" t="s">
        <v>79</v>
      </c>
      <c r="B34" s="548">
        <f>'bilan énergie format SDS'!B119</f>
        <v>0</v>
      </c>
      <c r="C34" s="548">
        <f>'bilan énergie format SDS'!C119</f>
        <v>0</v>
      </c>
      <c r="D34" s="548">
        <f>'bilan énergie format SDS'!D119</f>
        <v>37.500616436523501</v>
      </c>
      <c r="E34" s="548">
        <f>'bilan énergie format SDS'!E119</f>
        <v>8.0284074027079294E-2</v>
      </c>
      <c r="F34" s="548">
        <f>'bilan énergie format SDS'!F119</f>
        <v>0</v>
      </c>
      <c r="G34" s="548">
        <f>'bilan énergie format SDS'!G119</f>
        <v>0</v>
      </c>
      <c r="H34" s="548">
        <f>'bilan énergie format SDS'!H119</f>
        <v>3.3332703373463399</v>
      </c>
      <c r="I34" s="548">
        <f>'bilan énergie format SDS'!I119</f>
        <v>1.47291195184867</v>
      </c>
      <c r="J34" s="548">
        <f>'bilan énergie format SDS'!J119</f>
        <v>0</v>
      </c>
      <c r="K34" s="548" t="e">
        <f>'bilan énergie format SDS'!#REF!</f>
        <v>#REF!</v>
      </c>
      <c r="L34" s="548">
        <f>'bilan énergie format SDS'!K119</f>
        <v>42.387082799745599</v>
      </c>
      <c r="M34" s="99"/>
    </row>
    <row r="35" spans="1:13" s="77" customFormat="1">
      <c r="A35" s="547" t="s">
        <v>80</v>
      </c>
      <c r="B35" s="548">
        <f>'bilan énergie format SDS'!B120</f>
        <v>0</v>
      </c>
      <c r="C35" s="548">
        <f>'bilan énergie format SDS'!C120</f>
        <v>0</v>
      </c>
      <c r="D35" s="548">
        <f>'bilan énergie format SDS'!D120</f>
        <v>4.5177954110546104</v>
      </c>
      <c r="E35" s="548">
        <f>'bilan énergie format SDS'!E120</f>
        <v>8.4917229584748206</v>
      </c>
      <c r="F35" s="548">
        <f>'bilan énergie format SDS'!F120</f>
        <v>0</v>
      </c>
      <c r="G35" s="548">
        <f>'bilan énergie format SDS'!G120</f>
        <v>0</v>
      </c>
      <c r="H35" s="548">
        <f>'bilan énergie format SDS'!H120</f>
        <v>10.056378037090999</v>
      </c>
      <c r="I35" s="548">
        <f>'bilan énergie format SDS'!I120</f>
        <v>13.166367058142599</v>
      </c>
      <c r="J35" s="548">
        <f>'bilan énergie format SDS'!J120</f>
        <v>1.3003443630018601</v>
      </c>
      <c r="K35" s="548" t="e">
        <f>'bilan énergie format SDS'!#REF!</f>
        <v>#REF!</v>
      </c>
      <c r="L35" s="548">
        <f>'bilan énergie format SDS'!K120</f>
        <v>37.532607827764899</v>
      </c>
      <c r="M35" s="99"/>
    </row>
    <row r="36" spans="1:13" s="77" customFormat="1">
      <c r="A36" s="547" t="s">
        <v>81</v>
      </c>
      <c r="B36" s="548">
        <f>'bilan énergie format SDS'!B121</f>
        <v>0</v>
      </c>
      <c r="C36" s="548">
        <f>'bilan énergie format SDS'!C121</f>
        <v>0</v>
      </c>
      <c r="D36" s="548">
        <f>'bilan énergie format SDS'!D121</f>
        <v>2.1334656446401699</v>
      </c>
      <c r="E36" s="548">
        <f>'bilan énergie format SDS'!E121</f>
        <v>6.0618945971729996</v>
      </c>
      <c r="F36" s="548">
        <f>'bilan énergie format SDS'!F121</f>
        <v>0</v>
      </c>
      <c r="G36" s="548">
        <f>'bilan énergie format SDS'!G121</f>
        <v>0</v>
      </c>
      <c r="H36" s="548">
        <f>'bilan énergie format SDS'!H121</f>
        <v>1.04718925762437</v>
      </c>
      <c r="I36" s="548">
        <f>'bilan énergie format SDS'!I121</f>
        <v>13.7787654764998</v>
      </c>
      <c r="J36" s="548">
        <f>'bilan énergie format SDS'!J121</f>
        <v>0.58535347503968105</v>
      </c>
      <c r="K36" s="548" t="e">
        <f>'bilan énergie format SDS'!#REF!</f>
        <v>#REF!</v>
      </c>
      <c r="L36" s="548">
        <f>'bilan énergie format SDS'!K121</f>
        <v>23.606668450977001</v>
      </c>
      <c r="M36" s="99"/>
    </row>
    <row r="37" spans="1:13" s="77" customFormat="1">
      <c r="A37" s="547" t="s">
        <v>82</v>
      </c>
      <c r="B37" s="548">
        <f>'bilan énergie format SDS'!B122</f>
        <v>2.2137192704974398E-3</v>
      </c>
      <c r="C37" s="548">
        <f>'bilan énergie format SDS'!C122</f>
        <v>0</v>
      </c>
      <c r="D37" s="548">
        <f>'bilan énergie format SDS'!D122</f>
        <v>3.1990557957396399</v>
      </c>
      <c r="E37" s="548">
        <f>'bilan énergie format SDS'!E122</f>
        <v>0.191763640678039</v>
      </c>
      <c r="F37" s="548">
        <f>'bilan énergie format SDS'!F122</f>
        <v>0</v>
      </c>
      <c r="G37" s="548">
        <f>'bilan énergie format SDS'!G122</f>
        <v>0</v>
      </c>
      <c r="H37" s="548">
        <f>'bilan énergie format SDS'!H122</f>
        <v>0.165762557726544</v>
      </c>
      <c r="I37" s="548">
        <f>'bilan énergie format SDS'!I122</f>
        <v>0.70182045060013498</v>
      </c>
      <c r="J37" s="548">
        <f>'bilan énergie format SDS'!J122</f>
        <v>6.4536710533781398E-3</v>
      </c>
      <c r="K37" s="548" t="e">
        <f>'bilan énergie format SDS'!#REF!</f>
        <v>#REF!</v>
      </c>
      <c r="L37" s="548">
        <f>'bilan énergie format SDS'!K122</f>
        <v>4.2670698350682397</v>
      </c>
      <c r="M37" s="99"/>
    </row>
    <row r="38" spans="1:13" s="77" customFormat="1" ht="15.5">
      <c r="A38" s="550" t="s">
        <v>83</v>
      </c>
      <c r="B38" s="548">
        <f>'bilan énergie format SDS'!B123</f>
        <v>5.1922984213326903E-2</v>
      </c>
      <c r="C38" s="548">
        <f>'bilan énergie format SDS'!C123</f>
        <v>0</v>
      </c>
      <c r="D38" s="548">
        <f>'bilan énergie format SDS'!D123</f>
        <v>48.3657427484358</v>
      </c>
      <c r="E38" s="548">
        <f>'bilan énergie format SDS'!E123</f>
        <v>26.2343753862867</v>
      </c>
      <c r="F38" s="548">
        <f>'bilan énergie format SDS'!F123</f>
        <v>0</v>
      </c>
      <c r="G38" s="548">
        <f>'bilan énergie format SDS'!G123</f>
        <v>0</v>
      </c>
      <c r="H38" s="548">
        <f>'bilan énergie format SDS'!H123</f>
        <v>17.604180211887702</v>
      </c>
      <c r="I38" s="548">
        <f>'bilan énergie format SDS'!I123</f>
        <v>39.6650170973192</v>
      </c>
      <c r="J38" s="548">
        <f>'bilan énergie format SDS'!J123</f>
        <v>2.6257862327457899</v>
      </c>
      <c r="K38" s="548" t="e">
        <f>'bilan énergie format SDS'!#REF!</f>
        <v>#REF!</v>
      </c>
      <c r="L38" s="548">
        <f>'bilan énergie format SDS'!K123</f>
        <v>134.54702466088801</v>
      </c>
    </row>
    <row r="39" spans="1:13" s="77" customFormat="1">
      <c r="A39" s="547" t="s">
        <v>84</v>
      </c>
      <c r="B39" s="548">
        <f>'bilan énergie format SDS'!B124</f>
        <v>0.34352746510573001</v>
      </c>
      <c r="C39" s="548">
        <f>'bilan énergie format SDS'!C124</f>
        <v>0</v>
      </c>
      <c r="D39" s="548">
        <f>'bilan énergie format SDS'!D124</f>
        <v>13.4270982361849</v>
      </c>
      <c r="E39" s="548">
        <f>'bilan énergie format SDS'!E124</f>
        <v>1.11157429870939</v>
      </c>
      <c r="F39" s="548">
        <f>'bilan énergie format SDS'!F124</f>
        <v>0</v>
      </c>
      <c r="G39" s="548">
        <f>'bilan énergie format SDS'!G124</f>
        <v>0</v>
      </c>
      <c r="H39" s="548">
        <f>'bilan énergie format SDS'!H124</f>
        <v>0</v>
      </c>
      <c r="I39" s="548">
        <f>'bilan énergie format SDS'!I124</f>
        <v>0</v>
      </c>
      <c r="J39" s="548">
        <f>'bilan énergie format SDS'!J124</f>
        <v>0</v>
      </c>
      <c r="K39" s="548" t="e">
        <f>'bilan énergie format SDS'!#REF!</f>
        <v>#REF!</v>
      </c>
      <c r="L39" s="548">
        <f>'bilan énergie format SDS'!K124</f>
        <v>14.882199999999999</v>
      </c>
    </row>
    <row r="40" spans="1:13" s="77" customFormat="1" ht="15.5">
      <c r="A40" s="550" t="s">
        <v>85</v>
      </c>
      <c r="B40" s="548">
        <f>'bilan énergie format SDS'!B125</f>
        <v>0.39545044931905698</v>
      </c>
      <c r="C40" s="548">
        <f>'bilan énergie format SDS'!C125</f>
        <v>0</v>
      </c>
      <c r="D40" s="548">
        <f>'bilan énergie format SDS'!D125</f>
        <v>61.792840984620597</v>
      </c>
      <c r="E40" s="548">
        <f>'bilan énergie format SDS'!E125</f>
        <v>27.3459496849961</v>
      </c>
      <c r="F40" s="548">
        <f>'bilan énergie format SDS'!F125</f>
        <v>0</v>
      </c>
      <c r="G40" s="548">
        <f>'bilan énergie format SDS'!G125</f>
        <v>0</v>
      </c>
      <c r="H40" s="548">
        <f>'bilan énergie format SDS'!H125</f>
        <v>17.604180211887702</v>
      </c>
      <c r="I40" s="548">
        <f>'bilan énergie format SDS'!I125</f>
        <v>39.6650170973192</v>
      </c>
      <c r="J40" s="548">
        <f>'bilan énergie format SDS'!J125</f>
        <v>2.6257862327457899</v>
      </c>
      <c r="K40" s="548" t="e">
        <f>'bilan énergie format SDS'!#REF!</f>
        <v>#REF!</v>
      </c>
      <c r="L40" s="548">
        <f>'bilan énergie format SDS'!K125</f>
        <v>149.429224660888</v>
      </c>
    </row>
    <row r="51" spans="1:12" s="77" customFormat="1" ht="15.5">
      <c r="A51" s="90" t="s">
        <v>88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2" s="77" customFormat="1" ht="29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2" s="77" customFormat="1" ht="15.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2" s="77" customFormat="1">
      <c r="A56" s="259" t="s">
        <v>59</v>
      </c>
      <c r="B56" s="93">
        <v>0</v>
      </c>
      <c r="C56" s="93">
        <v>0.6</v>
      </c>
      <c r="D56" s="93">
        <v>0</v>
      </c>
      <c r="E56" s="93">
        <v>0.01</v>
      </c>
      <c r="F56" s="94">
        <v>87.505468116535909</v>
      </c>
      <c r="G56" s="94">
        <v>19.604471195184864</v>
      </c>
      <c r="H56" s="93">
        <v>27.652813608001015</v>
      </c>
      <c r="I56" s="95"/>
      <c r="J56" s="95"/>
      <c r="K56" s="95"/>
      <c r="L56" s="95">
        <v>135.37275291972179</v>
      </c>
    </row>
    <row r="57" spans="1:12" s="77" customFormat="1">
      <c r="A57" s="259" t="s">
        <v>60</v>
      </c>
      <c r="B57" s="93">
        <v>2.1426447253399448</v>
      </c>
      <c r="C57" s="93">
        <v>40.135568603962227</v>
      </c>
      <c r="D57" s="93">
        <v>11.603738828489348</v>
      </c>
      <c r="E57" s="93">
        <v>27.110364556531959</v>
      </c>
      <c r="F57" s="95"/>
      <c r="G57" s="95"/>
      <c r="H57" s="95">
        <v>1.1840600232316554</v>
      </c>
      <c r="I57" s="95">
        <v>0</v>
      </c>
      <c r="J57" s="95"/>
      <c r="K57" s="95"/>
      <c r="L57" s="95">
        <v>82.176376737555131</v>
      </c>
    </row>
    <row r="58" spans="1:12" s="77" customFormat="1">
      <c r="A58" s="259" t="s">
        <v>61</v>
      </c>
      <c r="B58" s="103">
        <v>0</v>
      </c>
      <c r="C58" s="103">
        <v>0</v>
      </c>
      <c r="D58" s="93">
        <v>0</v>
      </c>
      <c r="E58" s="103">
        <v>0</v>
      </c>
      <c r="F58" s="95"/>
      <c r="G58" s="95"/>
      <c r="H58" s="103">
        <v>0</v>
      </c>
      <c r="I58" s="95">
        <v>-5.338388011490764</v>
      </c>
      <c r="J58" s="95"/>
      <c r="K58" s="95"/>
      <c r="L58" s="95">
        <v>-5.338388011490764</v>
      </c>
    </row>
    <row r="59" spans="1:12" s="77" customFormat="1">
      <c r="A59" s="259" t="s">
        <v>62</v>
      </c>
      <c r="B59" s="95"/>
      <c r="C59" s="95"/>
      <c r="D59" s="95">
        <v>-1.1000000000000001</v>
      </c>
      <c r="E59" s="95"/>
      <c r="F59" s="95"/>
      <c r="G59" s="95"/>
      <c r="H59" s="95"/>
      <c r="I59" s="95"/>
      <c r="J59" s="95"/>
      <c r="K59" s="95"/>
      <c r="L59" s="95">
        <v>-1.1000000000000001</v>
      </c>
    </row>
    <row r="60" spans="1:12" s="77" customFormat="1">
      <c r="A60" s="259" t="s">
        <v>63</v>
      </c>
      <c r="B60" s="95"/>
      <c r="C60" s="95"/>
      <c r="D60" s="95">
        <v>-7.3263599105945998</v>
      </c>
      <c r="E60" s="95"/>
      <c r="F60" s="95"/>
      <c r="G60" s="95"/>
      <c r="H60" s="95"/>
      <c r="I60" s="95"/>
      <c r="J60" s="95"/>
      <c r="K60" s="95"/>
      <c r="L60" s="95">
        <v>-7.3263599105945998</v>
      </c>
    </row>
    <row r="61" spans="1:12" s="77" customFormat="1">
      <c r="A61" s="259" t="s">
        <v>64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>
        <v>0</v>
      </c>
    </row>
    <row r="62" spans="1:12" s="77" customFormat="1" ht="15.5">
      <c r="A62" s="260" t="s">
        <v>65</v>
      </c>
      <c r="B62" s="104">
        <v>2.1426447253399448</v>
      </c>
      <c r="C62" s="104">
        <v>40.735568603962228</v>
      </c>
      <c r="D62" s="104">
        <v>3.1773789178947487</v>
      </c>
      <c r="E62" s="104">
        <v>27.12036455653196</v>
      </c>
      <c r="F62" s="104">
        <v>87.505468116535909</v>
      </c>
      <c r="G62" s="104">
        <v>19.604471195184864</v>
      </c>
      <c r="H62" s="104">
        <v>28.83687363123267</v>
      </c>
      <c r="I62" s="104">
        <v>-5.338388011490764</v>
      </c>
      <c r="J62" s="104">
        <v>0</v>
      </c>
      <c r="K62" s="104"/>
      <c r="L62" s="104">
        <v>203.78438173519157</v>
      </c>
    </row>
    <row r="63" spans="1:12" s="77" customFormat="1" ht="15.5">
      <c r="A63" s="84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</row>
    <row r="64" spans="1:12" s="77" customFormat="1">
      <c r="A64" s="259" t="s">
        <v>66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>
        <v>0</v>
      </c>
    </row>
    <row r="65" spans="1:13" s="77" customFormat="1">
      <c r="A65" s="259" t="s">
        <v>67</v>
      </c>
      <c r="B65" s="93"/>
      <c r="C65" s="93"/>
      <c r="D65" s="93"/>
      <c r="E65" s="93"/>
      <c r="F65" s="95"/>
      <c r="G65" s="95"/>
      <c r="H65" s="95"/>
      <c r="I65" s="95"/>
      <c r="J65" s="95"/>
      <c r="K65" s="95"/>
      <c r="L65" s="95">
        <v>0</v>
      </c>
    </row>
    <row r="66" spans="1:13" s="77" customFormat="1">
      <c r="A66" s="259" t="s">
        <v>68</v>
      </c>
      <c r="B66" s="93">
        <v>0</v>
      </c>
      <c r="C66" s="93">
        <v>0</v>
      </c>
      <c r="D66" s="93"/>
      <c r="E66" s="93">
        <v>4.0829815025015792</v>
      </c>
      <c r="F66" s="94">
        <v>87.505468116535909</v>
      </c>
      <c r="G66" s="94">
        <v>19.604471195184864</v>
      </c>
      <c r="H66" s="93">
        <v>2.3645743766122096</v>
      </c>
      <c r="I66" s="93">
        <v>-50.266999999999996</v>
      </c>
      <c r="J66" s="95"/>
      <c r="K66" s="95"/>
      <c r="L66" s="95">
        <v>63.290495190834577</v>
      </c>
    </row>
    <row r="67" spans="1:13" s="77" customFormat="1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3" s="77" customFormat="1">
      <c r="A68" s="259" t="s">
        <v>70</v>
      </c>
      <c r="B68" s="93">
        <v>0</v>
      </c>
      <c r="C68" s="93"/>
      <c r="D68" s="93">
        <v>0</v>
      </c>
      <c r="E68" s="93">
        <v>1.1033714738962501</v>
      </c>
      <c r="F68" s="95"/>
      <c r="G68" s="95"/>
      <c r="H68" s="93">
        <v>3.4223564102833111</v>
      </c>
      <c r="I68" s="93"/>
      <c r="J68" s="95">
        <v>-5.0031456465819746</v>
      </c>
      <c r="K68" s="95"/>
      <c r="L68" s="95">
        <v>-0.47741776240241318</v>
      </c>
    </row>
    <row r="69" spans="1:13" s="77" customFormat="1">
      <c r="A69" s="259" t="s">
        <v>71</v>
      </c>
      <c r="B69" s="93"/>
      <c r="C69" s="93"/>
      <c r="D69" s="93"/>
      <c r="E69" s="93">
        <v>-3.0305707441718415</v>
      </c>
      <c r="F69" s="95"/>
      <c r="G69" s="95"/>
      <c r="H69" s="93">
        <v>3.7882134302148018</v>
      </c>
      <c r="I69" s="93"/>
      <c r="J69" s="95"/>
      <c r="K69" s="95"/>
      <c r="L69" s="95">
        <v>0.75764268604296037</v>
      </c>
    </row>
    <row r="70" spans="1:13" s="77" customFormat="1">
      <c r="A70" s="259" t="s">
        <v>72</v>
      </c>
      <c r="B70" s="93"/>
      <c r="C70" s="93">
        <v>40.735568603962228</v>
      </c>
      <c r="D70" s="93">
        <v>-39.731196478800598</v>
      </c>
      <c r="E70" s="93">
        <v>0.33698049084305848</v>
      </c>
      <c r="F70" s="95"/>
      <c r="G70" s="95"/>
      <c r="H70" s="93"/>
      <c r="I70" s="93"/>
      <c r="J70" s="95"/>
      <c r="K70" s="95"/>
      <c r="L70" s="95">
        <v>1.3413526160046889</v>
      </c>
    </row>
    <row r="71" spans="1:13" s="77" customFormat="1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2.1496130696474633</v>
      </c>
      <c r="J71" s="95"/>
      <c r="K71" s="95">
        <v>-1.7196904557179706</v>
      </c>
      <c r="L71" s="95">
        <v>0.42992261392949271</v>
      </c>
    </row>
    <row r="72" spans="1:13" s="77" customFormat="1">
      <c r="A72" s="259" t="s">
        <v>74</v>
      </c>
      <c r="B72" s="93">
        <v>2.1404310060694471</v>
      </c>
      <c r="C72" s="93"/>
      <c r="D72" s="93"/>
      <c r="E72" s="101">
        <v>-0.15477214101461736</v>
      </c>
      <c r="F72" s="106"/>
      <c r="G72" s="106"/>
      <c r="H72" s="101"/>
      <c r="I72" s="101">
        <v>-0.2063628546861565</v>
      </c>
      <c r="J72" s="95"/>
      <c r="K72" s="106">
        <v>0.42992261392949271</v>
      </c>
      <c r="L72" s="95">
        <v>2.209218624298166</v>
      </c>
    </row>
    <row r="73" spans="1:13" s="77" customFormat="1">
      <c r="A73" s="259" t="s">
        <v>75</v>
      </c>
      <c r="B73" s="93">
        <v>0</v>
      </c>
      <c r="C73" s="93"/>
      <c r="D73" s="93">
        <v>1.0782</v>
      </c>
      <c r="E73" s="93">
        <v>1.2420767288044043</v>
      </c>
      <c r="F73" s="95"/>
      <c r="G73" s="95"/>
      <c r="H73" s="93">
        <v>5.1017483519633131E-2</v>
      </c>
      <c r="I73" s="93">
        <v>2.3520206362854692</v>
      </c>
      <c r="J73" s="95"/>
      <c r="K73" s="95"/>
      <c r="L73" s="95">
        <v>4.7233148486095065</v>
      </c>
    </row>
    <row r="74" spans="1:13" s="77" customFormat="1">
      <c r="A74" s="259" t="s">
        <v>76</v>
      </c>
      <c r="B74" s="93"/>
      <c r="C74" s="93"/>
      <c r="D74" s="93"/>
      <c r="E74" s="93">
        <v>0.3535258483957765</v>
      </c>
      <c r="F74" s="95"/>
      <c r="G74" s="95"/>
      <c r="H74" s="93"/>
      <c r="I74" s="93">
        <v>3.2582065612805073</v>
      </c>
      <c r="J74" s="95">
        <v>1.0431162352605265</v>
      </c>
      <c r="K74" s="95"/>
      <c r="L74" s="95">
        <v>4.6548486449368109</v>
      </c>
    </row>
    <row r="75" spans="1:13" s="77" customFormat="1" ht="15.5">
      <c r="A75" s="260" t="s">
        <v>77</v>
      </c>
      <c r="B75" s="104">
        <v>2.1404310060694471</v>
      </c>
      <c r="C75" s="104">
        <v>40.735568603962228</v>
      </c>
      <c r="D75" s="104">
        <v>-38.652996478800596</v>
      </c>
      <c r="E75" s="104">
        <v>3.9335931592546101</v>
      </c>
      <c r="F75" s="104">
        <v>87.505468116535909</v>
      </c>
      <c r="G75" s="104">
        <v>19.604471195184864</v>
      </c>
      <c r="H75" s="104">
        <v>9.6261617006299556</v>
      </c>
      <c r="I75" s="104">
        <v>-42.71352258747271</v>
      </c>
      <c r="J75" s="104">
        <v>-3.960029411321448</v>
      </c>
      <c r="K75" s="97">
        <v>-1.2897678417884779</v>
      </c>
      <c r="L75" s="104">
        <v>76.929377462253782</v>
      </c>
    </row>
    <row r="76" spans="1:13" s="77" customFormat="1" ht="15.5">
      <c r="A76" s="84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</row>
    <row r="77" spans="1:13" s="77" customFormat="1" ht="15.5">
      <c r="A77" s="262" t="s">
        <v>78</v>
      </c>
      <c r="B77" s="93">
        <v>0</v>
      </c>
      <c r="C77" s="95"/>
      <c r="D77" s="93">
        <v>0.91047471072988595</v>
      </c>
      <c r="E77" s="93">
        <v>9.2828412206946656</v>
      </c>
      <c r="F77" s="95"/>
      <c r="G77" s="95"/>
      <c r="H77" s="93">
        <v>2.797481014933286</v>
      </c>
      <c r="I77" s="93">
        <v>9.8446264808181319</v>
      </c>
      <c r="J77" s="93">
        <v>1.0065715207299948</v>
      </c>
      <c r="K77" s="93"/>
      <c r="L77" s="95">
        <v>23.841994947905963</v>
      </c>
      <c r="M77" s="99"/>
    </row>
    <row r="78" spans="1:13" s="77" customFormat="1" ht="15.5">
      <c r="A78" s="262" t="s">
        <v>79</v>
      </c>
      <c r="B78" s="95"/>
      <c r="C78" s="95"/>
      <c r="D78" s="93">
        <v>27.751715068457877</v>
      </c>
      <c r="E78" s="93">
        <v>0.93047307809883106</v>
      </c>
      <c r="F78" s="95"/>
      <c r="G78" s="95"/>
      <c r="H78" s="93">
        <v>3.2186817504954033</v>
      </c>
      <c r="I78" s="93">
        <v>3.1579242402183425</v>
      </c>
      <c r="J78" s="93"/>
      <c r="K78" s="102">
        <v>0</v>
      </c>
      <c r="L78" s="107">
        <v>35.058794137270453</v>
      </c>
      <c r="M78" s="99"/>
    </row>
    <row r="79" spans="1:13" s="77" customFormat="1">
      <c r="A79" s="259" t="s">
        <v>80</v>
      </c>
      <c r="B79" s="93">
        <v>0</v>
      </c>
      <c r="C79" s="95"/>
      <c r="D79" s="93">
        <v>1.746497298641001</v>
      </c>
      <c r="E79" s="93">
        <v>8.4644882734430098</v>
      </c>
      <c r="F79" s="95"/>
      <c r="G79" s="95"/>
      <c r="H79" s="93">
        <v>10.300321992032506</v>
      </c>
      <c r="I79" s="93">
        <v>11.885627565252159</v>
      </c>
      <c r="J79" s="93">
        <v>2.1555790280909841</v>
      </c>
      <c r="K79" s="93"/>
      <c r="L79" s="95">
        <v>34.552514157459662</v>
      </c>
      <c r="M79" s="99"/>
    </row>
    <row r="80" spans="1:13" s="77" customFormat="1">
      <c r="A80" s="259" t="s">
        <v>81</v>
      </c>
      <c r="B80" s="93">
        <v>0</v>
      </c>
      <c r="C80" s="95"/>
      <c r="D80" s="93">
        <v>0.60659804706016329</v>
      </c>
      <c r="E80" s="93">
        <v>3.373347366526199</v>
      </c>
      <c r="F80" s="95"/>
      <c r="G80" s="95"/>
      <c r="H80" s="93">
        <v>2.5554110979101758</v>
      </c>
      <c r="I80" s="93">
        <v>11.711297347178387</v>
      </c>
      <c r="J80" s="93">
        <v>0.79142519144709034</v>
      </c>
      <c r="K80" s="93"/>
      <c r="L80" s="95">
        <v>19.038079050122015</v>
      </c>
      <c r="M80" s="99"/>
    </row>
    <row r="81" spans="1:13" s="77" customFormat="1">
      <c r="A81" s="259" t="s">
        <v>82</v>
      </c>
      <c r="B81" s="93">
        <v>2.2137192704974398E-3</v>
      </c>
      <c r="C81" s="95"/>
      <c r="D81" s="93">
        <v>2.28816075231342</v>
      </c>
      <c r="E81" s="93">
        <v>0.47763215046268398</v>
      </c>
      <c r="F81" s="95"/>
      <c r="G81" s="95"/>
      <c r="H81" s="93">
        <v>0.338816075231342</v>
      </c>
      <c r="I81" s="93">
        <v>0.77565894251492096</v>
      </c>
      <c r="J81" s="93">
        <v>6.4536710533781346E-3</v>
      </c>
      <c r="K81" s="93"/>
      <c r="L81" s="95">
        <v>3.8889353108462426</v>
      </c>
      <c r="M81" s="99"/>
    </row>
    <row r="82" spans="1:13" s="77" customFormat="1" ht="15.5">
      <c r="A82" s="260" t="s">
        <v>83</v>
      </c>
      <c r="B82" s="104">
        <v>2.2137192704974398E-3</v>
      </c>
      <c r="C82" s="104">
        <v>0</v>
      </c>
      <c r="D82" s="104">
        <v>33.30344587720235</v>
      </c>
      <c r="E82" s="104">
        <v>22.528782089225395</v>
      </c>
      <c r="F82" s="104">
        <v>0</v>
      </c>
      <c r="G82" s="104">
        <v>0</v>
      </c>
      <c r="H82" s="104">
        <v>19.210711930602717</v>
      </c>
      <c r="I82" s="104">
        <v>37.375134575981946</v>
      </c>
      <c r="J82" s="104">
        <v>3.9600294113214476</v>
      </c>
      <c r="K82" s="97">
        <v>0</v>
      </c>
      <c r="L82" s="104">
        <v>116.38031760360433</v>
      </c>
    </row>
    <row r="83" spans="1:13" s="77" customFormat="1">
      <c r="A83" s="259" t="s">
        <v>84</v>
      </c>
      <c r="B83" s="95">
        <v>0</v>
      </c>
      <c r="C83" s="95"/>
      <c r="D83" s="93">
        <v>8.5269295194929953</v>
      </c>
      <c r="E83" s="93">
        <v>0.65798930805195532</v>
      </c>
      <c r="F83" s="95"/>
      <c r="G83" s="95"/>
      <c r="H83" s="95"/>
      <c r="I83" s="95"/>
      <c r="J83" s="95"/>
      <c r="K83" s="95">
        <v>1.2897678417884779</v>
      </c>
      <c r="L83" s="95">
        <v>10.47468666933343</v>
      </c>
    </row>
    <row r="84" spans="1:13" s="77" customFormat="1" ht="15.5">
      <c r="A84" s="260" t="s">
        <v>85</v>
      </c>
      <c r="B84" s="104">
        <v>2.2137192704974398E-3</v>
      </c>
      <c r="C84" s="104">
        <v>0</v>
      </c>
      <c r="D84" s="104">
        <v>41.830375396695345</v>
      </c>
      <c r="E84" s="104">
        <v>23.186771397277351</v>
      </c>
      <c r="F84" s="104">
        <v>0</v>
      </c>
      <c r="G84" s="104">
        <v>0</v>
      </c>
      <c r="H84" s="104">
        <v>19.210711930602717</v>
      </c>
      <c r="I84" s="104">
        <v>37.375134575981946</v>
      </c>
      <c r="J84" s="104">
        <v>3.9600294113214476</v>
      </c>
      <c r="K84" s="104">
        <v>1.2897678417884779</v>
      </c>
      <c r="L84" s="104">
        <v>126.85500427293775</v>
      </c>
    </row>
    <row r="95" spans="1:13" s="77" customFormat="1" ht="15.5">
      <c r="A95" s="90" t="s">
        <v>89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4" s="77" customFormat="1" ht="29">
      <c r="A98" s="83" t="s">
        <v>51</v>
      </c>
      <c r="B98" s="257" t="s">
        <v>42</v>
      </c>
      <c r="C98" s="257" t="s">
        <v>52</v>
      </c>
      <c r="D98" s="257" t="s">
        <v>53</v>
      </c>
      <c r="E98" s="258" t="s">
        <v>54</v>
      </c>
      <c r="F98" s="258" t="s">
        <v>20</v>
      </c>
      <c r="G98" s="258" t="s">
        <v>55</v>
      </c>
      <c r="H98" s="257" t="s">
        <v>56</v>
      </c>
      <c r="I98" s="257" t="s">
        <v>57</v>
      </c>
      <c r="J98" s="257" t="s">
        <v>58</v>
      </c>
      <c r="K98" s="257" t="s">
        <v>31</v>
      </c>
      <c r="L98" s="257" t="s">
        <v>10</v>
      </c>
    </row>
    <row r="99" spans="1:14" s="77" customFormat="1" ht="15.5">
      <c r="A99" s="91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N99" s="82"/>
    </row>
    <row r="100" spans="1:14" s="77" customFormat="1">
      <c r="A100" s="259" t="s">
        <v>59</v>
      </c>
      <c r="B100" s="93">
        <v>0</v>
      </c>
      <c r="C100" s="93">
        <v>0</v>
      </c>
      <c r="D100" s="93">
        <v>0</v>
      </c>
      <c r="E100" s="93">
        <v>0</v>
      </c>
      <c r="F100" s="94">
        <v>27.345458786417471</v>
      </c>
      <c r="G100" s="94">
        <v>46.775580395528799</v>
      </c>
      <c r="H100" s="93">
        <v>39.150228110130641</v>
      </c>
      <c r="I100" s="95"/>
      <c r="J100" s="95"/>
      <c r="K100" s="95"/>
      <c r="L100" s="95">
        <v>113.27126729207691</v>
      </c>
    </row>
    <row r="101" spans="1:14" s="77" customFormat="1">
      <c r="A101" s="259" t="s">
        <v>60</v>
      </c>
      <c r="B101" s="93">
        <v>0.74697394369004599</v>
      </c>
      <c r="C101" s="93">
        <v>0</v>
      </c>
      <c r="D101" s="93">
        <v>15.265776616616671</v>
      </c>
      <c r="E101" s="93">
        <v>0</v>
      </c>
      <c r="F101" s="95"/>
      <c r="G101" s="95"/>
      <c r="H101" s="95">
        <v>0</v>
      </c>
      <c r="I101" s="107">
        <v>0</v>
      </c>
      <c r="J101" s="95"/>
      <c r="K101" s="95"/>
      <c r="L101" s="95">
        <v>16.012750560306717</v>
      </c>
    </row>
    <row r="102" spans="1:14" s="77" customFormat="1">
      <c r="A102" s="259" t="s">
        <v>61</v>
      </c>
      <c r="B102" s="93">
        <v>0</v>
      </c>
      <c r="C102" s="93">
        <v>0</v>
      </c>
      <c r="D102" s="93">
        <v>0</v>
      </c>
      <c r="E102" s="93">
        <v>0</v>
      </c>
      <c r="F102" s="95"/>
      <c r="G102" s="95"/>
      <c r="H102" s="93">
        <v>0</v>
      </c>
      <c r="I102" s="95">
        <v>-1.7515441453990022</v>
      </c>
      <c r="J102" s="95"/>
      <c r="K102" s="95"/>
      <c r="L102" s="95">
        <v>-1.7515441453990022</v>
      </c>
    </row>
    <row r="103" spans="1:14" s="77" customFormat="1">
      <c r="A103" s="259" t="s">
        <v>62</v>
      </c>
      <c r="B103" s="93"/>
      <c r="C103" s="93"/>
      <c r="D103" s="93">
        <v>-1.1000000000000001</v>
      </c>
      <c r="E103" s="93"/>
      <c r="F103" s="95"/>
      <c r="G103" s="95"/>
      <c r="H103" s="95"/>
      <c r="I103" s="95"/>
      <c r="J103" s="95"/>
      <c r="K103" s="95"/>
      <c r="L103" s="95">
        <v>-1.1000000000000001</v>
      </c>
    </row>
    <row r="104" spans="1:14" s="77" customFormat="1">
      <c r="A104" s="259" t="s">
        <v>63</v>
      </c>
      <c r="B104" s="93"/>
      <c r="C104" s="93"/>
      <c r="D104" s="93">
        <v>-9.8675445253719403</v>
      </c>
      <c r="E104" s="93"/>
      <c r="F104" s="95"/>
      <c r="G104" s="95"/>
      <c r="H104" s="95"/>
      <c r="I104" s="95"/>
      <c r="J104" s="95"/>
      <c r="K104" s="95"/>
      <c r="L104" s="95">
        <v>-9.8675445253719403</v>
      </c>
    </row>
    <row r="105" spans="1:14" s="77" customFormat="1">
      <c r="A105" s="259" t="s">
        <v>64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>
        <v>0</v>
      </c>
    </row>
    <row r="106" spans="1:14" s="77" customFormat="1" ht="15.5">
      <c r="A106" s="260" t="s">
        <v>65</v>
      </c>
      <c r="B106" s="97">
        <v>0.74697394369004599</v>
      </c>
      <c r="C106" s="97">
        <v>0</v>
      </c>
      <c r="D106" s="97">
        <v>4.2982320912447314</v>
      </c>
      <c r="E106" s="97">
        <v>0</v>
      </c>
      <c r="F106" s="97">
        <v>27.345458786417471</v>
      </c>
      <c r="G106" s="97">
        <v>46.775580395528799</v>
      </c>
      <c r="H106" s="97">
        <v>39.150228110130641</v>
      </c>
      <c r="I106" s="97">
        <v>-1.7515441453990022</v>
      </c>
      <c r="J106" s="97">
        <v>0</v>
      </c>
      <c r="K106" s="97"/>
      <c r="L106" s="97">
        <v>116.5649291816127</v>
      </c>
    </row>
    <row r="107" spans="1:14" s="77" customFormat="1" ht="15.5">
      <c r="A107" s="84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1:14" s="77" customFormat="1">
      <c r="A108" s="259" t="s">
        <v>66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>
        <v>0</v>
      </c>
    </row>
    <row r="109" spans="1:14" s="77" customFormat="1">
      <c r="A109" s="259" t="s">
        <v>67</v>
      </c>
      <c r="B109" s="93"/>
      <c r="C109" s="93"/>
      <c r="D109" s="93"/>
      <c r="E109" s="93"/>
      <c r="F109" s="95"/>
      <c r="G109" s="95"/>
      <c r="H109" s="93"/>
      <c r="I109" s="93"/>
      <c r="J109" s="95"/>
      <c r="K109" s="95"/>
      <c r="L109" s="95">
        <v>0</v>
      </c>
    </row>
    <row r="110" spans="1:14" s="77" customFormat="1">
      <c r="A110" s="259" t="s">
        <v>68</v>
      </c>
      <c r="B110" s="93">
        <v>0</v>
      </c>
      <c r="C110" s="93">
        <v>0</v>
      </c>
      <c r="D110" s="93"/>
      <c r="E110" s="93">
        <v>2.1496130696474633</v>
      </c>
      <c r="F110" s="93">
        <v>27.345458786417471</v>
      </c>
      <c r="G110" s="93">
        <v>46.775580395528799</v>
      </c>
      <c r="H110" s="93">
        <v>0</v>
      </c>
      <c r="I110" s="93">
        <v>-56.673999999999992</v>
      </c>
      <c r="J110" s="95"/>
      <c r="K110" s="95"/>
      <c r="L110" s="95">
        <v>19.596652251593738</v>
      </c>
    </row>
    <row r="111" spans="1:14" s="77" customFormat="1">
      <c r="A111" s="259" t="s">
        <v>69</v>
      </c>
      <c r="B111" s="93"/>
      <c r="C111" s="93"/>
      <c r="D111" s="93"/>
      <c r="E111" s="93"/>
      <c r="F111" s="95"/>
      <c r="G111" s="95"/>
      <c r="H111" s="93"/>
      <c r="I111" s="93"/>
      <c r="J111" s="95"/>
      <c r="K111" s="95"/>
      <c r="L111" s="95">
        <v>0</v>
      </c>
    </row>
    <row r="112" spans="1:14" s="77" customFormat="1">
      <c r="A112" s="259" t="s">
        <v>70</v>
      </c>
      <c r="B112" s="93">
        <v>0</v>
      </c>
      <c r="C112" s="93"/>
      <c r="D112" s="93">
        <v>0</v>
      </c>
      <c r="E112" s="93">
        <v>0.85449177920296737</v>
      </c>
      <c r="F112" s="95"/>
      <c r="G112" s="95"/>
      <c r="H112" s="93">
        <v>3.403615539978218</v>
      </c>
      <c r="I112" s="93"/>
      <c r="J112" s="95">
        <v>-5.1661619878122789</v>
      </c>
      <c r="K112" s="95"/>
      <c r="L112" s="95">
        <v>-0.90805466863109352</v>
      </c>
    </row>
    <row r="113" spans="1:14" s="77" customFormat="1">
      <c r="A113" s="259" t="s">
        <v>71</v>
      </c>
      <c r="B113" s="93"/>
      <c r="C113" s="93"/>
      <c r="D113" s="93"/>
      <c r="E113" s="93">
        <v>-13.268132354256622</v>
      </c>
      <c r="F113" s="95"/>
      <c r="G113" s="95"/>
      <c r="H113" s="93">
        <v>16.585165442820777</v>
      </c>
      <c r="I113" s="93"/>
      <c r="J113" s="95"/>
      <c r="K113" s="95"/>
      <c r="L113" s="95">
        <v>3.3170330885641555</v>
      </c>
    </row>
    <row r="114" spans="1:14" s="77" customFormat="1">
      <c r="A114" s="259" t="s">
        <v>72</v>
      </c>
      <c r="B114" s="93"/>
      <c r="C114" s="93">
        <v>0</v>
      </c>
      <c r="D114" s="93">
        <v>0</v>
      </c>
      <c r="E114" s="93">
        <v>0</v>
      </c>
      <c r="F114" s="95"/>
      <c r="G114" s="95"/>
      <c r="H114" s="93"/>
      <c r="I114" s="93"/>
      <c r="J114" s="95"/>
      <c r="K114" s="95"/>
      <c r="L114" s="95">
        <v>0</v>
      </c>
    </row>
    <row r="115" spans="1:14" s="77" customFormat="1">
      <c r="A115" s="259" t="s">
        <v>73</v>
      </c>
      <c r="B115" s="93"/>
      <c r="C115" s="93"/>
      <c r="D115" s="93"/>
      <c r="E115" s="93"/>
      <c r="F115" s="95"/>
      <c r="G115" s="95"/>
      <c r="H115" s="93"/>
      <c r="I115" s="93">
        <v>4.2992261392949267</v>
      </c>
      <c r="J115" s="95"/>
      <c r="K115" s="95">
        <v>-3.4393809114359413</v>
      </c>
      <c r="L115" s="95">
        <v>0.85984522785898543</v>
      </c>
    </row>
    <row r="116" spans="1:14" s="77" customFormat="1">
      <c r="A116" s="259" t="s">
        <v>74</v>
      </c>
      <c r="B116" s="93">
        <v>0.74476022441954859</v>
      </c>
      <c r="C116" s="93"/>
      <c r="D116" s="93"/>
      <c r="E116" s="101">
        <v>-0.30954428202923473</v>
      </c>
      <c r="F116" s="95"/>
      <c r="G116" s="95"/>
      <c r="H116" s="93"/>
      <c r="I116" s="93">
        <v>-1.0318142734307825</v>
      </c>
      <c r="J116" s="95"/>
      <c r="K116" s="106">
        <v>1.633705932932072</v>
      </c>
      <c r="L116" s="95">
        <v>1.0371076018916034</v>
      </c>
    </row>
    <row r="117" spans="1:14" s="77" customFormat="1">
      <c r="A117" s="259" t="s">
        <v>75</v>
      </c>
      <c r="B117" s="93">
        <v>0</v>
      </c>
      <c r="C117" s="93"/>
      <c r="D117" s="93">
        <v>0</v>
      </c>
      <c r="E117" s="289">
        <v>0</v>
      </c>
      <c r="F117" s="95"/>
      <c r="G117" s="95"/>
      <c r="H117" s="93">
        <v>5.1017483519633131E-2</v>
      </c>
      <c r="I117" s="93">
        <v>2.3441960447119525</v>
      </c>
      <c r="J117" s="95"/>
      <c r="K117" s="95"/>
      <c r="L117" s="95">
        <v>2.3952135282315856</v>
      </c>
      <c r="N117" s="96"/>
    </row>
    <row r="118" spans="1:14" s="77" customFormat="1">
      <c r="A118" s="259" t="s">
        <v>76</v>
      </c>
      <c r="B118" s="93"/>
      <c r="C118" s="93"/>
      <c r="D118" s="93"/>
      <c r="E118" s="93">
        <v>0.15893900909970565</v>
      </c>
      <c r="F118" s="95"/>
      <c r="G118" s="95"/>
      <c r="H118" s="93"/>
      <c r="I118" s="93">
        <v>3.6734955070724626</v>
      </c>
      <c r="J118" s="95">
        <v>1.077103851085037</v>
      </c>
      <c r="K118" s="95"/>
      <c r="L118" s="95">
        <v>4.9095383672572055</v>
      </c>
    </row>
    <row r="119" spans="1:14" s="77" customFormat="1" ht="15.5">
      <c r="A119" s="260" t="s">
        <v>77</v>
      </c>
      <c r="B119" s="97">
        <v>0.74476022441954859</v>
      </c>
      <c r="C119" s="97">
        <v>0</v>
      </c>
      <c r="D119" s="97">
        <v>0</v>
      </c>
      <c r="E119" s="97">
        <v>-10.414632778335719</v>
      </c>
      <c r="F119" s="97">
        <v>27.345458786417471</v>
      </c>
      <c r="G119" s="97">
        <v>46.775580395528799</v>
      </c>
      <c r="H119" s="97">
        <v>20.039798466318629</v>
      </c>
      <c r="I119" s="97">
        <v>-47.388896582351435</v>
      </c>
      <c r="J119" s="97">
        <v>-4.0890581367272416</v>
      </c>
      <c r="K119" s="97">
        <v>-1.8056749785038693</v>
      </c>
      <c r="L119" s="97">
        <v>31.20733539676618</v>
      </c>
    </row>
    <row r="120" spans="1:14" s="77" customFormat="1" ht="15.5">
      <c r="A120" s="8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1:14" s="77" customFormat="1" ht="15.5">
      <c r="A121" s="262" t="s">
        <v>78</v>
      </c>
      <c r="B121" s="93">
        <v>0</v>
      </c>
      <c r="C121" s="95"/>
      <c r="D121" s="93">
        <v>0</v>
      </c>
      <c r="E121" s="93">
        <v>2.6196131084152277</v>
      </c>
      <c r="F121" s="95"/>
      <c r="G121" s="95"/>
      <c r="H121" s="93">
        <v>2.4941614081810051</v>
      </c>
      <c r="I121" s="93">
        <v>15.692222796920932</v>
      </c>
      <c r="J121" s="93">
        <v>0.41499583184774225</v>
      </c>
      <c r="K121" s="93"/>
      <c r="L121" s="95">
        <v>21.220993145364908</v>
      </c>
      <c r="M121" s="99"/>
    </row>
    <row r="122" spans="1:14" s="77" customFormat="1" ht="15.5">
      <c r="A122" s="262" t="s">
        <v>79</v>
      </c>
      <c r="B122" s="107"/>
      <c r="C122" s="107"/>
      <c r="D122" s="93">
        <v>0.93045123347554903</v>
      </c>
      <c r="E122" s="93">
        <v>3.6028639370370201</v>
      </c>
      <c r="F122" s="95"/>
      <c r="G122" s="95"/>
      <c r="H122" s="93">
        <v>4.2184772740988761</v>
      </c>
      <c r="I122" s="93">
        <v>8.1773954821011205</v>
      </c>
      <c r="J122" s="93"/>
      <c r="K122" s="93">
        <v>8.5984522785898534E-2</v>
      </c>
      <c r="L122" s="95">
        <v>17.015172449498465</v>
      </c>
      <c r="M122" s="99"/>
    </row>
    <row r="123" spans="1:14" s="77" customFormat="1">
      <c r="A123" s="259" t="s">
        <v>80</v>
      </c>
      <c r="B123" s="93">
        <v>0</v>
      </c>
      <c r="C123" s="95"/>
      <c r="D123" s="93">
        <v>0.16812387266585074</v>
      </c>
      <c r="E123" s="93">
        <v>2.6677723755245331</v>
      </c>
      <c r="F123" s="95"/>
      <c r="G123" s="95"/>
      <c r="H123" s="93">
        <v>9.1119423382098859</v>
      </c>
      <c r="I123" s="93">
        <v>11.1263428965709</v>
      </c>
      <c r="J123" s="93">
        <v>2.1285056205612118</v>
      </c>
      <c r="K123" s="93"/>
      <c r="L123" s="95">
        <v>25.202687103532384</v>
      </c>
      <c r="M123" s="99"/>
    </row>
    <row r="124" spans="1:14" s="77" customFormat="1">
      <c r="A124" s="259" t="s">
        <v>81</v>
      </c>
      <c r="B124" s="93">
        <v>0</v>
      </c>
      <c r="C124" s="95"/>
      <c r="D124" s="93">
        <v>4.3808247608083023E-2</v>
      </c>
      <c r="E124" s="93">
        <v>0.54387058176361458</v>
      </c>
      <c r="F124" s="95"/>
      <c r="G124" s="95"/>
      <c r="H124" s="93">
        <v>2.4071612194730982</v>
      </c>
      <c r="I124" s="93">
        <v>9.9325738092989031</v>
      </c>
      <c r="J124" s="93">
        <v>1.5391030132649095</v>
      </c>
      <c r="K124" s="93"/>
      <c r="L124" s="95">
        <v>14.466516871408608</v>
      </c>
      <c r="M124" s="99"/>
    </row>
    <row r="125" spans="1:14" s="77" customFormat="1">
      <c r="A125" s="259" t="s">
        <v>82</v>
      </c>
      <c r="B125" s="93">
        <v>2.2137192704974398E-3</v>
      </c>
      <c r="C125" s="95"/>
      <c r="D125" s="93">
        <v>0</v>
      </c>
      <c r="E125" s="93">
        <v>0.69442453716561003</v>
      </c>
      <c r="F125" s="95"/>
      <c r="G125" s="95"/>
      <c r="H125" s="93">
        <v>0.87868740384914412</v>
      </c>
      <c r="I125" s="93">
        <v>0.708817452060579</v>
      </c>
      <c r="J125" s="93">
        <v>6.4536710533781346E-3</v>
      </c>
      <c r="K125" s="93"/>
      <c r="L125" s="95">
        <v>2.2905967833992089</v>
      </c>
      <c r="M125" s="99"/>
    </row>
    <row r="126" spans="1:14" s="77" customFormat="1" ht="15.5">
      <c r="A126" s="260" t="s">
        <v>83</v>
      </c>
      <c r="B126" s="97">
        <v>2.2137192704974398E-3</v>
      </c>
      <c r="C126" s="97">
        <v>0</v>
      </c>
      <c r="D126" s="97">
        <v>1.1423833537494827</v>
      </c>
      <c r="E126" s="97">
        <v>10.128544539906006</v>
      </c>
      <c r="F126" s="97">
        <v>0</v>
      </c>
      <c r="G126" s="97">
        <v>0</v>
      </c>
      <c r="H126" s="97">
        <v>19.110429643812012</v>
      </c>
      <c r="I126" s="97">
        <v>45.637352436952433</v>
      </c>
      <c r="J126" s="97">
        <v>4.0890581367272416</v>
      </c>
      <c r="K126" s="97">
        <v>8.5984522785898534E-2</v>
      </c>
      <c r="L126" s="97">
        <v>80.195966353203573</v>
      </c>
    </row>
    <row r="127" spans="1:14" s="77" customFormat="1">
      <c r="A127" s="259" t="s">
        <v>84</v>
      </c>
      <c r="B127" s="95">
        <v>0</v>
      </c>
      <c r="C127" s="95"/>
      <c r="D127" s="100">
        <v>3.1558487374952491</v>
      </c>
      <c r="E127" s="100">
        <v>0.28608823842971293</v>
      </c>
      <c r="F127" s="95"/>
      <c r="G127" s="95"/>
      <c r="H127" s="95"/>
      <c r="I127" s="95"/>
      <c r="J127" s="95"/>
      <c r="K127" s="95">
        <v>1.7196904557179706</v>
      </c>
      <c r="L127" s="95">
        <v>5.1616274316429323</v>
      </c>
    </row>
    <row r="128" spans="1:14" s="77" customFormat="1" ht="15.5">
      <c r="A128" s="260" t="s">
        <v>85</v>
      </c>
      <c r="B128" s="97">
        <v>2.2137192704974398E-3</v>
      </c>
      <c r="C128" s="97">
        <v>0</v>
      </c>
      <c r="D128" s="97">
        <v>4.2982320912447314</v>
      </c>
      <c r="E128" s="97">
        <v>10.414632778335719</v>
      </c>
      <c r="F128" s="97">
        <v>0</v>
      </c>
      <c r="G128" s="97">
        <v>0</v>
      </c>
      <c r="H128" s="97">
        <v>19.110429643812012</v>
      </c>
      <c r="I128" s="97">
        <v>45.637352436952433</v>
      </c>
      <c r="J128" s="97">
        <v>4.0890581367272416</v>
      </c>
      <c r="K128" s="97">
        <v>1.8056749785038693</v>
      </c>
      <c r="L128" s="97">
        <v>85.3575937848465</v>
      </c>
    </row>
    <row r="129" spans="9:9" s="77" customFormat="1">
      <c r="I129" s="77">
        <f>(I128+I118+I117+I115)*11.63</f>
        <v>650.74816158900944</v>
      </c>
    </row>
  </sheetData>
  <conditionalFormatting sqref="B55:L55">
    <cfRule type="cellIs" dxfId="49" priority="56" operator="equal">
      <formula>0</formula>
    </cfRule>
  </conditionalFormatting>
  <conditionalFormatting sqref="B100:E100 B111:K112 J110:K110 B106:L107 J101:K102 B117:K118 C116:K116 B114:K115 B113:G113 I113:K113 B119:J119 L119 B108:K109 B103:K105 B120:L126 B128:L128 H100:K100 B110:H110">
    <cfRule type="cellIs" dxfId="48" priority="55" operator="equal">
      <formula>0</formula>
    </cfRule>
  </conditionalFormatting>
  <conditionalFormatting sqref="B127:K127">
    <cfRule type="cellIs" dxfId="47" priority="54" operator="equal">
      <formula>0</formula>
    </cfRule>
  </conditionalFormatting>
  <conditionalFormatting sqref="B99:L99">
    <cfRule type="cellIs" dxfId="46" priority="53" operator="equal">
      <formula>0</formula>
    </cfRule>
  </conditionalFormatting>
  <conditionalFormatting sqref="L127">
    <cfRule type="cellIs" dxfId="45" priority="52" operator="equal">
      <formula>0</formula>
    </cfRule>
  </conditionalFormatting>
  <conditionalFormatting sqref="I110">
    <cfRule type="cellIs" dxfId="44" priority="45" operator="equal">
      <formula>0</formula>
    </cfRule>
  </conditionalFormatting>
  <conditionalFormatting sqref="B56:F56 B67:K68 B66:H66 J66:K66 B62:L63 J57:K58 B73:K74 C72:K72 H56:K56 B70:K71 B69:D69 I69:K69 B76:L76 B75:J75 L75 B82:J82 B77:K81 B64:K65 B59:K61 L82 B84:L84 F69:G69">
    <cfRule type="cellIs" dxfId="43" priority="49" operator="equal">
      <formula>0</formula>
    </cfRule>
  </conditionalFormatting>
  <conditionalFormatting sqref="B83:K83">
    <cfRule type="cellIs" dxfId="42" priority="48" operator="equal">
      <formula>0</formula>
    </cfRule>
  </conditionalFormatting>
  <conditionalFormatting sqref="I66">
    <cfRule type="cellIs" dxfId="41" priority="46" operator="equal">
      <formula>0</formula>
    </cfRule>
  </conditionalFormatting>
  <conditionalFormatting sqref="I57:I58">
    <cfRule type="cellIs" dxfId="40" priority="43" operator="equal">
      <formula>0</formula>
    </cfRule>
  </conditionalFormatting>
  <conditionalFormatting sqref="I101:I102">
    <cfRule type="cellIs" dxfId="39" priority="42" operator="equal">
      <formula>0</formula>
    </cfRule>
  </conditionalFormatting>
  <conditionalFormatting sqref="B57:C58 E57:H58">
    <cfRule type="cellIs" dxfId="38" priority="40" operator="equal">
      <formula>0</formula>
    </cfRule>
  </conditionalFormatting>
  <conditionalFormatting sqref="B101:C102 E101:H102">
    <cfRule type="cellIs" dxfId="37" priority="39" operator="equal">
      <formula>0</formula>
    </cfRule>
  </conditionalFormatting>
  <conditionalFormatting sqref="D57:D58">
    <cfRule type="cellIs" dxfId="36" priority="37" operator="equal">
      <formula>0</formula>
    </cfRule>
  </conditionalFormatting>
  <conditionalFormatting sqref="B72">
    <cfRule type="cellIs" dxfId="35" priority="34" operator="equal">
      <formula>0</formula>
    </cfRule>
  </conditionalFormatting>
  <conditionalFormatting sqref="B116">
    <cfRule type="cellIs" dxfId="34" priority="33" operator="equal">
      <formula>0</formula>
    </cfRule>
  </conditionalFormatting>
  <conditionalFormatting sqref="K75">
    <cfRule type="cellIs" dxfId="33" priority="25" operator="equal">
      <formula>0</formula>
    </cfRule>
  </conditionalFormatting>
  <conditionalFormatting sqref="L108:L118">
    <cfRule type="cellIs" dxfId="32" priority="23" operator="equal">
      <formula>0</formula>
    </cfRule>
  </conditionalFormatting>
  <conditionalFormatting sqref="H69">
    <cfRule type="cellIs" dxfId="31" priority="28" operator="equal">
      <formula>0</formula>
    </cfRule>
  </conditionalFormatting>
  <conditionalFormatting sqref="H113">
    <cfRule type="cellIs" dxfId="30" priority="27" operator="equal">
      <formula>0</formula>
    </cfRule>
  </conditionalFormatting>
  <conditionalFormatting sqref="L83">
    <cfRule type="cellIs" dxfId="29" priority="20" operator="equal">
      <formula>0</formula>
    </cfRule>
  </conditionalFormatting>
  <conditionalFormatting sqref="K119">
    <cfRule type="cellIs" dxfId="28" priority="24" operator="equal">
      <formula>0</formula>
    </cfRule>
  </conditionalFormatting>
  <conditionalFormatting sqref="L100:L105">
    <cfRule type="cellIs" dxfId="27" priority="22" operator="equal">
      <formula>0</formula>
    </cfRule>
  </conditionalFormatting>
  <conditionalFormatting sqref="L77:L81">
    <cfRule type="cellIs" dxfId="26" priority="21" operator="equal">
      <formula>0</formula>
    </cfRule>
  </conditionalFormatting>
  <conditionalFormatting sqref="L64:L74">
    <cfRule type="cellIs" dxfId="25" priority="19" operator="equal">
      <formula>0</formula>
    </cfRule>
  </conditionalFormatting>
  <conditionalFormatting sqref="K82">
    <cfRule type="cellIs" dxfId="24" priority="14" operator="equal">
      <formula>0</formula>
    </cfRule>
  </conditionalFormatting>
  <conditionalFormatting sqref="G100">
    <cfRule type="cellIs" dxfId="23" priority="7" operator="equal">
      <formula>0</formula>
    </cfRule>
  </conditionalFormatting>
  <conditionalFormatting sqref="E69">
    <cfRule type="cellIs" dxfId="22" priority="10" operator="equal">
      <formula>0</formula>
    </cfRule>
  </conditionalFormatting>
  <conditionalFormatting sqref="F100">
    <cfRule type="cellIs" dxfId="21" priority="8" operator="equal">
      <formula>0</formula>
    </cfRule>
  </conditionalFormatting>
  <conditionalFormatting sqref="D101:D102">
    <cfRule type="cellIs" dxfId="20" priority="36" operator="equal">
      <formula>0</formula>
    </cfRule>
  </conditionalFormatting>
  <conditionalFormatting sqref="G56">
    <cfRule type="cellIs" dxfId="19" priority="30" operator="equal">
      <formula>0</formula>
    </cfRule>
  </conditionalFormatting>
  <conditionalFormatting sqref="L56:L61">
    <cfRule type="cellIs" dxfId="18" priority="18" operator="equal">
      <formula>0</formula>
    </cfRule>
  </conditionalFormatting>
  <conditionalFormatting sqref="B11:L11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BZ85"/>
  <sheetViews>
    <sheetView workbookViewId="0"/>
  </sheetViews>
  <sheetFormatPr baseColWidth="10" defaultColWidth="11.453125" defaultRowHeight="14.5"/>
  <cols>
    <col min="1" max="1" width="52.1796875" style="77" customWidth="1"/>
    <col min="2" max="12" width="15.81640625" style="77" customWidth="1"/>
    <col min="13" max="15" width="11.453125" style="77"/>
    <col min="16" max="16" width="52.1796875" style="77" customWidth="1"/>
    <col min="17" max="26" width="15.7265625" style="77" customWidth="1"/>
    <col min="27" max="78" width="11.453125" style="77"/>
    <col min="79" max="16384" width="11.453125" style="256"/>
  </cols>
  <sheetData>
    <row r="1" spans="1:12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2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2" s="77" customFormat="1" ht="15.5">
      <c r="A7" s="90" t="s">
        <v>88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2" s="77" customFormat="1" ht="29">
      <c r="A10" s="543"/>
      <c r="B10" s="544" t="s">
        <v>42</v>
      </c>
      <c r="C10" s="544" t="s">
        <v>52</v>
      </c>
      <c r="D10" s="544" t="s">
        <v>53</v>
      </c>
      <c r="E10" s="544" t="s">
        <v>32</v>
      </c>
      <c r="F10" s="544" t="s">
        <v>20</v>
      </c>
      <c r="G10" s="544" t="s">
        <v>55</v>
      </c>
      <c r="H10" s="544" t="s">
        <v>56</v>
      </c>
      <c r="I10" s="544" t="s">
        <v>57</v>
      </c>
      <c r="J10" s="544" t="s">
        <v>58</v>
      </c>
      <c r="K10" s="544"/>
      <c r="L10" s="544" t="s">
        <v>10</v>
      </c>
    </row>
    <row r="11" spans="1:12" s="77" customFormat="1" ht="15.5">
      <c r="A11" s="545"/>
      <c r="B11" s="546"/>
      <c r="C11" s="546"/>
      <c r="D11" s="546"/>
      <c r="E11" s="546"/>
      <c r="F11" s="546"/>
      <c r="G11" s="546"/>
      <c r="H11" s="546"/>
      <c r="I11" s="546"/>
      <c r="J11" s="546"/>
      <c r="K11" s="546"/>
      <c r="L11" s="546"/>
    </row>
    <row r="12" spans="1:12" s="77" customFormat="1">
      <c r="A12" s="547" t="s">
        <v>59</v>
      </c>
      <c r="B12" s="548">
        <f>'bilan énergie format SDS'!B141</f>
        <v>0</v>
      </c>
      <c r="C12" s="548">
        <f>'bilan énergie format SDS'!C141</f>
        <v>0.99</v>
      </c>
      <c r="D12" s="548">
        <f>'bilan énergie format SDS'!D141</f>
        <v>0</v>
      </c>
      <c r="E12" s="548">
        <f>'bilan énergie format SDS'!E141</f>
        <v>1.9114359415305201E-2</v>
      </c>
      <c r="F12" s="548">
        <f>'bilan énergie format SDS'!F141</f>
        <v>107.5</v>
      </c>
      <c r="G12" s="548">
        <f>'bilan énergie format SDS'!G141</f>
        <v>16.684000000000001</v>
      </c>
      <c r="H12" s="548">
        <f>'bilan énergie format SDS'!H141</f>
        <v>22.3</v>
      </c>
      <c r="I12" s="548">
        <f>'bilan énergie format SDS'!I141</f>
        <v>0</v>
      </c>
      <c r="J12" s="548">
        <f>'bilan énergie format SDS'!J141</f>
        <v>0</v>
      </c>
      <c r="K12" s="548" t="e">
        <f>'bilan énergie format SDS'!#REF!</f>
        <v>#REF!</v>
      </c>
      <c r="L12" s="548">
        <f>'bilan énergie format SDS'!K141</f>
        <v>147.4931143594153</v>
      </c>
    </row>
    <row r="13" spans="1:12" s="77" customFormat="1">
      <c r="A13" s="547" t="s">
        <v>60</v>
      </c>
      <c r="B13" s="548">
        <f>'bilan énergie format SDS'!B142</f>
        <v>4.2145990929815103</v>
      </c>
      <c r="C13" s="548">
        <f>'bilan énergie format SDS'!C142</f>
        <v>43.31</v>
      </c>
      <c r="D13" s="548">
        <f>'bilan énergie format SDS'!D142</f>
        <v>27.7759663764108</v>
      </c>
      <c r="E13" s="548">
        <f>'bilan énergie format SDS'!E142</f>
        <v>34.850190460047898</v>
      </c>
      <c r="F13" s="548">
        <f>'bilan énergie format SDS'!F142</f>
        <v>0</v>
      </c>
      <c r="G13" s="548">
        <f>'bilan énergie format SDS'!G142</f>
        <v>0</v>
      </c>
      <c r="H13" s="548">
        <f>'bilan énergie format SDS'!H142</f>
        <v>0</v>
      </c>
      <c r="I13" s="548">
        <f>'bilan énergie format SDS'!I142</f>
        <v>0</v>
      </c>
      <c r="J13" s="548">
        <f>'bilan énergie format SDS'!J142</f>
        <v>0</v>
      </c>
      <c r="K13" s="548" t="e">
        <f>'bilan énergie format SDS'!#REF!</f>
        <v>#REF!</v>
      </c>
      <c r="L13" s="548">
        <f>'bilan énergie format SDS'!K142</f>
        <v>110.15075592944</v>
      </c>
    </row>
    <row r="14" spans="1:12" s="77" customFormat="1">
      <c r="A14" s="547" t="s">
        <v>61</v>
      </c>
      <c r="B14" s="548">
        <f>'bilan énergie format SDS'!B143</f>
        <v>0</v>
      </c>
      <c r="C14" s="548">
        <f>'bilan énergie format SDS'!C143</f>
        <v>0</v>
      </c>
      <c r="D14" s="548">
        <f>'bilan énergie format SDS'!D143</f>
        <v>0</v>
      </c>
      <c r="E14" s="548">
        <f>'bilan énergie format SDS'!E143</f>
        <v>0</v>
      </c>
      <c r="F14" s="548">
        <f>'bilan énergie format SDS'!F143</f>
        <v>0</v>
      </c>
      <c r="G14" s="548">
        <f>'bilan énergie format SDS'!G143</f>
        <v>0</v>
      </c>
      <c r="H14" s="548">
        <f>'bilan énergie format SDS'!H143</f>
        <v>-2.72104012127323</v>
      </c>
      <c r="I14" s="548">
        <f>'bilan énergie format SDS'!I143</f>
        <v>-6.8170956314650155</v>
      </c>
      <c r="J14" s="548">
        <f>'bilan énergie format SDS'!J143</f>
        <v>0</v>
      </c>
      <c r="K14" s="548" t="e">
        <f>'bilan énergie format SDS'!#REF!</f>
        <v>#REF!</v>
      </c>
      <c r="L14" s="548">
        <f>'bilan énergie format SDS'!K143</f>
        <v>-10.124039965979801</v>
      </c>
    </row>
    <row r="15" spans="1:12" s="77" customFormat="1">
      <c r="A15" s="547" t="s">
        <v>62</v>
      </c>
      <c r="B15" s="548">
        <f>'bilan énergie format SDS'!B144</f>
        <v>0</v>
      </c>
      <c r="C15" s="548">
        <f>'bilan énergie format SDS'!C144</f>
        <v>0</v>
      </c>
      <c r="D15" s="548">
        <f>'bilan énergie format SDS'!D144</f>
        <v>-1.4</v>
      </c>
      <c r="E15" s="548">
        <f>'bilan énergie format SDS'!E144</f>
        <v>0</v>
      </c>
      <c r="F15" s="548">
        <f>'bilan énergie format SDS'!F144</f>
        <v>0</v>
      </c>
      <c r="G15" s="548">
        <f>'bilan énergie format SDS'!G144</f>
        <v>0</v>
      </c>
      <c r="H15" s="548">
        <f>'bilan énergie format SDS'!H144</f>
        <v>0</v>
      </c>
      <c r="I15" s="548">
        <f>'bilan énergie format SDS'!I144</f>
        <v>0</v>
      </c>
      <c r="J15" s="548">
        <f>'bilan énergie format SDS'!J144</f>
        <v>0</v>
      </c>
      <c r="K15" s="548" t="e">
        <f>'bilan énergie format SDS'!#REF!</f>
        <v>#REF!</v>
      </c>
      <c r="L15" s="548">
        <f>'bilan énergie format SDS'!K144</f>
        <v>-1.4</v>
      </c>
    </row>
    <row r="16" spans="1:12" s="77" customFormat="1">
      <c r="A16" s="547" t="s">
        <v>63</v>
      </c>
      <c r="B16" s="548">
        <f>'bilan énergie format SDS'!B145</f>
        <v>0</v>
      </c>
      <c r="C16" s="548">
        <f>'bilan énergie format SDS'!C145</f>
        <v>0</v>
      </c>
      <c r="D16" s="548">
        <f>'bilan énergie format SDS'!D145</f>
        <v>-7.3263599105945998</v>
      </c>
      <c r="E16" s="548">
        <f>'bilan énergie format SDS'!E145</f>
        <v>0</v>
      </c>
      <c r="F16" s="548">
        <f>'bilan énergie format SDS'!F145</f>
        <v>0</v>
      </c>
      <c r="G16" s="548">
        <f>'bilan énergie format SDS'!G145</f>
        <v>0</v>
      </c>
      <c r="H16" s="548">
        <f>'bilan énergie format SDS'!H145</f>
        <v>0</v>
      </c>
      <c r="I16" s="548">
        <f>'bilan énergie format SDS'!I145</f>
        <v>0</v>
      </c>
      <c r="J16" s="548">
        <f>'bilan énergie format SDS'!J145</f>
        <v>0</v>
      </c>
      <c r="K16" s="548" t="e">
        <f>'bilan énergie format SDS'!#REF!</f>
        <v>#REF!</v>
      </c>
      <c r="L16" s="548">
        <f>'bilan énergie format SDS'!K145</f>
        <v>-7.3263599105945998</v>
      </c>
    </row>
    <row r="17" spans="1:12" s="77" customFormat="1">
      <c r="A17" s="547" t="s">
        <v>64</v>
      </c>
      <c r="B17" s="548">
        <f>'bilan énergie format SDS'!B146</f>
        <v>0</v>
      </c>
      <c r="C17" s="548">
        <f>'bilan énergie format SDS'!C146</f>
        <v>0</v>
      </c>
      <c r="D17" s="548">
        <f>'bilan énergie format SDS'!D146</f>
        <v>0</v>
      </c>
      <c r="E17" s="548">
        <f>'bilan énergie format SDS'!E146</f>
        <v>0</v>
      </c>
      <c r="F17" s="548">
        <f>'bilan énergie format SDS'!F146</f>
        <v>0</v>
      </c>
      <c r="G17" s="548">
        <f>'bilan énergie format SDS'!G146</f>
        <v>0</v>
      </c>
      <c r="H17" s="548">
        <f>'bilan énergie format SDS'!H146</f>
        <v>0</v>
      </c>
      <c r="I17" s="548">
        <f>'bilan énergie format SDS'!I146</f>
        <v>0</v>
      </c>
      <c r="J17" s="548">
        <f>'bilan énergie format SDS'!J146</f>
        <v>0</v>
      </c>
      <c r="K17" s="548" t="e">
        <f>'bilan énergie format SDS'!#REF!</f>
        <v>#REF!</v>
      </c>
      <c r="L17" s="548">
        <f>'bilan énergie format SDS'!K146</f>
        <v>0</v>
      </c>
    </row>
    <row r="18" spans="1:12" s="77" customFormat="1" ht="15.5">
      <c r="A18" s="550" t="s">
        <v>65</v>
      </c>
      <c r="B18" s="548">
        <f>'bilan énergie format SDS'!B147</f>
        <v>4.2145990929815103</v>
      </c>
      <c r="C18" s="548">
        <f>'bilan énergie format SDS'!C147</f>
        <v>44.3</v>
      </c>
      <c r="D18" s="548">
        <f>'bilan énergie format SDS'!D147</f>
        <v>19.049606465816201</v>
      </c>
      <c r="E18" s="548">
        <f>'bilan énergie format SDS'!E147</f>
        <v>34.869304819463203</v>
      </c>
      <c r="F18" s="548">
        <f>'bilan énergie format SDS'!F147</f>
        <v>0</v>
      </c>
      <c r="G18" s="548">
        <f>'bilan énergie format SDS'!G147</f>
        <v>0</v>
      </c>
      <c r="H18" s="548">
        <f>'bilan énergie format SDS'!H147</f>
        <v>19.578959878726799</v>
      </c>
      <c r="I18" s="548">
        <f>'bilan énergie format SDS'!I147</f>
        <v>-6.8170956314650155</v>
      </c>
      <c r="J18" s="548">
        <f>'bilan énergie format SDS'!J147</f>
        <v>0</v>
      </c>
      <c r="K18" s="548" t="e">
        <f>'bilan énergie format SDS'!#REF!</f>
        <v>#REF!</v>
      </c>
      <c r="L18" s="548">
        <f>'bilan énergie format SDS'!K147</f>
        <v>114.609470412281</v>
      </c>
    </row>
    <row r="19" spans="1:12" s="77" customFormat="1" ht="15.5">
      <c r="A19" s="552"/>
      <c r="B19" s="548">
        <f>'bilan énergie format SDS'!B148</f>
        <v>0</v>
      </c>
      <c r="C19" s="548">
        <f>'bilan énergie format SDS'!C148</f>
        <v>0</v>
      </c>
      <c r="D19" s="548">
        <f>'bilan énergie format SDS'!D148</f>
        <v>0</v>
      </c>
      <c r="E19" s="548">
        <f>'bilan énergie format SDS'!E148</f>
        <v>0</v>
      </c>
      <c r="F19" s="548">
        <f>'bilan énergie format SDS'!F148</f>
        <v>0</v>
      </c>
      <c r="G19" s="548">
        <f>'bilan énergie format SDS'!G148</f>
        <v>0</v>
      </c>
      <c r="H19" s="548">
        <f>'bilan énergie format SDS'!H148</f>
        <v>0</v>
      </c>
      <c r="I19" s="548">
        <f>'bilan énergie format SDS'!I148</f>
        <v>0</v>
      </c>
      <c r="J19" s="548">
        <f>'bilan énergie format SDS'!J148</f>
        <v>0</v>
      </c>
      <c r="K19" s="548" t="e">
        <f>'bilan énergie format SDS'!#REF!</f>
        <v>#REF!</v>
      </c>
      <c r="L19" s="548">
        <f>'bilan énergie format SDS'!K148</f>
        <v>0</v>
      </c>
    </row>
    <row r="20" spans="1:12" s="77" customFormat="1">
      <c r="A20" s="547" t="s">
        <v>66</v>
      </c>
      <c r="B20" s="548">
        <f>'bilan énergie format SDS'!B149</f>
        <v>0</v>
      </c>
      <c r="C20" s="548">
        <f>'bilan énergie format SDS'!C149</f>
        <v>0</v>
      </c>
      <c r="D20" s="548">
        <f>'bilan énergie format SDS'!D149</f>
        <v>0</v>
      </c>
      <c r="E20" s="548">
        <f>'bilan énergie format SDS'!E149</f>
        <v>0</v>
      </c>
      <c r="F20" s="548">
        <f>'bilan énergie format SDS'!F149</f>
        <v>0</v>
      </c>
      <c r="G20" s="548">
        <f>'bilan énergie format SDS'!G149</f>
        <v>0</v>
      </c>
      <c r="H20" s="548">
        <f>'bilan énergie format SDS'!H149</f>
        <v>0</v>
      </c>
      <c r="I20" s="548">
        <f>'bilan énergie format SDS'!I149</f>
        <v>0</v>
      </c>
      <c r="J20" s="548">
        <f>'bilan énergie format SDS'!J149</f>
        <v>0</v>
      </c>
      <c r="K20" s="548" t="e">
        <f>'bilan énergie format SDS'!#REF!</f>
        <v>#REF!</v>
      </c>
      <c r="L20" s="548">
        <f>'bilan énergie format SDS'!K149</f>
        <v>0</v>
      </c>
    </row>
    <row r="21" spans="1:12" s="77" customFormat="1">
      <c r="A21" s="547" t="s">
        <v>67</v>
      </c>
      <c r="B21" s="548">
        <f>'bilan énergie format SDS'!B150</f>
        <v>0</v>
      </c>
      <c r="C21" s="548">
        <f>'bilan énergie format SDS'!C150</f>
        <v>0</v>
      </c>
      <c r="D21" s="548">
        <f>'bilan énergie format SDS'!D150</f>
        <v>0</v>
      </c>
      <c r="E21" s="548">
        <f>'bilan énergie format SDS'!E150</f>
        <v>0</v>
      </c>
      <c r="F21" s="548">
        <f>'bilan énergie format SDS'!F150</f>
        <v>0</v>
      </c>
      <c r="G21" s="548">
        <f>'bilan énergie format SDS'!G150</f>
        <v>0</v>
      </c>
      <c r="H21" s="548">
        <f>'bilan énergie format SDS'!H150</f>
        <v>0</v>
      </c>
      <c r="I21" s="548">
        <f>'bilan énergie format SDS'!I150</f>
        <v>0</v>
      </c>
      <c r="J21" s="548">
        <f>'bilan énergie format SDS'!J150</f>
        <v>0</v>
      </c>
      <c r="K21" s="548" t="e">
        <f>'bilan énergie format SDS'!#REF!</f>
        <v>#REF!</v>
      </c>
      <c r="L21" s="548">
        <f>'bilan énergie format SDS'!K150</f>
        <v>0</v>
      </c>
    </row>
    <row r="22" spans="1:12" s="77" customFormat="1">
      <c r="A22" s="547" t="s">
        <v>68</v>
      </c>
      <c r="B22" s="548">
        <f>'bilan énergie format SDS'!B151</f>
        <v>2.5795356835769558</v>
      </c>
      <c r="C22" s="548">
        <f>'bilan énergie format SDS'!C151</f>
        <v>0</v>
      </c>
      <c r="D22" s="548">
        <f>'bilan énergie format SDS'!D151</f>
        <v>0</v>
      </c>
      <c r="E22" s="548">
        <f>'bilan énergie format SDS'!E151</f>
        <v>3.8466760193691449</v>
      </c>
      <c r="F22" s="548">
        <f>'bilan énergie format SDS'!F151</f>
        <v>107.5</v>
      </c>
      <c r="G22" s="548">
        <f>'bilan énergie format SDS'!G151</f>
        <v>16.684000000000001</v>
      </c>
      <c r="H22" s="548">
        <f>'bilan énergie format SDS'!H151</f>
        <v>3.6543422184006871</v>
      </c>
      <c r="I22" s="548">
        <f>'bilan énergie format SDS'!I151</f>
        <v>-53.912295786758378</v>
      </c>
      <c r="J22" s="548">
        <f>'bilan énergie format SDS'!J151</f>
        <v>0</v>
      </c>
      <c r="K22" s="548" t="e">
        <f>'bilan énergie format SDS'!#REF!</f>
        <v>#REF!</v>
      </c>
      <c r="L22" s="548">
        <f>'bilan énergie format SDS'!K151</f>
        <v>80.352258134588439</v>
      </c>
    </row>
    <row r="23" spans="1:12" s="77" customFormat="1">
      <c r="A23" s="547" t="s">
        <v>69</v>
      </c>
      <c r="B23" s="548">
        <f>'bilan énergie format SDS'!B152</f>
        <v>0</v>
      </c>
      <c r="C23" s="548">
        <f>'bilan énergie format SDS'!C152</f>
        <v>0</v>
      </c>
      <c r="D23" s="548">
        <f>'bilan énergie format SDS'!D152</f>
        <v>0</v>
      </c>
      <c r="E23" s="548">
        <f>'bilan énergie format SDS'!E152</f>
        <v>0</v>
      </c>
      <c r="F23" s="548">
        <f>'bilan énergie format SDS'!F152</f>
        <v>0</v>
      </c>
      <c r="G23" s="548">
        <f>'bilan énergie format SDS'!G152</f>
        <v>0</v>
      </c>
      <c r="H23" s="548">
        <f>'bilan énergie format SDS'!H152</f>
        <v>0</v>
      </c>
      <c r="I23" s="548">
        <f>'bilan énergie format SDS'!I152</f>
        <v>0</v>
      </c>
      <c r="J23" s="548">
        <f>'bilan énergie format SDS'!J152</f>
        <v>0</v>
      </c>
      <c r="K23" s="548" t="e">
        <f>'bilan énergie format SDS'!#REF!</f>
        <v>#REF!</v>
      </c>
      <c r="L23" s="548">
        <f>'bilan énergie format SDS'!K152</f>
        <v>0</v>
      </c>
    </row>
    <row r="24" spans="1:12" s="77" customFormat="1">
      <c r="A24" s="547" t="s">
        <v>70</v>
      </c>
      <c r="B24" s="548">
        <f>'bilan énergie format SDS'!B153</f>
        <v>0.122830244900262</v>
      </c>
      <c r="C24" s="548">
        <f>'bilan énergie format SDS'!C153</f>
        <v>0</v>
      </c>
      <c r="D24" s="548">
        <f>'bilan énergie format SDS'!D153</f>
        <v>2.41383405982184E-2</v>
      </c>
      <c r="E24" s="548">
        <f>'bilan énergie format SDS'!E153</f>
        <v>1.4063742241295001</v>
      </c>
      <c r="F24" s="548">
        <f>'bilan énergie format SDS'!F153</f>
        <v>0</v>
      </c>
      <c r="G24" s="548">
        <f>'bilan énergie format SDS'!G153</f>
        <v>0</v>
      </c>
      <c r="H24" s="548">
        <f>'bilan énergie format SDS'!H153</f>
        <v>1.30147098010249</v>
      </c>
      <c r="I24" s="548">
        <f>'bilan énergie format SDS'!I153</f>
        <v>0</v>
      </c>
      <c r="J24" s="548">
        <f>'bilan énergie format SDS'!J153</f>
        <v>2.5916325616924101</v>
      </c>
      <c r="K24" s="548" t="e">
        <f>'bilan énergie format SDS'!#REF!</f>
        <v>#REF!</v>
      </c>
      <c r="L24" s="548">
        <f>'bilan énergie format SDS'!K153</f>
        <v>5.44644635142288</v>
      </c>
    </row>
    <row r="25" spans="1:12" s="77" customFormat="1">
      <c r="A25" s="547" t="s">
        <v>71</v>
      </c>
      <c r="B25" s="548">
        <f>'bilan énergie format SDS'!B154</f>
        <v>0</v>
      </c>
      <c r="C25" s="548">
        <f>'bilan énergie format SDS'!C154</f>
        <v>0</v>
      </c>
      <c r="D25" s="548">
        <f>'bilan énergie format SDS'!D154</f>
        <v>0</v>
      </c>
      <c r="E25" s="548">
        <f>'bilan énergie format SDS'!E154</f>
        <v>0</v>
      </c>
      <c r="F25" s="548">
        <f>'bilan énergie format SDS'!F154</f>
        <v>0</v>
      </c>
      <c r="G25" s="548">
        <f>'bilan énergie format SDS'!G154</f>
        <v>0</v>
      </c>
      <c r="H25" s="548">
        <f>'bilan énergie format SDS'!H154</f>
        <v>0</v>
      </c>
      <c r="I25" s="548">
        <f>'bilan énergie format SDS'!I154</f>
        <v>0</v>
      </c>
      <c r="J25" s="548">
        <f>'bilan énergie format SDS'!J154</f>
        <v>0</v>
      </c>
      <c r="K25" s="548" t="e">
        <f>'bilan énergie format SDS'!#REF!</f>
        <v>#REF!</v>
      </c>
      <c r="L25" s="548">
        <f>'bilan énergie format SDS'!K154</f>
        <v>0</v>
      </c>
    </row>
    <row r="26" spans="1:12" s="77" customFormat="1">
      <c r="A26" s="547" t="s">
        <v>72</v>
      </c>
      <c r="B26" s="548">
        <f>'bilan énergie format SDS'!B155</f>
        <v>0</v>
      </c>
      <c r="C26" s="548">
        <f>'bilan énergie format SDS'!C155</f>
        <v>44.3</v>
      </c>
      <c r="D26" s="548">
        <f>'bilan énergie format SDS'!D155</f>
        <v>-42.3</v>
      </c>
      <c r="E26" s="548">
        <f>'bilan énergie format SDS'!E155</f>
        <v>0.7</v>
      </c>
      <c r="F26" s="548">
        <f>'bilan énergie format SDS'!F155</f>
        <v>0</v>
      </c>
      <c r="G26" s="548">
        <f>'bilan énergie format SDS'!G155</f>
        <v>0</v>
      </c>
      <c r="H26" s="548">
        <f>'bilan énergie format SDS'!H155</f>
        <v>0</v>
      </c>
      <c r="I26" s="548">
        <f>'bilan énergie format SDS'!I155</f>
        <v>0</v>
      </c>
      <c r="J26" s="548">
        <f>'bilan énergie format SDS'!J155</f>
        <v>0</v>
      </c>
      <c r="K26" s="548" t="e">
        <f>'bilan énergie format SDS'!#REF!</f>
        <v>#REF!</v>
      </c>
      <c r="L26" s="548">
        <f>'bilan énergie format SDS'!K155</f>
        <v>2.7</v>
      </c>
    </row>
    <row r="27" spans="1:12" s="77" customFormat="1">
      <c r="A27" s="547"/>
      <c r="B27" s="548" t="e">
        <f>'bilan énergie format SDS'!#REF!</f>
        <v>#REF!</v>
      </c>
      <c r="C27" s="548" t="e">
        <f>'bilan énergie format SDS'!#REF!</f>
        <v>#REF!</v>
      </c>
      <c r="D27" s="548" t="e">
        <f>'bilan énergie format SDS'!#REF!</f>
        <v>#REF!</v>
      </c>
      <c r="E27" s="548" t="e">
        <f>'bilan énergie format SDS'!#REF!</f>
        <v>#REF!</v>
      </c>
      <c r="F27" s="548" t="e">
        <f>'bilan énergie format SDS'!#REF!</f>
        <v>#REF!</v>
      </c>
      <c r="G27" s="548" t="e">
        <f>'bilan énergie format SDS'!#REF!</f>
        <v>#REF!</v>
      </c>
      <c r="H27" s="548" t="e">
        <f>'bilan énergie format SDS'!#REF!</f>
        <v>#REF!</v>
      </c>
      <c r="I27" s="548" t="e">
        <f>'bilan énergie format SDS'!#REF!</f>
        <v>#REF!</v>
      </c>
      <c r="J27" s="548" t="e">
        <f>'bilan énergie format SDS'!#REF!</f>
        <v>#REF!</v>
      </c>
      <c r="K27" s="548" t="e">
        <f>'bilan énergie format SDS'!#REF!</f>
        <v>#REF!</v>
      </c>
      <c r="L27" s="548" t="e">
        <f>'bilan énergie format SDS'!#REF!</f>
        <v>#REF!</v>
      </c>
    </row>
    <row r="28" spans="1:12" s="77" customFormat="1">
      <c r="A28" s="547" t="s">
        <v>74</v>
      </c>
      <c r="B28" s="548">
        <f>'bilan énergie format SDS'!B156</f>
        <v>2.6892999999999998</v>
      </c>
      <c r="C28" s="548">
        <f>'bilan énergie format SDS'!C156</f>
        <v>0</v>
      </c>
      <c r="D28" s="548">
        <f>'bilan énergie format SDS'!D156</f>
        <v>0</v>
      </c>
      <c r="E28" s="548">
        <f>'bilan énergie format SDS'!E156</f>
        <v>0</v>
      </c>
      <c r="F28" s="548">
        <f>'bilan énergie format SDS'!F156</f>
        <v>0</v>
      </c>
      <c r="G28" s="548">
        <f>'bilan énergie format SDS'!G156</f>
        <v>0</v>
      </c>
      <c r="H28" s="548">
        <f>'bilan énergie format SDS'!H156</f>
        <v>0</v>
      </c>
      <c r="I28" s="548">
        <f>'bilan énergie format SDS'!I156</f>
        <v>0</v>
      </c>
      <c r="J28" s="548">
        <f>'bilan énergie format SDS'!J156</f>
        <v>0</v>
      </c>
      <c r="K28" s="548" t="e">
        <f>'bilan énergie format SDS'!#REF!</f>
        <v>#REF!</v>
      </c>
      <c r="L28" s="548">
        <f>'bilan énergie format SDS'!K156</f>
        <v>2.6892999999999998</v>
      </c>
    </row>
    <row r="29" spans="1:12" s="77" customFormat="1">
      <c r="A29" s="547" t="s">
        <v>75</v>
      </c>
      <c r="B29" s="548">
        <f>'bilan énergie format SDS'!B157</f>
        <v>1.0374988057705199</v>
      </c>
      <c r="C29" s="548">
        <f>'bilan énergie format SDS'!C157</f>
        <v>0</v>
      </c>
      <c r="D29" s="548">
        <f>'bilan énergie format SDS'!D157</f>
        <v>1.7969999999999999</v>
      </c>
      <c r="E29" s="548">
        <f>'bilan énergie format SDS'!E157</f>
        <v>1.2420767288043999</v>
      </c>
      <c r="F29" s="548">
        <f>'bilan énergie format SDS'!F157</f>
        <v>0</v>
      </c>
      <c r="G29" s="548">
        <f>'bilan énergie format SDS'!G157</f>
        <v>0</v>
      </c>
      <c r="H29" s="548">
        <f>'bilan énergie format SDS'!H157</f>
        <v>5.1017483519633103E-2</v>
      </c>
      <c r="I29" s="548">
        <f>'bilan énergie format SDS'!I157</f>
        <v>2.7822871883060998</v>
      </c>
      <c r="J29" s="548">
        <f>'bilan énergie format SDS'!J157</f>
        <v>0</v>
      </c>
      <c r="K29" s="548" t="e">
        <f>'bilan énergie format SDS'!#REF!</f>
        <v>#REF!</v>
      </c>
      <c r="L29" s="548">
        <f>'bilan énergie format SDS'!K157</f>
        <v>6.9098802064006604</v>
      </c>
    </row>
    <row r="30" spans="1:12" s="77" customFormat="1">
      <c r="A30" s="547" t="s">
        <v>76</v>
      </c>
      <c r="B30" s="548">
        <f>'bilan énergie format SDS'!B158</f>
        <v>0</v>
      </c>
      <c r="C30" s="548">
        <f>'bilan énergie format SDS'!C158</f>
        <v>0</v>
      </c>
      <c r="D30" s="548">
        <f>'bilan énergie format SDS'!D158</f>
        <v>0</v>
      </c>
      <c r="E30" s="548">
        <f>'bilan énergie format SDS'!E158</f>
        <v>0.43750889256047498</v>
      </c>
      <c r="F30" s="548">
        <f>'bilan énergie format SDS'!F158</f>
        <v>0</v>
      </c>
      <c r="G30" s="548">
        <f>'bilan énergie format SDS'!G158</f>
        <v>0</v>
      </c>
      <c r="H30" s="548">
        <f>'bilan énergie format SDS'!H158</f>
        <v>0</v>
      </c>
      <c r="I30" s="548">
        <f>'bilan énergie format SDS'!I158</f>
        <v>3.3945679446466599</v>
      </c>
      <c r="J30" s="548">
        <f>'bilan énergie format SDS'!J158</f>
        <v>0</v>
      </c>
      <c r="K30" s="548" t="e">
        <f>'bilan énergie format SDS'!#REF!</f>
        <v>#REF!</v>
      </c>
      <c r="L30" s="548">
        <f>'bilan énergie format SDS'!K158</f>
        <v>3.8320768372071301</v>
      </c>
    </row>
    <row r="31" spans="1:12" s="77" customFormat="1" ht="15.5">
      <c r="A31" s="550" t="s">
        <v>77</v>
      </c>
      <c r="B31" s="548">
        <f>'bilan énergie format SDS'!B159</f>
        <v>3.8496290506707802</v>
      </c>
      <c r="C31" s="548">
        <f>'bilan énergie format SDS'!C159</f>
        <v>44.3</v>
      </c>
      <c r="D31" s="548">
        <f>'bilan énergie format SDS'!D159</f>
        <v>-40.478861659401801</v>
      </c>
      <c r="E31" s="548">
        <f>'bilan énergie format SDS'!E159</f>
        <v>7.63263586486352</v>
      </c>
      <c r="F31" s="548">
        <f>'bilan énergie format SDS'!F159</f>
        <v>0</v>
      </c>
      <c r="G31" s="548">
        <f>'bilan énergie format SDS'!G159</f>
        <v>0</v>
      </c>
      <c r="H31" s="548">
        <f>'bilan énergie format SDS'!H159</f>
        <v>1.3524884636221199</v>
      </c>
      <c r="I31" s="548">
        <f>'bilan énergie format SDS'!I159</f>
        <v>-47.735440653805618</v>
      </c>
      <c r="J31" s="548">
        <f>'bilan énergie format SDS'!J159</f>
        <v>2.5916325616924101</v>
      </c>
      <c r="K31" s="548" t="e">
        <f>'bilan énergie format SDS'!#REF!</f>
        <v>#REF!</v>
      </c>
      <c r="L31" s="548">
        <f>'bilan énergie format SDS'!K159</f>
        <v>-27.9770167895722</v>
      </c>
    </row>
    <row r="32" spans="1:12" s="77" customFormat="1" ht="15.5">
      <c r="A32" s="552"/>
      <c r="B32" s="548">
        <f>'bilan énergie format SDS'!B160</f>
        <v>0</v>
      </c>
      <c r="C32" s="548">
        <f>'bilan énergie format SDS'!C160</f>
        <v>0</v>
      </c>
      <c r="D32" s="548">
        <f>'bilan énergie format SDS'!D160</f>
        <v>0</v>
      </c>
      <c r="E32" s="548">
        <f>'bilan énergie format SDS'!E160</f>
        <v>0</v>
      </c>
      <c r="F32" s="548">
        <f>'bilan énergie format SDS'!F160</f>
        <v>0</v>
      </c>
      <c r="G32" s="548">
        <f>'bilan énergie format SDS'!G160</f>
        <v>0</v>
      </c>
      <c r="H32" s="548">
        <f>'bilan énergie format SDS'!H160</f>
        <v>0</v>
      </c>
      <c r="I32" s="548">
        <f>'bilan énergie format SDS'!I160</f>
        <v>0</v>
      </c>
      <c r="J32" s="548">
        <f>'bilan énergie format SDS'!J160</f>
        <v>0</v>
      </c>
      <c r="K32" s="548" t="e">
        <f>'bilan énergie format SDS'!#REF!</f>
        <v>#REF!</v>
      </c>
      <c r="L32" s="548">
        <f>'bilan énergie format SDS'!K160</f>
        <v>0</v>
      </c>
    </row>
    <row r="33" spans="1:13" s="77" customFormat="1" ht="15.5">
      <c r="A33" s="555" t="s">
        <v>78</v>
      </c>
      <c r="B33" s="548">
        <f>'bilan énergie format SDS'!B161</f>
        <v>0</v>
      </c>
      <c r="C33" s="548">
        <f>'bilan énergie format SDS'!C161</f>
        <v>0</v>
      </c>
      <c r="D33" s="548">
        <f>'bilan énergie format SDS'!D161</f>
        <v>0.35110946047781999</v>
      </c>
      <c r="E33" s="548">
        <f>'bilan énergie format SDS'!E161</f>
        <v>11.7513019954675</v>
      </c>
      <c r="F33" s="548">
        <f>'bilan énergie format SDS'!F161</f>
        <v>0</v>
      </c>
      <c r="G33" s="548">
        <f>'bilan énergie format SDS'!G161</f>
        <v>0</v>
      </c>
      <c r="H33" s="548">
        <f>'bilan énergie format SDS'!H161</f>
        <v>3.6844881425657099</v>
      </c>
      <c r="I33" s="548">
        <f>'bilan énergie format SDS'!I161</f>
        <v>10.743152160228</v>
      </c>
      <c r="J33" s="548">
        <f>'bilan énergie format SDS'!J161</f>
        <v>0.72823472365086706</v>
      </c>
      <c r="K33" s="548" t="e">
        <f>'bilan énergie format SDS'!#REF!</f>
        <v>#REF!</v>
      </c>
      <c r="L33" s="548">
        <f>'bilan énergie format SDS'!K161</f>
        <v>27.258286482389899</v>
      </c>
      <c r="M33" s="99"/>
    </row>
    <row r="34" spans="1:13" s="77" customFormat="1" ht="15.5">
      <c r="A34" s="555" t="s">
        <v>79</v>
      </c>
      <c r="B34" s="548">
        <f>'bilan énergie format SDS'!B162</f>
        <v>0</v>
      </c>
      <c r="C34" s="548">
        <f>'bilan énergie format SDS'!C162</f>
        <v>0</v>
      </c>
      <c r="D34" s="548">
        <f>'bilan énergie format SDS'!D162</f>
        <v>36.552079839999998</v>
      </c>
      <c r="E34" s="548">
        <f>'bilan énergie format SDS'!E162</f>
        <v>8.4730487545842795E-2</v>
      </c>
      <c r="F34" s="548">
        <f>'bilan énergie format SDS'!F162</f>
        <v>0</v>
      </c>
      <c r="G34" s="548">
        <f>'bilan énergie format SDS'!G162</f>
        <v>0</v>
      </c>
      <c r="H34" s="548">
        <f>'bilan énergie format SDS'!H162</f>
        <v>3.0577605203510898</v>
      </c>
      <c r="I34" s="548">
        <f>'bilan énergie format SDS'!I162</f>
        <v>1.9334119518486701</v>
      </c>
      <c r="J34" s="548">
        <f>'bilan énergie format SDS'!J162</f>
        <v>0</v>
      </c>
      <c r="K34" s="548" t="e">
        <f>'bilan énergie format SDS'!#REF!</f>
        <v>#REF!</v>
      </c>
      <c r="L34" s="548">
        <f>'bilan énergie format SDS'!K162</f>
        <v>41.627982799745602</v>
      </c>
      <c r="M34" s="99"/>
    </row>
    <row r="35" spans="1:13" s="77" customFormat="1">
      <c r="A35" s="547" t="s">
        <v>80</v>
      </c>
      <c r="B35" s="548">
        <f>'bilan énergie format SDS'!B163</f>
        <v>0</v>
      </c>
      <c r="C35" s="548">
        <f>'bilan énergie format SDS'!C163</f>
        <v>0</v>
      </c>
      <c r="D35" s="548">
        <f>'bilan énergie format SDS'!D163</f>
        <v>3.8396954110546102</v>
      </c>
      <c r="E35" s="548">
        <f>'bilan énergie format SDS'!E163</f>
        <v>7.8264342007141599</v>
      </c>
      <c r="F35" s="548">
        <f>'bilan énergie format SDS'!F163</f>
        <v>0</v>
      </c>
      <c r="G35" s="548">
        <f>'bilan énergie format SDS'!G163</f>
        <v>0</v>
      </c>
      <c r="H35" s="548">
        <f>'bilan énergie format SDS'!H163</f>
        <v>10.301443041103401</v>
      </c>
      <c r="I35" s="548">
        <f>'bilan énergie format SDS'!I163</f>
        <v>13.146567058142599</v>
      </c>
      <c r="J35" s="548">
        <f>'bilan énergie format SDS'!J163</f>
        <v>1.26224436300186</v>
      </c>
      <c r="K35" s="548" t="e">
        <f>'bilan énergie format SDS'!#REF!</f>
        <v>#REF!</v>
      </c>
      <c r="L35" s="548">
        <f>'bilan énergie format SDS'!K163</f>
        <v>36.376384074016698</v>
      </c>
      <c r="M35" s="99"/>
    </row>
    <row r="36" spans="1:13" s="77" customFormat="1">
      <c r="A36" s="547" t="s">
        <v>81</v>
      </c>
      <c r="B36" s="548">
        <f>'bilan énergie format SDS'!B164</f>
        <v>0</v>
      </c>
      <c r="C36" s="548">
        <f>'bilan énergie format SDS'!C164</f>
        <v>0</v>
      </c>
      <c r="D36" s="548">
        <f>'bilan énergie format SDS'!D164</f>
        <v>1.7637656446401699</v>
      </c>
      <c r="E36" s="548">
        <f>'bilan énergie format SDS'!E164</f>
        <v>5.1729011457278196</v>
      </c>
      <c r="F36" s="548">
        <f>'bilan énergie format SDS'!F164</f>
        <v>0</v>
      </c>
      <c r="G36" s="548">
        <f>'bilan énergie format SDS'!G164</f>
        <v>0</v>
      </c>
      <c r="H36" s="548">
        <f>'bilan énergie format SDS'!H164</f>
        <v>1.01490750115354</v>
      </c>
      <c r="I36" s="548">
        <f>'bilan énergie format SDS'!I164</f>
        <v>14.418365476499799</v>
      </c>
      <c r="J36" s="548">
        <f>'bilan énergie format SDS'!J164</f>
        <v>0.60115347503968097</v>
      </c>
      <c r="K36" s="548" t="e">
        <f>'bilan énergie format SDS'!#REF!</f>
        <v>#REF!</v>
      </c>
      <c r="L36" s="548">
        <f>'bilan énergie format SDS'!K164</f>
        <v>22.971093243060999</v>
      </c>
      <c r="M36" s="99"/>
    </row>
    <row r="37" spans="1:13" s="77" customFormat="1">
      <c r="A37" s="547" t="s">
        <v>82</v>
      </c>
      <c r="B37" s="548">
        <f>'bilan énergie format SDS'!B165</f>
        <v>2.2137192704974398E-3</v>
      </c>
      <c r="C37" s="548">
        <f>'bilan énergie format SDS'!C165</f>
        <v>0</v>
      </c>
      <c r="D37" s="548">
        <f>'bilan énergie format SDS'!D165</f>
        <v>3.10854342969155</v>
      </c>
      <c r="E37" s="548">
        <f>'bilan énergie format SDS'!E165</f>
        <v>0.18792799151046999</v>
      </c>
      <c r="F37" s="548">
        <f>'bilan énergie format SDS'!F165</f>
        <v>0</v>
      </c>
      <c r="G37" s="548">
        <f>'bilan énergie format SDS'!G165</f>
        <v>0</v>
      </c>
      <c r="H37" s="548">
        <f>'bilan énergie format SDS'!H165</f>
        <v>0.16787220993086899</v>
      </c>
      <c r="I37" s="548">
        <f>'bilan énergie format SDS'!I165</f>
        <v>0.67684837562158895</v>
      </c>
      <c r="J37" s="548">
        <f>'bilan énergie format SDS'!J165</f>
        <v>6.4536710533781398E-3</v>
      </c>
      <c r="K37" s="548" t="e">
        <f>'bilan énergie format SDS'!#REF!</f>
        <v>#REF!</v>
      </c>
      <c r="L37" s="548">
        <f>'bilan énergie format SDS'!K165</f>
        <v>4.1498593970783499</v>
      </c>
      <c r="M37" s="99"/>
    </row>
    <row r="38" spans="1:13" s="77" customFormat="1" ht="15.5">
      <c r="A38" s="550" t="s">
        <v>83</v>
      </c>
      <c r="B38" s="548">
        <f>'bilan énergie format SDS'!B166</f>
        <v>2.2137192704974398E-3</v>
      </c>
      <c r="C38" s="548">
        <f>'bilan énergie format SDS'!C166</f>
        <v>0</v>
      </c>
      <c r="D38" s="548">
        <f>'bilan énergie format SDS'!D166</f>
        <v>45.6151937858642</v>
      </c>
      <c r="E38" s="548">
        <f>'bilan énergie format SDS'!E166</f>
        <v>25.023295820965799</v>
      </c>
      <c r="F38" s="548">
        <f>'bilan énergie format SDS'!F166</f>
        <v>0</v>
      </c>
      <c r="G38" s="548">
        <f>'bilan énergie format SDS'!G166</f>
        <v>0</v>
      </c>
      <c r="H38" s="548">
        <f>'bilan énergie format SDS'!H166</f>
        <v>18.226471415104601</v>
      </c>
      <c r="I38" s="548">
        <f>'bilan énergie format SDS'!I166</f>
        <v>40.918345022340603</v>
      </c>
      <c r="J38" s="548">
        <f>'bilan énergie format SDS'!J166</f>
        <v>2.5980862327457901</v>
      </c>
      <c r="K38" s="548" t="e">
        <f>'bilan énergie format SDS'!#REF!</f>
        <v>#REF!</v>
      </c>
      <c r="L38" s="548">
        <f>'bilan énergie format SDS'!K166</f>
        <v>132.383605996292</v>
      </c>
    </row>
    <row r="39" spans="1:13" s="77" customFormat="1">
      <c r="A39" s="547" t="s">
        <v>84</v>
      </c>
      <c r="B39" s="548">
        <f>'bilan énergie format SDS'!B167</f>
        <v>0.36275632304023198</v>
      </c>
      <c r="C39" s="548">
        <f>'bilan énergie format SDS'!C167</f>
        <v>0</v>
      </c>
      <c r="D39" s="548">
        <f>'bilan énergie format SDS'!D167</f>
        <v>13.913274339353899</v>
      </c>
      <c r="E39" s="548">
        <f>'bilan énergie format SDS'!E167</f>
        <v>1.11656933760591</v>
      </c>
      <c r="F39" s="548">
        <f>'bilan énergie format SDS'!F167</f>
        <v>0</v>
      </c>
      <c r="G39" s="548">
        <f>'bilan énergie format SDS'!G167</f>
        <v>0</v>
      </c>
      <c r="H39" s="548">
        <f>'bilan énergie format SDS'!H167</f>
        <v>0</v>
      </c>
      <c r="I39" s="548">
        <f>'bilan énergie format SDS'!I167</f>
        <v>0</v>
      </c>
      <c r="J39" s="548">
        <f>'bilan énergie format SDS'!J167</f>
        <v>0</v>
      </c>
      <c r="K39" s="548" t="e">
        <f>'bilan énergie format SDS'!#REF!</f>
        <v>#REF!</v>
      </c>
      <c r="L39" s="548">
        <f>'bilan énergie format SDS'!K167</f>
        <v>15.3926</v>
      </c>
    </row>
    <row r="40" spans="1:13" s="77" customFormat="1" ht="15.5">
      <c r="A40" s="550" t="s">
        <v>85</v>
      </c>
      <c r="B40" s="548">
        <f>'bilan énergie format SDS'!B168</f>
        <v>0.36497004231072999</v>
      </c>
      <c r="C40" s="548">
        <f>'bilan énergie format SDS'!C168</f>
        <v>0</v>
      </c>
      <c r="D40" s="548">
        <f>'bilan énergie format SDS'!D168</f>
        <v>59.528468125217998</v>
      </c>
      <c r="E40" s="548">
        <f>'bilan énergie format SDS'!E168</f>
        <v>26.139865158571698</v>
      </c>
      <c r="F40" s="548">
        <f>'bilan énergie format SDS'!F168</f>
        <v>0</v>
      </c>
      <c r="G40" s="548">
        <f>'bilan énergie format SDS'!G168</f>
        <v>0</v>
      </c>
      <c r="H40" s="548">
        <f>'bilan énergie format SDS'!H168</f>
        <v>18.226471415104601</v>
      </c>
      <c r="I40" s="548">
        <f>'bilan énergie format SDS'!I168</f>
        <v>40.918345022340603</v>
      </c>
      <c r="J40" s="548">
        <f>'bilan énergie format SDS'!J168</f>
        <v>2.5980862327457901</v>
      </c>
      <c r="K40" s="548" t="e">
        <f>'bilan énergie format SDS'!#REF!</f>
        <v>#REF!</v>
      </c>
      <c r="L40" s="548">
        <f>'bilan énergie format SDS'!K168</f>
        <v>147.77620599629199</v>
      </c>
    </row>
    <row r="51" spans="1:14" s="77" customFormat="1" ht="15.5">
      <c r="A51" s="90" t="s">
        <v>89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4" s="77" customFormat="1" ht="29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4" s="77" customFormat="1" ht="15.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N55" s="82"/>
    </row>
    <row r="56" spans="1:14" s="77" customFormat="1">
      <c r="A56" s="259" t="s">
        <v>59</v>
      </c>
      <c r="B56" s="93">
        <v>0</v>
      </c>
      <c r="C56" s="93">
        <v>0</v>
      </c>
      <c r="D56" s="93">
        <v>0</v>
      </c>
      <c r="E56" s="93">
        <v>0</v>
      </c>
      <c r="F56" s="94">
        <v>27.345458786417471</v>
      </c>
      <c r="G56" s="94">
        <v>46.775580395528799</v>
      </c>
      <c r="H56" s="93">
        <v>39.150228110130641</v>
      </c>
      <c r="I56" s="95"/>
      <c r="J56" s="95"/>
      <c r="K56" s="95"/>
      <c r="L56" s="95">
        <v>113.27126729207691</v>
      </c>
    </row>
    <row r="57" spans="1:14" s="77" customFormat="1">
      <c r="A57" s="259" t="s">
        <v>60</v>
      </c>
      <c r="B57" s="93">
        <v>0.74697394369004599</v>
      </c>
      <c r="C57" s="93">
        <v>0</v>
      </c>
      <c r="D57" s="93">
        <v>15.265776616616671</v>
      </c>
      <c r="E57" s="93">
        <v>0</v>
      </c>
      <c r="F57" s="95"/>
      <c r="G57" s="95"/>
      <c r="H57" s="95">
        <v>0</v>
      </c>
      <c r="I57" s="107">
        <v>0</v>
      </c>
      <c r="J57" s="95"/>
      <c r="K57" s="95"/>
      <c r="L57" s="95">
        <v>16.012750560306717</v>
      </c>
    </row>
    <row r="58" spans="1:14" s="77" customFormat="1">
      <c r="A58" s="259" t="s">
        <v>61</v>
      </c>
      <c r="B58" s="93">
        <v>0</v>
      </c>
      <c r="C58" s="93">
        <v>0</v>
      </c>
      <c r="D58" s="93">
        <v>0</v>
      </c>
      <c r="E58" s="93">
        <v>0</v>
      </c>
      <c r="F58" s="95"/>
      <c r="G58" s="95"/>
      <c r="H58" s="93">
        <v>0</v>
      </c>
      <c r="I58" s="95">
        <v>-1.7515441453990022</v>
      </c>
      <c r="J58" s="95"/>
      <c r="K58" s="95"/>
      <c r="L58" s="95">
        <v>-1.7515441453990022</v>
      </c>
    </row>
    <row r="59" spans="1:14" s="77" customFormat="1">
      <c r="A59" s="259" t="s">
        <v>62</v>
      </c>
      <c r="B59" s="93"/>
      <c r="C59" s="93"/>
      <c r="D59" s="93">
        <v>-1.1000000000000001</v>
      </c>
      <c r="E59" s="93"/>
      <c r="F59" s="95"/>
      <c r="G59" s="95"/>
      <c r="H59" s="95"/>
      <c r="I59" s="95"/>
      <c r="J59" s="95"/>
      <c r="K59" s="95"/>
      <c r="L59" s="95">
        <v>-1.1000000000000001</v>
      </c>
    </row>
    <row r="60" spans="1:14" s="77" customFormat="1">
      <c r="A60" s="259" t="s">
        <v>63</v>
      </c>
      <c r="B60" s="93"/>
      <c r="C60" s="93"/>
      <c r="D60" s="93">
        <v>-9.8675445253719403</v>
      </c>
      <c r="E60" s="93"/>
      <c r="F60" s="95"/>
      <c r="G60" s="95"/>
      <c r="H60" s="95"/>
      <c r="I60" s="95"/>
      <c r="J60" s="95"/>
      <c r="K60" s="95"/>
      <c r="L60" s="95">
        <v>-9.8675445253719403</v>
      </c>
    </row>
    <row r="61" spans="1:14" s="77" customFormat="1">
      <c r="A61" s="259" t="s">
        <v>64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>
        <v>0</v>
      </c>
    </row>
    <row r="62" spans="1:14" s="77" customFormat="1" ht="15.5">
      <c r="A62" s="260" t="s">
        <v>65</v>
      </c>
      <c r="B62" s="97">
        <v>0.74697394369004599</v>
      </c>
      <c r="C62" s="97">
        <v>0</v>
      </c>
      <c r="D62" s="97">
        <v>4.2982320912447314</v>
      </c>
      <c r="E62" s="97">
        <v>0</v>
      </c>
      <c r="F62" s="97">
        <v>27.345458786417471</v>
      </c>
      <c r="G62" s="97">
        <v>46.775580395528799</v>
      </c>
      <c r="H62" s="97">
        <v>39.150228110130641</v>
      </c>
      <c r="I62" s="97">
        <v>-1.7515441453990022</v>
      </c>
      <c r="J62" s="97">
        <v>0</v>
      </c>
      <c r="K62" s="97"/>
      <c r="L62" s="97">
        <v>116.5649291816127</v>
      </c>
    </row>
    <row r="63" spans="1:14" s="77" customFormat="1" ht="15.5">
      <c r="A63" s="8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4" s="77" customFormat="1">
      <c r="A64" s="259" t="s">
        <v>66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>
        <v>0</v>
      </c>
    </row>
    <row r="65" spans="1:14" s="77" customFormat="1">
      <c r="A65" s="259" t="s">
        <v>67</v>
      </c>
      <c r="B65" s="93"/>
      <c r="C65" s="93"/>
      <c r="D65" s="93"/>
      <c r="E65" s="93"/>
      <c r="F65" s="95"/>
      <c r="G65" s="95"/>
      <c r="H65" s="93"/>
      <c r="I65" s="93"/>
      <c r="J65" s="95"/>
      <c r="K65" s="95"/>
      <c r="L65" s="95">
        <v>0</v>
      </c>
    </row>
    <row r="66" spans="1:14" s="77" customFormat="1">
      <c r="A66" s="259" t="s">
        <v>68</v>
      </c>
      <c r="B66" s="93">
        <v>0</v>
      </c>
      <c r="C66" s="93">
        <v>0</v>
      </c>
      <c r="D66" s="93"/>
      <c r="E66" s="93">
        <v>2.1496130696474633</v>
      </c>
      <c r="F66" s="93">
        <v>27.345458786417471</v>
      </c>
      <c r="G66" s="93">
        <v>46.775580395528799</v>
      </c>
      <c r="H66" s="93">
        <v>0</v>
      </c>
      <c r="I66" s="93">
        <v>-56.673999999999992</v>
      </c>
      <c r="J66" s="95"/>
      <c r="K66" s="95"/>
      <c r="L66" s="95">
        <v>19.596652251593738</v>
      </c>
    </row>
    <row r="67" spans="1:14" s="77" customFormat="1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4" s="77" customFormat="1">
      <c r="A68" s="259" t="s">
        <v>70</v>
      </c>
      <c r="B68" s="93">
        <v>0</v>
      </c>
      <c r="C68" s="93"/>
      <c r="D68" s="93">
        <v>0</v>
      </c>
      <c r="E68" s="93">
        <v>0.85449177920296737</v>
      </c>
      <c r="F68" s="95"/>
      <c r="G68" s="95"/>
      <c r="H68" s="93">
        <v>3.403615539978218</v>
      </c>
      <c r="I68" s="93"/>
      <c r="J68" s="95">
        <v>-5.1661619878122789</v>
      </c>
      <c r="K68" s="95"/>
      <c r="L68" s="95">
        <v>-0.90805466863109352</v>
      </c>
    </row>
    <row r="69" spans="1:14" s="77" customFormat="1">
      <c r="A69" s="259" t="s">
        <v>71</v>
      </c>
      <c r="B69" s="93"/>
      <c r="C69" s="93"/>
      <c r="D69" s="93"/>
      <c r="E69" s="93">
        <v>-13.268132354256622</v>
      </c>
      <c r="F69" s="95"/>
      <c r="G69" s="95"/>
      <c r="H69" s="93">
        <v>16.585165442820777</v>
      </c>
      <c r="I69" s="93"/>
      <c r="J69" s="95"/>
      <c r="K69" s="95"/>
      <c r="L69" s="95">
        <v>3.3170330885641555</v>
      </c>
    </row>
    <row r="70" spans="1:14" s="77" customFormat="1">
      <c r="A70" s="259" t="s">
        <v>72</v>
      </c>
      <c r="B70" s="93"/>
      <c r="C70" s="93">
        <v>0</v>
      </c>
      <c r="D70" s="93">
        <v>0</v>
      </c>
      <c r="E70" s="93">
        <v>0</v>
      </c>
      <c r="F70" s="95"/>
      <c r="G70" s="95"/>
      <c r="H70" s="93"/>
      <c r="I70" s="93"/>
      <c r="J70" s="95"/>
      <c r="K70" s="95"/>
      <c r="L70" s="95">
        <v>0</v>
      </c>
    </row>
    <row r="71" spans="1:14" s="77" customFormat="1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4.2992261392949267</v>
      </c>
      <c r="J71" s="95"/>
      <c r="K71" s="95">
        <v>-3.4393809114359413</v>
      </c>
      <c r="L71" s="95">
        <v>0.85984522785898543</v>
      </c>
    </row>
    <row r="72" spans="1:14" s="77" customFormat="1">
      <c r="A72" s="259" t="s">
        <v>74</v>
      </c>
      <c r="B72" s="93">
        <v>0.74476022441954859</v>
      </c>
      <c r="C72" s="93"/>
      <c r="D72" s="93"/>
      <c r="E72" s="101">
        <v>-0.30954428202923473</v>
      </c>
      <c r="F72" s="95"/>
      <c r="G72" s="95"/>
      <c r="H72" s="93"/>
      <c r="I72" s="93">
        <v>-1.0318142734307825</v>
      </c>
      <c r="J72" s="95"/>
      <c r="K72" s="106">
        <v>1.633705932932072</v>
      </c>
      <c r="L72" s="95">
        <v>1.0371076018916034</v>
      </c>
    </row>
    <row r="73" spans="1:14" s="77" customFormat="1">
      <c r="A73" s="259" t="s">
        <v>75</v>
      </c>
      <c r="B73" s="93">
        <v>0</v>
      </c>
      <c r="C73" s="93"/>
      <c r="D73" s="93">
        <v>0</v>
      </c>
      <c r="E73" s="289">
        <v>0</v>
      </c>
      <c r="F73" s="95"/>
      <c r="G73" s="95"/>
      <c r="H73" s="93">
        <v>5.1017483519633131E-2</v>
      </c>
      <c r="I73" s="93">
        <v>2.3441960447119525</v>
      </c>
      <c r="J73" s="95"/>
      <c r="K73" s="95"/>
      <c r="L73" s="95">
        <v>2.3952135282315856</v>
      </c>
      <c r="N73" s="96"/>
    </row>
    <row r="74" spans="1:14" s="77" customFormat="1">
      <c r="A74" s="259" t="s">
        <v>76</v>
      </c>
      <c r="B74" s="93"/>
      <c r="C74" s="93"/>
      <c r="D74" s="93"/>
      <c r="E74" s="93">
        <v>0.15893900909970565</v>
      </c>
      <c r="F74" s="95"/>
      <c r="G74" s="95"/>
      <c r="H74" s="93"/>
      <c r="I74" s="93">
        <v>3.6734955070724626</v>
      </c>
      <c r="J74" s="95">
        <v>1.077103851085037</v>
      </c>
      <c r="K74" s="95"/>
      <c r="L74" s="95">
        <v>4.9095383672572055</v>
      </c>
    </row>
    <row r="75" spans="1:14" s="77" customFormat="1" ht="15.5">
      <c r="A75" s="260" t="s">
        <v>77</v>
      </c>
      <c r="B75" s="97">
        <v>0.74476022441954859</v>
      </c>
      <c r="C75" s="97">
        <v>0</v>
      </c>
      <c r="D75" s="97">
        <v>0</v>
      </c>
      <c r="E75" s="97">
        <v>-10.414632778335719</v>
      </c>
      <c r="F75" s="97">
        <v>27.345458786417471</v>
      </c>
      <c r="G75" s="97">
        <v>46.775580395528799</v>
      </c>
      <c r="H75" s="97">
        <v>20.039798466318629</v>
      </c>
      <c r="I75" s="97">
        <v>-47.388896582351435</v>
      </c>
      <c r="J75" s="97">
        <v>-4.0890581367272416</v>
      </c>
      <c r="K75" s="97">
        <v>-1.8056749785038693</v>
      </c>
      <c r="L75" s="97">
        <v>31.20733539676618</v>
      </c>
    </row>
    <row r="76" spans="1:14" s="77" customFormat="1" ht="15.5">
      <c r="A76" s="8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4" s="77" customFormat="1" ht="15.5">
      <c r="A77" s="262" t="s">
        <v>78</v>
      </c>
      <c r="B77" s="93">
        <v>0</v>
      </c>
      <c r="C77" s="95"/>
      <c r="D77" s="93">
        <v>0</v>
      </c>
      <c r="E77" s="93">
        <v>2.6196131084152277</v>
      </c>
      <c r="F77" s="95"/>
      <c r="G77" s="95"/>
      <c r="H77" s="93">
        <v>2.4941614081810051</v>
      </c>
      <c r="I77" s="93">
        <v>15.692222796920932</v>
      </c>
      <c r="J77" s="93">
        <v>0.41499583184774225</v>
      </c>
      <c r="K77" s="93"/>
      <c r="L77" s="95">
        <v>21.220993145364908</v>
      </c>
      <c r="M77" s="99"/>
    </row>
    <row r="78" spans="1:14" s="77" customFormat="1" ht="15.5">
      <c r="A78" s="262" t="s">
        <v>79</v>
      </c>
      <c r="B78" s="107"/>
      <c r="C78" s="107"/>
      <c r="D78" s="93">
        <v>0.93045123347554903</v>
      </c>
      <c r="E78" s="93">
        <v>3.6028639370370201</v>
      </c>
      <c r="F78" s="95"/>
      <c r="G78" s="95"/>
      <c r="H78" s="93">
        <v>4.2184772740988761</v>
      </c>
      <c r="I78" s="93">
        <v>8.1773954821011205</v>
      </c>
      <c r="J78" s="93"/>
      <c r="K78" s="93">
        <v>8.5984522785898534E-2</v>
      </c>
      <c r="L78" s="95">
        <v>17.015172449498465</v>
      </c>
      <c r="M78" s="99"/>
    </row>
    <row r="79" spans="1:14" s="77" customFormat="1">
      <c r="A79" s="259" t="s">
        <v>80</v>
      </c>
      <c r="B79" s="93">
        <v>0</v>
      </c>
      <c r="C79" s="95"/>
      <c r="D79" s="93">
        <v>0.16812387266585074</v>
      </c>
      <c r="E79" s="93">
        <v>2.6677723755245331</v>
      </c>
      <c r="F79" s="95"/>
      <c r="G79" s="95"/>
      <c r="H79" s="93">
        <v>9.1119423382098859</v>
      </c>
      <c r="I79" s="93">
        <v>11.1263428965709</v>
      </c>
      <c r="J79" s="93">
        <v>2.1285056205612118</v>
      </c>
      <c r="K79" s="93"/>
      <c r="L79" s="95">
        <v>25.202687103532384</v>
      </c>
      <c r="M79" s="99"/>
    </row>
    <row r="80" spans="1:14" s="77" customFormat="1">
      <c r="A80" s="259" t="s">
        <v>81</v>
      </c>
      <c r="B80" s="93">
        <v>0</v>
      </c>
      <c r="C80" s="95"/>
      <c r="D80" s="93">
        <v>4.3808247608083023E-2</v>
      </c>
      <c r="E80" s="93">
        <v>0.54387058176361458</v>
      </c>
      <c r="F80" s="95"/>
      <c r="G80" s="95"/>
      <c r="H80" s="93">
        <v>2.4071612194730982</v>
      </c>
      <c r="I80" s="93">
        <v>9.9325738092989031</v>
      </c>
      <c r="J80" s="93">
        <v>1.5391030132649095</v>
      </c>
      <c r="K80" s="93"/>
      <c r="L80" s="95">
        <v>14.466516871408608</v>
      </c>
      <c r="M80" s="99"/>
    </row>
    <row r="81" spans="1:13" s="77" customFormat="1">
      <c r="A81" s="259" t="s">
        <v>82</v>
      </c>
      <c r="B81" s="93">
        <v>2.2137192704974398E-3</v>
      </c>
      <c r="C81" s="95"/>
      <c r="D81" s="93">
        <v>0</v>
      </c>
      <c r="E81" s="93">
        <v>0.69442453716561003</v>
      </c>
      <c r="F81" s="95"/>
      <c r="G81" s="95"/>
      <c r="H81" s="93">
        <v>0.87868740384914412</v>
      </c>
      <c r="I81" s="93">
        <v>0.708817452060579</v>
      </c>
      <c r="J81" s="93">
        <v>6.4536710533781346E-3</v>
      </c>
      <c r="K81" s="93"/>
      <c r="L81" s="95">
        <v>2.2905967833992089</v>
      </c>
      <c r="M81" s="99"/>
    </row>
    <row r="82" spans="1:13" s="77" customFormat="1" ht="15.5">
      <c r="A82" s="260" t="s">
        <v>83</v>
      </c>
      <c r="B82" s="97">
        <v>2.2137192704974398E-3</v>
      </c>
      <c r="C82" s="97">
        <v>0</v>
      </c>
      <c r="D82" s="97">
        <v>1.1423833537494827</v>
      </c>
      <c r="E82" s="97">
        <v>10.128544539906006</v>
      </c>
      <c r="F82" s="97">
        <v>0</v>
      </c>
      <c r="G82" s="97">
        <v>0</v>
      </c>
      <c r="H82" s="97">
        <v>19.110429643812012</v>
      </c>
      <c r="I82" s="97">
        <v>45.637352436952433</v>
      </c>
      <c r="J82" s="97">
        <v>4.0890581367272416</v>
      </c>
      <c r="K82" s="97">
        <v>8.5984522785898534E-2</v>
      </c>
      <c r="L82" s="97">
        <v>80.195966353203573</v>
      </c>
    </row>
    <row r="83" spans="1:13" s="77" customFormat="1">
      <c r="A83" s="259" t="s">
        <v>84</v>
      </c>
      <c r="B83" s="95">
        <v>0</v>
      </c>
      <c r="C83" s="95"/>
      <c r="D83" s="100">
        <v>3.1558487374952491</v>
      </c>
      <c r="E83" s="100">
        <v>0.28608823842971293</v>
      </c>
      <c r="F83" s="95"/>
      <c r="G83" s="95"/>
      <c r="H83" s="95"/>
      <c r="I83" s="95"/>
      <c r="J83" s="95"/>
      <c r="K83" s="95">
        <v>1.7196904557179706</v>
      </c>
      <c r="L83" s="95">
        <v>5.1616274316429323</v>
      </c>
    </row>
    <row r="84" spans="1:13" s="77" customFormat="1" ht="15.5">
      <c r="A84" s="260" t="s">
        <v>85</v>
      </c>
      <c r="B84" s="97">
        <v>2.2137192704974398E-3</v>
      </c>
      <c r="C84" s="97">
        <v>0</v>
      </c>
      <c r="D84" s="97">
        <v>4.2982320912447314</v>
      </c>
      <c r="E84" s="97">
        <v>10.414632778335719</v>
      </c>
      <c r="F84" s="97">
        <v>0</v>
      </c>
      <c r="G84" s="97">
        <v>0</v>
      </c>
      <c r="H84" s="97">
        <v>19.110429643812012</v>
      </c>
      <c r="I84" s="97">
        <v>45.637352436952433</v>
      </c>
      <c r="J84" s="97">
        <v>4.0890581367272416</v>
      </c>
      <c r="K84" s="97">
        <v>1.8056749785038693</v>
      </c>
      <c r="L84" s="97">
        <v>85.3575937848465</v>
      </c>
    </row>
    <row r="85" spans="1:13" s="77" customFormat="1">
      <c r="I85" s="77">
        <f>(I84+I74+I73+I71)*11.63</f>
        <v>650.74816158900944</v>
      </c>
    </row>
  </sheetData>
  <conditionalFormatting sqref="L83">
    <cfRule type="cellIs" dxfId="16" priority="34" operator="equal">
      <formula>0</formula>
    </cfRule>
  </conditionalFormatting>
  <conditionalFormatting sqref="B57:C58 E57:H58">
    <cfRule type="cellIs" dxfId="15" priority="26" operator="equal">
      <formula>0</formula>
    </cfRule>
  </conditionalFormatting>
  <conditionalFormatting sqref="I57:I58">
    <cfRule type="cellIs" dxfId="14" priority="28" operator="equal">
      <formula>0</formula>
    </cfRule>
  </conditionalFormatting>
  <conditionalFormatting sqref="H69">
    <cfRule type="cellIs" dxfId="13" priority="19" operator="equal">
      <formula>0</formula>
    </cfRule>
  </conditionalFormatting>
  <conditionalFormatting sqref="D57:D58">
    <cfRule type="cellIs" dxfId="12" priority="24" operator="equal">
      <formula>0</formula>
    </cfRule>
  </conditionalFormatting>
  <conditionalFormatting sqref="K75">
    <cfRule type="cellIs" dxfId="11" priority="17" operator="equal">
      <formula>0</formula>
    </cfRule>
  </conditionalFormatting>
  <conditionalFormatting sqref="B72">
    <cfRule type="cellIs" dxfId="10" priority="22" operator="equal">
      <formula>0</formula>
    </cfRule>
  </conditionalFormatting>
  <conditionalFormatting sqref="F56">
    <cfRule type="cellIs" dxfId="9" priority="8" operator="equal">
      <formula>0</formula>
    </cfRule>
  </conditionalFormatting>
  <conditionalFormatting sqref="B56:E56 B67:K68 J66:K66 B62:L63 J57:K58 B73:K74 C72:K72 B70:K71 B69:G69 I69:K69 B75:J75 L75 B64:K65 B59:K61 B76:L82 B84:L84 H56:K56 B66:H66">
    <cfRule type="cellIs" dxfId="8" priority="37" operator="equal">
      <formula>0</formula>
    </cfRule>
  </conditionalFormatting>
  <conditionalFormatting sqref="B83:K83">
    <cfRule type="cellIs" dxfId="7" priority="36" operator="equal">
      <formula>0</formula>
    </cfRule>
  </conditionalFormatting>
  <conditionalFormatting sqref="B55:L55">
    <cfRule type="cellIs" dxfId="6" priority="35" operator="equal">
      <formula>0</formula>
    </cfRule>
  </conditionalFormatting>
  <conditionalFormatting sqref="I66">
    <cfRule type="cellIs" dxfId="5" priority="30" operator="equal">
      <formula>0</formula>
    </cfRule>
  </conditionalFormatting>
  <conditionalFormatting sqref="L56:L61">
    <cfRule type="cellIs" dxfId="4" priority="15" operator="equal">
      <formula>0</formula>
    </cfRule>
  </conditionalFormatting>
  <conditionalFormatting sqref="L64:L74">
    <cfRule type="cellIs" dxfId="3" priority="16" operator="equal">
      <formula>0</formula>
    </cfRule>
  </conditionalFormatting>
  <conditionalFormatting sqref="G56">
    <cfRule type="cellIs" dxfId="2" priority="7" operator="equal">
      <formula>0</formula>
    </cfRule>
  </conditionalFormatting>
  <conditionalFormatting sqref="B11:L1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BZ41"/>
  <sheetViews>
    <sheetView workbookViewId="0"/>
  </sheetViews>
  <sheetFormatPr baseColWidth="10" defaultColWidth="11.453125" defaultRowHeight="14.5"/>
  <cols>
    <col min="1" max="1" width="52.1796875" style="77" customWidth="1"/>
    <col min="2" max="12" width="15.81640625" style="77" customWidth="1"/>
    <col min="13" max="15" width="11.453125" style="77"/>
    <col min="16" max="16" width="52.1796875" style="77" customWidth="1"/>
    <col min="17" max="26" width="15.7265625" style="77" customWidth="1"/>
    <col min="27" max="78" width="11.453125" style="77"/>
    <col min="79" max="16384" width="11.453125" style="256"/>
  </cols>
  <sheetData>
    <row r="1" spans="1:14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4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4" s="77" customFormat="1" ht="15.5">
      <c r="A7" s="90" t="s">
        <v>89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4" s="77" customFormat="1" ht="29">
      <c r="A10" s="543"/>
      <c r="B10" s="544" t="s">
        <v>42</v>
      </c>
      <c r="C10" s="544" t="s">
        <v>52</v>
      </c>
      <c r="D10" s="544" t="s">
        <v>53</v>
      </c>
      <c r="E10" s="544" t="s">
        <v>32</v>
      </c>
      <c r="F10" s="544" t="s">
        <v>20</v>
      </c>
      <c r="G10" s="544" t="s">
        <v>55</v>
      </c>
      <c r="H10" s="544" t="s">
        <v>56</v>
      </c>
      <c r="I10" s="544" t="s">
        <v>57</v>
      </c>
      <c r="J10" s="544" t="s">
        <v>58</v>
      </c>
      <c r="K10" s="544"/>
      <c r="L10" s="544" t="s">
        <v>10</v>
      </c>
    </row>
    <row r="11" spans="1:14" s="77" customFormat="1" ht="15.5">
      <c r="A11" s="545"/>
      <c r="B11" s="546"/>
      <c r="C11" s="546"/>
      <c r="D11" s="546"/>
      <c r="E11" s="546"/>
      <c r="F11" s="546"/>
      <c r="G11" s="546"/>
      <c r="H11" s="546"/>
      <c r="I11" s="546"/>
      <c r="J11" s="546"/>
      <c r="K11" s="546"/>
      <c r="L11" s="546"/>
      <c r="N11" s="82"/>
    </row>
    <row r="12" spans="1:14" s="77" customFormat="1">
      <c r="A12" s="547" t="s">
        <v>59</v>
      </c>
      <c r="B12" s="548">
        <f>'bilan énergie format SDS'!B184</f>
        <v>0</v>
      </c>
      <c r="C12" s="548">
        <f>'bilan énergie format SDS'!C184</f>
        <v>0.99</v>
      </c>
      <c r="D12" s="548">
        <f>'bilan énergie format SDS'!D184</f>
        <v>0</v>
      </c>
      <c r="E12" s="548">
        <f>'bilan énergie format SDS'!E184</f>
        <v>1.9114359415305201E-2</v>
      </c>
      <c r="F12" s="548">
        <f>'bilan énergie format SDS'!F184</f>
        <v>26.874999999999915</v>
      </c>
      <c r="G12" s="548">
        <f>'bilan énergie format SDS'!G184</f>
        <v>44.031999999999975</v>
      </c>
      <c r="H12" s="548">
        <f>'bilan énergie format SDS'!H184</f>
        <v>24.4</v>
      </c>
      <c r="I12" s="548">
        <f>'bilan énergie format SDS'!I184</f>
        <v>0</v>
      </c>
      <c r="J12" s="548">
        <f>'bilan énergie format SDS'!J184</f>
        <v>0</v>
      </c>
      <c r="K12" s="548" t="e">
        <f>'bilan énergie format SDS'!#REF!</f>
        <v>#REF!</v>
      </c>
      <c r="L12" s="548">
        <f>'bilan énergie format SDS'!K184</f>
        <v>96.316114359415195</v>
      </c>
    </row>
    <row r="13" spans="1:14" s="77" customFormat="1">
      <c r="A13" s="547" t="s">
        <v>60</v>
      </c>
      <c r="B13" s="548">
        <f>'bilan énergie format SDS'!B185</f>
        <v>3.9420430643859001</v>
      </c>
      <c r="C13" s="548">
        <f>'bilan énergie format SDS'!C185</f>
        <v>42.81</v>
      </c>
      <c r="D13" s="548">
        <f>'bilan énergie format SDS'!D185</f>
        <v>30.839296393289001</v>
      </c>
      <c r="E13" s="548">
        <f>'bilan énergie format SDS'!E185</f>
        <v>33.2504669093926</v>
      </c>
      <c r="F13" s="548">
        <f>'bilan énergie format SDS'!F185</f>
        <v>0</v>
      </c>
      <c r="G13" s="548">
        <f>'bilan énergie format SDS'!G185</f>
        <v>0</v>
      </c>
      <c r="H13" s="548">
        <f>'bilan énergie format SDS'!H185</f>
        <v>0</v>
      </c>
      <c r="I13" s="548">
        <f>'bilan énergie format SDS'!I185</f>
        <v>0</v>
      </c>
      <c r="J13" s="548">
        <f>'bilan énergie format SDS'!J185</f>
        <v>0</v>
      </c>
      <c r="K13" s="548" t="e">
        <f>'bilan énergie format SDS'!#REF!</f>
        <v>#REF!</v>
      </c>
      <c r="L13" s="548">
        <f>'bilan énergie format SDS'!K185</f>
        <v>110.84180636706699</v>
      </c>
    </row>
    <row r="14" spans="1:14" s="77" customFormat="1">
      <c r="A14" s="547" t="s">
        <v>61</v>
      </c>
      <c r="B14" s="548">
        <f>'bilan énergie format SDS'!B186</f>
        <v>0</v>
      </c>
      <c r="C14" s="548">
        <f>'bilan énergie format SDS'!C186</f>
        <v>0</v>
      </c>
      <c r="D14" s="548">
        <f>'bilan énergie format SDS'!D186</f>
        <v>0</v>
      </c>
      <c r="E14" s="548">
        <f>'bilan énergie format SDS'!E186</f>
        <v>0</v>
      </c>
      <c r="F14" s="548">
        <f>'bilan énergie format SDS'!F186</f>
        <v>0</v>
      </c>
      <c r="G14" s="548">
        <f>'bilan énergie format SDS'!G186</f>
        <v>0</v>
      </c>
      <c r="H14" s="548">
        <f>'bilan énergie format SDS'!H186</f>
        <v>-3.9572315921481001</v>
      </c>
      <c r="I14" s="548">
        <f>'bilan énergie format SDS'!I186</f>
        <v>-0.61079363022761157</v>
      </c>
      <c r="J14" s="548">
        <f>'bilan énergie format SDS'!J186</f>
        <v>0</v>
      </c>
      <c r="K14" s="548" t="e">
        <f>'bilan énergie format SDS'!#REF!</f>
        <v>#REF!</v>
      </c>
      <c r="L14" s="548">
        <f>'bilan énergie format SDS'!K186</f>
        <v>-4.6554080254711101</v>
      </c>
    </row>
    <row r="15" spans="1:14" s="77" customFormat="1">
      <c r="A15" s="547" t="s">
        <v>62</v>
      </c>
      <c r="B15" s="548">
        <f>'bilan énergie format SDS'!B187</f>
        <v>0</v>
      </c>
      <c r="C15" s="548">
        <f>'bilan énergie format SDS'!C187</f>
        <v>0</v>
      </c>
      <c r="D15" s="548">
        <f>'bilan énergie format SDS'!D187</f>
        <v>-1.4</v>
      </c>
      <c r="E15" s="548">
        <f>'bilan énergie format SDS'!E187</f>
        <v>0</v>
      </c>
      <c r="F15" s="548">
        <f>'bilan énergie format SDS'!F187</f>
        <v>0</v>
      </c>
      <c r="G15" s="548">
        <f>'bilan énergie format SDS'!G187</f>
        <v>0</v>
      </c>
      <c r="H15" s="548">
        <f>'bilan énergie format SDS'!H187</f>
        <v>0</v>
      </c>
      <c r="I15" s="548">
        <f>'bilan énergie format SDS'!I187</f>
        <v>0</v>
      </c>
      <c r="J15" s="548">
        <f>'bilan énergie format SDS'!J187</f>
        <v>0</v>
      </c>
      <c r="K15" s="548" t="e">
        <f>'bilan énergie format SDS'!#REF!</f>
        <v>#REF!</v>
      </c>
      <c r="L15" s="548">
        <f>'bilan énergie format SDS'!K187</f>
        <v>-1.4</v>
      </c>
    </row>
    <row r="16" spans="1:14" s="77" customFormat="1">
      <c r="A16" s="547" t="s">
        <v>63</v>
      </c>
      <c r="B16" s="548">
        <f>'bilan énergie format SDS'!B188</f>
        <v>0</v>
      </c>
      <c r="C16" s="548">
        <f>'bilan énergie format SDS'!C188</f>
        <v>0</v>
      </c>
      <c r="D16" s="548">
        <f>'bilan énergie format SDS'!D188</f>
        <v>-9.8675445253719403</v>
      </c>
      <c r="E16" s="548">
        <f>'bilan énergie format SDS'!E188</f>
        <v>0</v>
      </c>
      <c r="F16" s="548">
        <f>'bilan énergie format SDS'!F188</f>
        <v>0</v>
      </c>
      <c r="G16" s="548">
        <f>'bilan énergie format SDS'!G188</f>
        <v>0</v>
      </c>
      <c r="H16" s="548">
        <f>'bilan énergie format SDS'!H188</f>
        <v>0</v>
      </c>
      <c r="I16" s="548">
        <f>'bilan énergie format SDS'!I188</f>
        <v>0</v>
      </c>
      <c r="J16" s="548">
        <f>'bilan énergie format SDS'!J188</f>
        <v>0</v>
      </c>
      <c r="K16" s="548" t="e">
        <f>'bilan énergie format SDS'!#REF!</f>
        <v>#REF!</v>
      </c>
      <c r="L16" s="548">
        <f>'bilan énergie format SDS'!K188</f>
        <v>-9.8675445253719403</v>
      </c>
    </row>
    <row r="17" spans="1:14" s="77" customFormat="1">
      <c r="A17" s="547" t="s">
        <v>64</v>
      </c>
      <c r="B17" s="548">
        <f>'bilan énergie format SDS'!B189</f>
        <v>0</v>
      </c>
      <c r="C17" s="548">
        <f>'bilan énergie format SDS'!C189</f>
        <v>0</v>
      </c>
      <c r="D17" s="548">
        <f>'bilan énergie format SDS'!D189</f>
        <v>0</v>
      </c>
      <c r="E17" s="548">
        <f>'bilan énergie format SDS'!E189</f>
        <v>0</v>
      </c>
      <c r="F17" s="548">
        <f>'bilan énergie format SDS'!F189</f>
        <v>0</v>
      </c>
      <c r="G17" s="548">
        <f>'bilan énergie format SDS'!G189</f>
        <v>0</v>
      </c>
      <c r="H17" s="548">
        <f>'bilan énergie format SDS'!H189</f>
        <v>0</v>
      </c>
      <c r="I17" s="548">
        <f>'bilan énergie format SDS'!I189</f>
        <v>0</v>
      </c>
      <c r="J17" s="548">
        <f>'bilan énergie format SDS'!J189</f>
        <v>0</v>
      </c>
      <c r="K17" s="548" t="e">
        <f>'bilan énergie format SDS'!#REF!</f>
        <v>#REF!</v>
      </c>
      <c r="L17" s="548">
        <f>'bilan énergie format SDS'!K189</f>
        <v>0</v>
      </c>
    </row>
    <row r="18" spans="1:14" s="77" customFormat="1" ht="15.5">
      <c r="A18" s="550" t="s">
        <v>65</v>
      </c>
      <c r="B18" s="548">
        <f>'bilan énergie format SDS'!B190</f>
        <v>3.9420430643859001</v>
      </c>
      <c r="C18" s="548">
        <f>'bilan énergie format SDS'!C190</f>
        <v>43.8</v>
      </c>
      <c r="D18" s="548">
        <f>'bilan énergie format SDS'!D190</f>
        <v>19.571751867917001</v>
      </c>
      <c r="E18" s="548">
        <f>'bilan énergie format SDS'!E190</f>
        <v>33.269581268807897</v>
      </c>
      <c r="F18" s="548">
        <f>'bilan énergie format SDS'!F190</f>
        <v>0</v>
      </c>
      <c r="G18" s="548">
        <f>'bilan énergie format SDS'!G190</f>
        <v>0</v>
      </c>
      <c r="H18" s="548">
        <f>'bilan énergie format SDS'!H190</f>
        <v>20.442768407851901</v>
      </c>
      <c r="I18" s="548">
        <f>'bilan énergie format SDS'!I190</f>
        <v>-0.61079363022761157</v>
      </c>
      <c r="J18" s="548">
        <f>'bilan énergie format SDS'!J190</f>
        <v>0</v>
      </c>
      <c r="K18" s="548" t="e">
        <f>'bilan énergie format SDS'!#REF!</f>
        <v>#REF!</v>
      </c>
      <c r="L18" s="548">
        <f>'bilan énergie format SDS'!K190</f>
        <v>120.32796817564</v>
      </c>
    </row>
    <row r="19" spans="1:14" s="77" customFormat="1" ht="15.5">
      <c r="A19" s="552"/>
      <c r="B19" s="548">
        <f>'bilan énergie format SDS'!B191</f>
        <v>0</v>
      </c>
      <c r="C19" s="548">
        <f>'bilan énergie format SDS'!C191</f>
        <v>0</v>
      </c>
      <c r="D19" s="548">
        <f>'bilan énergie format SDS'!D191</f>
        <v>0</v>
      </c>
      <c r="E19" s="548">
        <f>'bilan énergie format SDS'!E191</f>
        <v>0</v>
      </c>
      <c r="F19" s="548">
        <f>'bilan énergie format SDS'!F191</f>
        <v>0</v>
      </c>
      <c r="G19" s="548">
        <f>'bilan énergie format SDS'!G191</f>
        <v>0</v>
      </c>
      <c r="H19" s="548">
        <f>'bilan énergie format SDS'!H191</f>
        <v>0</v>
      </c>
      <c r="I19" s="548">
        <f>'bilan énergie format SDS'!I191</f>
        <v>0</v>
      </c>
      <c r="J19" s="548">
        <f>'bilan énergie format SDS'!J191</f>
        <v>0</v>
      </c>
      <c r="K19" s="548" t="e">
        <f>'bilan énergie format SDS'!#REF!</f>
        <v>#REF!</v>
      </c>
      <c r="L19" s="548">
        <f>'bilan énergie format SDS'!K191</f>
        <v>0</v>
      </c>
    </row>
    <row r="20" spans="1:14" s="77" customFormat="1">
      <c r="A20" s="547" t="s">
        <v>66</v>
      </c>
      <c r="B20" s="548">
        <f>'bilan énergie format SDS'!B192</f>
        <v>0</v>
      </c>
      <c r="C20" s="548">
        <f>'bilan énergie format SDS'!C192</f>
        <v>0</v>
      </c>
      <c r="D20" s="548">
        <f>'bilan énergie format SDS'!D192</f>
        <v>0</v>
      </c>
      <c r="E20" s="548">
        <f>'bilan énergie format SDS'!E192</f>
        <v>0</v>
      </c>
      <c r="F20" s="548">
        <f>'bilan énergie format SDS'!F192</f>
        <v>0</v>
      </c>
      <c r="G20" s="548">
        <f>'bilan énergie format SDS'!G192</f>
        <v>0</v>
      </c>
      <c r="H20" s="548">
        <f>'bilan énergie format SDS'!H192</f>
        <v>0</v>
      </c>
      <c r="I20" s="548">
        <f>'bilan énergie format SDS'!I192</f>
        <v>0</v>
      </c>
      <c r="J20" s="548">
        <f>'bilan énergie format SDS'!J192</f>
        <v>0</v>
      </c>
      <c r="K20" s="548" t="e">
        <f>'bilan énergie format SDS'!#REF!</f>
        <v>#REF!</v>
      </c>
      <c r="L20" s="548">
        <f>'bilan énergie format SDS'!K192</f>
        <v>0</v>
      </c>
    </row>
    <row r="21" spans="1:14" s="77" customFormat="1">
      <c r="A21" s="547" t="s">
        <v>67</v>
      </c>
      <c r="B21" s="548">
        <f>'bilan énergie format SDS'!B193</f>
        <v>0</v>
      </c>
      <c r="C21" s="548">
        <f>'bilan énergie format SDS'!C193</f>
        <v>0</v>
      </c>
      <c r="D21" s="548">
        <f>'bilan énergie format SDS'!D193</f>
        <v>0</v>
      </c>
      <c r="E21" s="548">
        <f>'bilan énergie format SDS'!E193</f>
        <v>0</v>
      </c>
      <c r="F21" s="548">
        <f>'bilan énergie format SDS'!F193</f>
        <v>0</v>
      </c>
      <c r="G21" s="548">
        <f>'bilan énergie format SDS'!G193</f>
        <v>0</v>
      </c>
      <c r="H21" s="548">
        <f>'bilan énergie format SDS'!H193</f>
        <v>0</v>
      </c>
      <c r="I21" s="548">
        <f>'bilan énergie format SDS'!I193</f>
        <v>0</v>
      </c>
      <c r="J21" s="548">
        <f>'bilan énergie format SDS'!J193</f>
        <v>0</v>
      </c>
      <c r="K21" s="548" t="e">
        <f>'bilan énergie format SDS'!#REF!</f>
        <v>#REF!</v>
      </c>
      <c r="L21" s="548">
        <f>'bilan énergie format SDS'!K193</f>
        <v>0</v>
      </c>
    </row>
    <row r="22" spans="1:14" s="77" customFormat="1">
      <c r="A22" s="547" t="s">
        <v>68</v>
      </c>
      <c r="B22" s="548">
        <f>'bilan énergie format SDS'!B194</f>
        <v>2.5795356835769589</v>
      </c>
      <c r="C22" s="548">
        <f>'bilan énergie format SDS'!C194</f>
        <v>0</v>
      </c>
      <c r="D22" s="548">
        <f>'bilan énergie format SDS'!D194</f>
        <v>0</v>
      </c>
      <c r="E22" s="548">
        <f>'bilan énergie format SDS'!E194</f>
        <v>3.7803540190351907</v>
      </c>
      <c r="F22" s="548">
        <f>'bilan énergie format SDS'!F194</f>
        <v>26.874999999999915</v>
      </c>
      <c r="G22" s="548">
        <f>'bilan énergie format SDS'!G194</f>
        <v>44.031999999999975</v>
      </c>
      <c r="H22" s="548">
        <f>'bilan énergie format SDS'!H194</f>
        <v>6.6638005159071412</v>
      </c>
      <c r="I22" s="548">
        <f>'bilan énergie format SDS'!I194</f>
        <v>-55.460017196904552</v>
      </c>
      <c r="J22" s="548">
        <f>'bilan énergie format SDS'!J194</f>
        <v>0</v>
      </c>
      <c r="K22" s="548" t="e">
        <f>'bilan énergie format SDS'!#REF!</f>
        <v>#REF!</v>
      </c>
      <c r="L22" s="548">
        <f>'bilan énergie format SDS'!K194</f>
        <v>28.470673021614637</v>
      </c>
    </row>
    <row r="23" spans="1:14" s="77" customFormat="1">
      <c r="A23" s="547" t="s">
        <v>69</v>
      </c>
      <c r="B23" s="548">
        <f>'bilan énergie format SDS'!B195</f>
        <v>0</v>
      </c>
      <c r="C23" s="548">
        <f>'bilan énergie format SDS'!C195</f>
        <v>0</v>
      </c>
      <c r="D23" s="548">
        <f>'bilan énergie format SDS'!D195</f>
        <v>0</v>
      </c>
      <c r="E23" s="548">
        <f>'bilan énergie format SDS'!E195</f>
        <v>0</v>
      </c>
      <c r="F23" s="548">
        <f>'bilan énergie format SDS'!F195</f>
        <v>0</v>
      </c>
      <c r="G23" s="548">
        <f>'bilan énergie format SDS'!G195</f>
        <v>0</v>
      </c>
      <c r="H23" s="548">
        <f>'bilan énergie format SDS'!H195</f>
        <v>0</v>
      </c>
      <c r="I23" s="548">
        <f>'bilan énergie format SDS'!I195</f>
        <v>0</v>
      </c>
      <c r="J23" s="548">
        <f>'bilan énergie format SDS'!J195</f>
        <v>0</v>
      </c>
      <c r="K23" s="548" t="e">
        <f>'bilan énergie format SDS'!#REF!</f>
        <v>#REF!</v>
      </c>
      <c r="L23" s="548">
        <f>'bilan énergie format SDS'!K195</f>
        <v>0</v>
      </c>
    </row>
    <row r="24" spans="1:14" s="77" customFormat="1">
      <c r="A24" s="547" t="s">
        <v>70</v>
      </c>
      <c r="B24" s="548">
        <f>'bilan énergie format SDS'!B196</f>
        <v>0.135892809642852</v>
      </c>
      <c r="C24" s="548">
        <f>'bilan énergie format SDS'!C196</f>
        <v>0</v>
      </c>
      <c r="D24" s="548">
        <f>'bilan énergie format SDS'!D196</f>
        <v>2.58629024146893E-2</v>
      </c>
      <c r="E24" s="548">
        <f>'bilan énergie format SDS'!E196</f>
        <v>1.4872400262784899</v>
      </c>
      <c r="F24" s="548">
        <f>'bilan énergie format SDS'!F196</f>
        <v>0</v>
      </c>
      <c r="G24" s="548">
        <f>'bilan énergie format SDS'!G196</f>
        <v>0</v>
      </c>
      <c r="H24" s="548">
        <f>'bilan énergie format SDS'!H196</f>
        <v>1.30584074728472</v>
      </c>
      <c r="I24" s="548">
        <f>'bilan énergie format SDS'!I196</f>
        <v>0</v>
      </c>
      <c r="J24" s="548">
        <f>'bilan énergie format SDS'!J196</f>
        <v>2.6815325616924102</v>
      </c>
      <c r="K24" s="548" t="e">
        <f>'bilan énergie format SDS'!#REF!</f>
        <v>#REF!</v>
      </c>
      <c r="L24" s="548">
        <f>'bilan énergie format SDS'!K196</f>
        <v>5.6363690473131696</v>
      </c>
    </row>
    <row r="25" spans="1:14" s="77" customFormat="1">
      <c r="A25" s="547" t="s">
        <v>71</v>
      </c>
      <c r="B25" s="548">
        <f>'bilan énergie format SDS'!B197</f>
        <v>0</v>
      </c>
      <c r="C25" s="548">
        <f>'bilan énergie format SDS'!C197</f>
        <v>0</v>
      </c>
      <c r="D25" s="548">
        <f>'bilan énergie format SDS'!D197</f>
        <v>0</v>
      </c>
      <c r="E25" s="548">
        <f>'bilan énergie format SDS'!E197</f>
        <v>0</v>
      </c>
      <c r="F25" s="548">
        <f>'bilan énergie format SDS'!F197</f>
        <v>0</v>
      </c>
      <c r="G25" s="548">
        <f>'bilan énergie format SDS'!G197</f>
        <v>0</v>
      </c>
      <c r="H25" s="548">
        <f>'bilan énergie format SDS'!H197</f>
        <v>0</v>
      </c>
      <c r="I25" s="548">
        <f>'bilan énergie format SDS'!I197</f>
        <v>0</v>
      </c>
      <c r="J25" s="548">
        <f>'bilan énergie format SDS'!J197</f>
        <v>0</v>
      </c>
      <c r="K25" s="548" t="e">
        <f>'bilan énergie format SDS'!#REF!</f>
        <v>#REF!</v>
      </c>
      <c r="L25" s="548">
        <f>'bilan énergie format SDS'!K197</f>
        <v>0</v>
      </c>
    </row>
    <row r="26" spans="1:14" s="77" customFormat="1">
      <c r="A26" s="547" t="s">
        <v>72</v>
      </c>
      <c r="B26" s="548">
        <f>'bilan énergie format SDS'!B198</f>
        <v>0</v>
      </c>
      <c r="C26" s="548">
        <f>'bilan énergie format SDS'!C198</f>
        <v>43.8</v>
      </c>
      <c r="D26" s="548">
        <f>'bilan énergie format SDS'!D198</f>
        <v>-41.8</v>
      </c>
      <c r="E26" s="548">
        <f>'bilan énergie format SDS'!E198</f>
        <v>0.7</v>
      </c>
      <c r="F26" s="548">
        <f>'bilan énergie format SDS'!F198</f>
        <v>0</v>
      </c>
      <c r="G26" s="548">
        <f>'bilan énergie format SDS'!G198</f>
        <v>0</v>
      </c>
      <c r="H26" s="548">
        <f>'bilan énergie format SDS'!H198</f>
        <v>0</v>
      </c>
      <c r="I26" s="548">
        <f>'bilan énergie format SDS'!I198</f>
        <v>0</v>
      </c>
      <c r="J26" s="548">
        <f>'bilan énergie format SDS'!J198</f>
        <v>0</v>
      </c>
      <c r="K26" s="548" t="e">
        <f>'bilan énergie format SDS'!#REF!</f>
        <v>#REF!</v>
      </c>
      <c r="L26" s="548">
        <f>'bilan énergie format SDS'!K198</f>
        <v>2.7</v>
      </c>
    </row>
    <row r="27" spans="1:14" s="77" customFormat="1">
      <c r="A27" s="547"/>
      <c r="B27" s="548" t="e">
        <f>'bilan énergie format SDS'!#REF!</f>
        <v>#REF!</v>
      </c>
      <c r="C27" s="548" t="e">
        <f>'bilan énergie format SDS'!#REF!</f>
        <v>#REF!</v>
      </c>
      <c r="D27" s="548" t="e">
        <f>'bilan énergie format SDS'!#REF!</f>
        <v>#REF!</v>
      </c>
      <c r="E27" s="548" t="e">
        <f>'bilan énergie format SDS'!#REF!</f>
        <v>#REF!</v>
      </c>
      <c r="F27" s="548" t="e">
        <f>'bilan énergie format SDS'!#REF!</f>
        <v>#REF!</v>
      </c>
      <c r="G27" s="548" t="e">
        <f>'bilan énergie format SDS'!#REF!</f>
        <v>#REF!</v>
      </c>
      <c r="H27" s="548" t="e">
        <f>'bilan énergie format SDS'!#REF!</f>
        <v>#REF!</v>
      </c>
      <c r="I27" s="548" t="e">
        <f>'bilan énergie format SDS'!#REF!</f>
        <v>#REF!</v>
      </c>
      <c r="J27" s="548" t="e">
        <f>'bilan énergie format SDS'!#REF!</f>
        <v>#REF!</v>
      </c>
      <c r="K27" s="548" t="e">
        <f>'bilan énergie format SDS'!#REF!</f>
        <v>#REF!</v>
      </c>
      <c r="L27" s="548" t="e">
        <f>'bilan énergie format SDS'!#REF!</f>
        <v>#REF!</v>
      </c>
    </row>
    <row r="28" spans="1:14" s="77" customFormat="1">
      <c r="A28" s="547" t="s">
        <v>74</v>
      </c>
      <c r="B28" s="548">
        <f>'bilan énergie format SDS'!B199</f>
        <v>2.2968000000000002</v>
      </c>
      <c r="C28" s="548">
        <f>'bilan énergie format SDS'!C199</f>
        <v>0</v>
      </c>
      <c r="D28" s="548">
        <f>'bilan énergie format SDS'!D199</f>
        <v>0</v>
      </c>
      <c r="E28" s="548">
        <f>'bilan énergie format SDS'!E199</f>
        <v>0</v>
      </c>
      <c r="F28" s="548">
        <f>'bilan énergie format SDS'!F199</f>
        <v>0</v>
      </c>
      <c r="G28" s="548">
        <f>'bilan énergie format SDS'!G199</f>
        <v>0</v>
      </c>
      <c r="H28" s="548">
        <f>'bilan énergie format SDS'!H199</f>
        <v>0</v>
      </c>
      <c r="I28" s="548">
        <f>'bilan énergie format SDS'!I199</f>
        <v>0</v>
      </c>
      <c r="J28" s="548">
        <f>'bilan énergie format SDS'!J199</f>
        <v>0</v>
      </c>
      <c r="K28" s="548" t="e">
        <f>'bilan énergie format SDS'!#REF!</f>
        <v>#REF!</v>
      </c>
      <c r="L28" s="548">
        <f>'bilan énergie format SDS'!K199</f>
        <v>2.2968000000000002</v>
      </c>
    </row>
    <row r="29" spans="1:14" s="77" customFormat="1">
      <c r="A29" s="547" t="s">
        <v>75</v>
      </c>
      <c r="B29" s="548">
        <f>'bilan énergie format SDS'!B200</f>
        <v>1.0374988057705199</v>
      </c>
      <c r="C29" s="548">
        <f>'bilan énergie format SDS'!C200</f>
        <v>0</v>
      </c>
      <c r="D29" s="548">
        <f>'bilan énergie format SDS'!D200</f>
        <v>1.7969999999999999</v>
      </c>
      <c r="E29" s="548">
        <f>'bilan énergie format SDS'!E200</f>
        <v>1.2420767288043999</v>
      </c>
      <c r="F29" s="548">
        <f>'bilan énergie format SDS'!F200</f>
        <v>0</v>
      </c>
      <c r="G29" s="548">
        <f>'bilan énergie format SDS'!G200</f>
        <v>0</v>
      </c>
      <c r="H29" s="548">
        <f>'bilan énergie format SDS'!H200</f>
        <v>5.1017483519633103E-2</v>
      </c>
      <c r="I29" s="548">
        <f>'bilan énergie format SDS'!I200</f>
        <v>2.7822871883060998</v>
      </c>
      <c r="J29" s="548">
        <f>'bilan énergie format SDS'!J200</f>
        <v>0</v>
      </c>
      <c r="K29" s="548" t="e">
        <f>'bilan énergie format SDS'!#REF!</f>
        <v>#REF!</v>
      </c>
      <c r="L29" s="548">
        <f>'bilan énergie format SDS'!K200</f>
        <v>6.9098802064006604</v>
      </c>
      <c r="N29" s="96"/>
    </row>
    <row r="30" spans="1:14" s="77" customFormat="1">
      <c r="A30" s="547" t="s">
        <v>76</v>
      </c>
      <c r="B30" s="548">
        <f>'bilan énergie format SDS'!B201</f>
        <v>0</v>
      </c>
      <c r="C30" s="548">
        <f>'bilan énergie format SDS'!C201</f>
        <v>0</v>
      </c>
      <c r="D30" s="548">
        <f>'bilan énergie format SDS'!D201</f>
        <v>0</v>
      </c>
      <c r="E30" s="548">
        <f>'bilan énergie format SDS'!E201</f>
        <v>0.41641310817864502</v>
      </c>
      <c r="F30" s="548">
        <f>'bilan énergie format SDS'!F201</f>
        <v>0</v>
      </c>
      <c r="G30" s="548">
        <f>'bilan énergie format SDS'!G201</f>
        <v>0</v>
      </c>
      <c r="H30" s="548">
        <f>'bilan énergie format SDS'!H201</f>
        <v>0</v>
      </c>
      <c r="I30" s="548">
        <f>'bilan énergie format SDS'!I201</f>
        <v>3.4599202074282398</v>
      </c>
      <c r="J30" s="548">
        <f>'bilan énergie format SDS'!J201</f>
        <v>0</v>
      </c>
      <c r="K30" s="548" t="e">
        <f>'bilan énergie format SDS'!#REF!</f>
        <v>#REF!</v>
      </c>
      <c r="L30" s="548">
        <f>'bilan énergie format SDS'!K201</f>
        <v>3.87633331560688</v>
      </c>
    </row>
    <row r="31" spans="1:14" s="77" customFormat="1" ht="15.5">
      <c r="A31" s="550" t="s">
        <v>77</v>
      </c>
      <c r="B31" s="548">
        <f>'bilan énergie format SDS'!B202</f>
        <v>3.4701916154133698</v>
      </c>
      <c r="C31" s="548">
        <f>'bilan énergie format SDS'!C202</f>
        <v>43.8</v>
      </c>
      <c r="D31" s="548">
        <f>'bilan énergie format SDS'!D202</f>
        <v>-39.977137097585299</v>
      </c>
      <c r="E31" s="548">
        <f>'bilan énergie format SDS'!E202</f>
        <v>8.78920967865864</v>
      </c>
      <c r="F31" s="548">
        <f>'bilan énergie format SDS'!F202</f>
        <v>0</v>
      </c>
      <c r="G31" s="548">
        <f>'bilan énergie format SDS'!G202</f>
        <v>0</v>
      </c>
      <c r="H31" s="548">
        <f>'bilan énergie format SDS'!H202</f>
        <v>1.35685823080435</v>
      </c>
      <c r="I31" s="548">
        <f>'bilan énergie format SDS'!I202</f>
        <v>-49.217809801170212</v>
      </c>
      <c r="J31" s="548">
        <f>'bilan énergie format SDS'!J202</f>
        <v>2.6815325616924102</v>
      </c>
      <c r="K31" s="548" t="e">
        <f>'bilan énergie format SDS'!#REF!</f>
        <v>#REF!</v>
      </c>
      <c r="L31" s="548">
        <f>'bilan énergie format SDS'!K202</f>
        <v>-29.184537615282199</v>
      </c>
    </row>
    <row r="32" spans="1:14" s="77" customFormat="1" ht="15.5">
      <c r="A32" s="552"/>
      <c r="B32" s="548">
        <f>'bilan énergie format SDS'!B203</f>
        <v>0</v>
      </c>
      <c r="C32" s="548">
        <f>'bilan énergie format SDS'!C203</f>
        <v>0</v>
      </c>
      <c r="D32" s="548">
        <f>'bilan énergie format SDS'!D203</f>
        <v>0</v>
      </c>
      <c r="E32" s="548">
        <f>'bilan énergie format SDS'!E203</f>
        <v>0</v>
      </c>
      <c r="F32" s="548">
        <f>'bilan énergie format SDS'!F203</f>
        <v>0</v>
      </c>
      <c r="G32" s="548">
        <f>'bilan énergie format SDS'!G203</f>
        <v>0</v>
      </c>
      <c r="H32" s="548">
        <f>'bilan énergie format SDS'!H203</f>
        <v>0</v>
      </c>
      <c r="I32" s="548">
        <f>'bilan énergie format SDS'!I203</f>
        <v>0</v>
      </c>
      <c r="J32" s="548">
        <f>'bilan énergie format SDS'!J203</f>
        <v>0</v>
      </c>
      <c r="K32" s="548" t="e">
        <f>'bilan énergie format SDS'!#REF!</f>
        <v>#REF!</v>
      </c>
      <c r="L32" s="548">
        <f>'bilan énergie format SDS'!K203</f>
        <v>0</v>
      </c>
    </row>
    <row r="33" spans="1:13" s="77" customFormat="1" ht="15.5">
      <c r="A33" s="555" t="s">
        <v>78</v>
      </c>
      <c r="B33" s="548">
        <f>'bilan énergie format SDS'!B204</f>
        <v>0</v>
      </c>
      <c r="C33" s="548">
        <f>'bilan énergie format SDS'!C204</f>
        <v>0</v>
      </c>
      <c r="D33" s="548">
        <f>'bilan énergie format SDS'!D204</f>
        <v>0.35040946047782001</v>
      </c>
      <c r="E33" s="548">
        <f>'bilan énergie format SDS'!E204</f>
        <v>13.1122786123137</v>
      </c>
      <c r="F33" s="548">
        <f>'bilan énergie format SDS'!F204</f>
        <v>0</v>
      </c>
      <c r="G33" s="548">
        <f>'bilan énergie format SDS'!G204</f>
        <v>0</v>
      </c>
      <c r="H33" s="548">
        <f>'bilan énergie format SDS'!H204</f>
        <v>4.66831152571954</v>
      </c>
      <c r="I33" s="548">
        <f>'bilan énergie format SDS'!I204</f>
        <v>12.829852160228</v>
      </c>
      <c r="J33" s="548">
        <f>'bilan énergie format SDS'!J204</f>
        <v>0.81083472365086695</v>
      </c>
      <c r="K33" s="548" t="e">
        <f>'bilan énergie format SDS'!#REF!</f>
        <v>#REF!</v>
      </c>
      <c r="L33" s="548">
        <f>'bilan énergie format SDS'!K204</f>
        <v>31.771686482389899</v>
      </c>
      <c r="M33" s="99"/>
    </row>
    <row r="34" spans="1:13" s="77" customFormat="1" ht="15.5">
      <c r="A34" s="555" t="s">
        <v>79</v>
      </c>
      <c r="B34" s="548">
        <f>'bilan énergie format SDS'!B205</f>
        <v>0</v>
      </c>
      <c r="C34" s="548">
        <f>'bilan énergie format SDS'!C205</f>
        <v>0</v>
      </c>
      <c r="D34" s="548">
        <f>'bilan énergie format SDS'!D205</f>
        <v>35.4517442</v>
      </c>
      <c r="E34" s="548">
        <f>'bilan énergie format SDS'!E205</f>
        <v>0.105274671461417</v>
      </c>
      <c r="F34" s="548">
        <f>'bilan énergie format SDS'!F205</f>
        <v>0</v>
      </c>
      <c r="G34" s="548">
        <f>'bilan énergie format SDS'!G205</f>
        <v>0</v>
      </c>
      <c r="H34" s="548">
        <f>'bilan énergie format SDS'!H205</f>
        <v>2.51195197643551</v>
      </c>
      <c r="I34" s="548">
        <f>'bilan énergie format SDS'!I205</f>
        <v>4.1345119518486699</v>
      </c>
      <c r="J34" s="548">
        <f>'bilan énergie format SDS'!J205</f>
        <v>0</v>
      </c>
      <c r="K34" s="548" t="e">
        <f>'bilan énergie format SDS'!#REF!</f>
        <v>#REF!</v>
      </c>
      <c r="L34" s="548">
        <f>'bilan énergie format SDS'!K205</f>
        <v>42.203482799745601</v>
      </c>
      <c r="M34" s="99"/>
    </row>
    <row r="35" spans="1:13" s="77" customFormat="1">
      <c r="A35" s="547" t="s">
        <v>80</v>
      </c>
      <c r="B35" s="548">
        <f>'bilan énergie format SDS'!B206</f>
        <v>0</v>
      </c>
      <c r="C35" s="548">
        <f>'bilan énergie format SDS'!C206</f>
        <v>0</v>
      </c>
      <c r="D35" s="548">
        <f>'bilan énergie format SDS'!D206</f>
        <v>2.9572954110546101</v>
      </c>
      <c r="E35" s="548">
        <f>'bilan énergie format SDS'!E206</f>
        <v>6.53908745235245</v>
      </c>
      <c r="F35" s="548">
        <f>'bilan énergie format SDS'!F206</f>
        <v>0</v>
      </c>
      <c r="G35" s="548">
        <f>'bilan énergie format SDS'!G206</f>
        <v>0</v>
      </c>
      <c r="H35" s="548">
        <f>'bilan énergie format SDS'!H206</f>
        <v>10.5065557971717</v>
      </c>
      <c r="I35" s="548">
        <f>'bilan énergie format SDS'!I206</f>
        <v>13.5983670581426</v>
      </c>
      <c r="J35" s="548">
        <f>'bilan énergie format SDS'!J206</f>
        <v>1.14544436300186</v>
      </c>
      <c r="K35" s="548" t="e">
        <f>'bilan énergie format SDS'!#REF!</f>
        <v>#REF!</v>
      </c>
      <c r="L35" s="548">
        <f>'bilan énergie format SDS'!K206</f>
        <v>34.746750081723299</v>
      </c>
      <c r="M35" s="99"/>
    </row>
    <row r="36" spans="1:13" s="77" customFormat="1">
      <c r="A36" s="547" t="s">
        <v>81</v>
      </c>
      <c r="B36" s="548">
        <f>'bilan énergie format SDS'!B207</f>
        <v>0</v>
      </c>
      <c r="C36" s="548">
        <f>'bilan énergie format SDS'!C207</f>
        <v>0</v>
      </c>
      <c r="D36" s="548">
        <f>'bilan énergie format SDS'!D207</f>
        <v>1.3854656446401701</v>
      </c>
      <c r="E36" s="548">
        <f>'bilan énergie format SDS'!E207</f>
        <v>3.4047021225751299</v>
      </c>
      <c r="F36" s="548">
        <f>'bilan énergie format SDS'!F207</f>
        <v>0</v>
      </c>
      <c r="G36" s="548">
        <f>'bilan énergie format SDS'!G207</f>
        <v>0</v>
      </c>
      <c r="H36" s="548">
        <f>'bilan énergie format SDS'!H207</f>
        <v>1.2275980094224599</v>
      </c>
      <c r="I36" s="548">
        <f>'bilan énergie format SDS'!I207</f>
        <v>17.452965476499799</v>
      </c>
      <c r="J36" s="548">
        <f>'bilan énergie format SDS'!J207</f>
        <v>0.72525347503968096</v>
      </c>
      <c r="K36" s="548" t="e">
        <f>'bilan énergie format SDS'!#REF!</f>
        <v>#REF!</v>
      </c>
      <c r="L36" s="548">
        <f>'bilan énergie format SDS'!K207</f>
        <v>24.195984728177201</v>
      </c>
      <c r="M36" s="99"/>
    </row>
    <row r="37" spans="1:13" s="77" customFormat="1">
      <c r="A37" s="547" t="s">
        <v>82</v>
      </c>
      <c r="B37" s="548">
        <f>'bilan énergie format SDS'!B208</f>
        <v>2.2137192704974398E-3</v>
      </c>
      <c r="C37" s="548">
        <f>'bilan énergie format SDS'!C208</f>
        <v>0</v>
      </c>
      <c r="D37" s="548">
        <f>'bilan énergie format SDS'!D208</f>
        <v>2.78834566881127</v>
      </c>
      <c r="E37" s="548">
        <f>'bilan énergie format SDS'!E208</f>
        <v>0.17469504166713101</v>
      </c>
      <c r="F37" s="548">
        <f>'bilan énergie format SDS'!F208</f>
        <v>0</v>
      </c>
      <c r="G37" s="548">
        <f>'bilan énergie format SDS'!G208</f>
        <v>0</v>
      </c>
      <c r="H37" s="548">
        <f>'bilan énergie format SDS'!H208</f>
        <v>0.17149286829830701</v>
      </c>
      <c r="I37" s="548">
        <f>'bilan énergie format SDS'!I208</f>
        <v>0.59131952422357603</v>
      </c>
      <c r="J37" s="548">
        <f>'bilan énergie format SDS'!J208</f>
        <v>6.4536710533781398E-3</v>
      </c>
      <c r="K37" s="548" t="e">
        <f>'bilan énergie format SDS'!#REF!</f>
        <v>#REF!</v>
      </c>
      <c r="L37" s="548">
        <f>'bilan énergie format SDS'!K208</f>
        <v>3.73452049332416</v>
      </c>
      <c r="M37" s="99"/>
    </row>
    <row r="38" spans="1:13" s="77" customFormat="1" ht="15.5">
      <c r="A38" s="550" t="s">
        <v>83</v>
      </c>
      <c r="B38" s="548">
        <f>'bilan énergie format SDS'!B209</f>
        <v>2.2137192704974398E-3</v>
      </c>
      <c r="C38" s="548">
        <f>'bilan énergie format SDS'!C209</f>
        <v>0</v>
      </c>
      <c r="D38" s="548">
        <f>'bilan énergie format SDS'!D209</f>
        <v>42.933260384983903</v>
      </c>
      <c r="E38" s="548">
        <f>'bilan énergie format SDS'!E209</f>
        <v>23.336037900369799</v>
      </c>
      <c r="F38" s="548">
        <f>'bilan énergie format SDS'!F209</f>
        <v>0</v>
      </c>
      <c r="G38" s="548">
        <f>'bilan énergie format SDS'!G209</f>
        <v>0</v>
      </c>
      <c r="H38" s="548">
        <f>'bilan énergie format SDS'!H209</f>
        <v>19.085910177047499</v>
      </c>
      <c r="I38" s="548">
        <f>'bilan énergie format SDS'!I209</f>
        <v>48.6070161709426</v>
      </c>
      <c r="J38" s="548">
        <f>'bilan énergie format SDS'!J209</f>
        <v>2.6879862327457902</v>
      </c>
      <c r="K38" s="548" t="e">
        <f>'bilan énergie format SDS'!#REF!</f>
        <v>#REF!</v>
      </c>
      <c r="L38" s="548">
        <f>'bilan énergie format SDS'!K209</f>
        <v>136.65242458536</v>
      </c>
    </row>
    <row r="39" spans="1:13" s="77" customFormat="1">
      <c r="A39" s="547" t="s">
        <v>84</v>
      </c>
      <c r="B39" s="548">
        <f>'bilan énergie format SDS'!B210</f>
        <v>0.46963772970203199</v>
      </c>
      <c r="C39" s="548">
        <f>'bilan énergie format SDS'!C210</f>
        <v>0</v>
      </c>
      <c r="D39" s="548">
        <f>'bilan énergie format SDS'!D210</f>
        <v>16.6156285805185</v>
      </c>
      <c r="E39" s="548">
        <f>'bilan énergie format SDS'!E210</f>
        <v>1.14433368977949</v>
      </c>
      <c r="F39" s="548">
        <f>'bilan énergie format SDS'!F210</f>
        <v>0</v>
      </c>
      <c r="G39" s="548">
        <f>'bilan énergie format SDS'!G210</f>
        <v>0</v>
      </c>
      <c r="H39" s="548">
        <f>'bilan énergie format SDS'!H210</f>
        <v>0</v>
      </c>
      <c r="I39" s="548">
        <f>'bilan énergie format SDS'!I210</f>
        <v>0</v>
      </c>
      <c r="J39" s="548">
        <f>'bilan énergie format SDS'!J210</f>
        <v>0</v>
      </c>
      <c r="K39" s="548" t="e">
        <f>'bilan énergie format SDS'!#REF!</f>
        <v>#REF!</v>
      </c>
      <c r="L39" s="548">
        <f>'bilan énergie format SDS'!K210</f>
        <v>18.229600000000001</v>
      </c>
    </row>
    <row r="40" spans="1:13" s="77" customFormat="1" ht="15.5">
      <c r="A40" s="550" t="s">
        <v>85</v>
      </c>
      <c r="B40" s="548">
        <f>'bilan énergie format SDS'!B211</f>
        <v>0.47185144897253001</v>
      </c>
      <c r="C40" s="548">
        <f>'bilan énergie format SDS'!C211</f>
        <v>0</v>
      </c>
      <c r="D40" s="548">
        <f>'bilan énergie format SDS'!D211</f>
        <v>59.5488889655023</v>
      </c>
      <c r="E40" s="548">
        <f>'bilan énergie format SDS'!E211</f>
        <v>24.4803715901493</v>
      </c>
      <c r="F40" s="548">
        <f>'bilan énergie format SDS'!F211</f>
        <v>0</v>
      </c>
      <c r="G40" s="548">
        <f>'bilan énergie format SDS'!G211</f>
        <v>0</v>
      </c>
      <c r="H40" s="548">
        <f>'bilan énergie format SDS'!H211</f>
        <v>19.085910177047499</v>
      </c>
      <c r="I40" s="548">
        <f>'bilan énergie format SDS'!I211</f>
        <v>48.6070161709426</v>
      </c>
      <c r="J40" s="548">
        <f>'bilan énergie format SDS'!J211</f>
        <v>2.6879862327457902</v>
      </c>
      <c r="K40" s="548" t="e">
        <f>'bilan énergie format SDS'!#REF!</f>
        <v>#REF!</v>
      </c>
      <c r="L40" s="548">
        <f>'bilan énergie format SDS'!K211</f>
        <v>154.88202458536</v>
      </c>
    </row>
    <row r="41" spans="1:13" s="77" customFormat="1">
      <c r="I41" s="77" t="e">
        <f>(I40+I30+I29+I27)*11.63</f>
        <v>#REF!</v>
      </c>
    </row>
  </sheetData>
  <conditionalFormatting sqref="B11:L11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12"/>
  <sheetViews>
    <sheetView workbookViewId="0"/>
  </sheetViews>
  <sheetFormatPr baseColWidth="10" defaultColWidth="9.1796875" defaultRowHeight="14.5"/>
  <cols>
    <col min="1" max="1" width="20.7265625" style="542" customWidth="1"/>
    <col min="2" max="11" width="9.1796875" style="542"/>
    <col min="12" max="12" width="15" style="542" customWidth="1"/>
    <col min="13" max="78" width="9.1796875" style="542"/>
    <col min="79" max="16384" width="9.1796875" style="256"/>
  </cols>
  <sheetData>
    <row r="1" spans="1:78" ht="28.5">
      <c r="A1" s="414" t="s">
        <v>381</v>
      </c>
      <c r="B1" s="415"/>
      <c r="C1" s="415"/>
      <c r="D1" s="415"/>
      <c r="E1" s="415"/>
      <c r="F1" s="416" t="s">
        <v>382</v>
      </c>
      <c r="G1" s="417" t="s">
        <v>383</v>
      </c>
      <c r="H1" s="417"/>
      <c r="I1" s="416" t="s">
        <v>48</v>
      </c>
      <c r="J1" s="417">
        <v>2.1</v>
      </c>
      <c r="K1" s="416" t="s">
        <v>49</v>
      </c>
      <c r="L1" s="418">
        <v>43144</v>
      </c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/>
    </row>
    <row r="2" spans="1:78" ht="26">
      <c r="A2" s="256"/>
      <c r="B2" s="419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6"/>
      <c r="BT2" s="256"/>
      <c r="BU2" s="256"/>
      <c r="BV2" s="256"/>
      <c r="BW2" s="256"/>
      <c r="BX2" s="256"/>
      <c r="BY2" s="256"/>
      <c r="BZ2" s="256"/>
    </row>
    <row r="3" spans="1:78" ht="21">
      <c r="A3" s="420"/>
      <c r="B3" s="421"/>
      <c r="C3" s="422"/>
      <c r="D3" s="423"/>
      <c r="E3" s="421"/>
      <c r="F3" s="424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6"/>
      <c r="BX3" s="256"/>
      <c r="BY3" s="256"/>
      <c r="BZ3" s="256"/>
    </row>
    <row r="4" spans="1:78">
      <c r="A4" s="256"/>
      <c r="B4" s="422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</row>
    <row r="5" spans="1:78" ht="21">
      <c r="A5" s="425" t="s">
        <v>96</v>
      </c>
      <c r="B5" s="426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  <c r="BJ5" s="256"/>
      <c r="BK5" s="256"/>
      <c r="BL5" s="256"/>
      <c r="BM5" s="256"/>
      <c r="BN5" s="256"/>
      <c r="BO5" s="256"/>
      <c r="BP5" s="256"/>
      <c r="BQ5" s="256"/>
      <c r="BR5" s="256"/>
      <c r="BS5" s="256"/>
      <c r="BT5" s="256"/>
      <c r="BU5" s="256"/>
      <c r="BV5" s="256"/>
      <c r="BW5" s="256"/>
      <c r="BX5" s="256"/>
      <c r="BY5" s="256"/>
      <c r="BZ5" s="256"/>
    </row>
    <row r="6" spans="1:78">
      <c r="A6" s="256"/>
      <c r="B6" s="427"/>
      <c r="C6" s="427"/>
      <c r="D6" s="427"/>
      <c r="E6" s="427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6"/>
      <c r="BZ6" s="256"/>
    </row>
    <row r="7" spans="1:78" ht="16" thickBot="1">
      <c r="A7" s="428" t="s">
        <v>97</v>
      </c>
      <c r="B7" s="429"/>
      <c r="C7" s="429"/>
      <c r="D7" s="429"/>
      <c r="E7" s="429"/>
      <c r="F7" s="430"/>
      <c r="G7" s="430"/>
      <c r="H7" s="430"/>
      <c r="I7" s="430"/>
      <c r="J7" s="430"/>
      <c r="K7" s="430"/>
      <c r="L7" s="430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  <c r="BW7" s="256"/>
      <c r="BX7" s="256"/>
      <c r="BY7" s="256"/>
      <c r="BZ7" s="256"/>
    </row>
    <row r="8" spans="1:78" ht="15" thickBot="1">
      <c r="A8" s="431" t="s">
        <v>51</v>
      </c>
      <c r="B8" s="432">
        <v>2000</v>
      </c>
      <c r="C8" s="432">
        <v>2015</v>
      </c>
      <c r="D8" s="432">
        <v>2020</v>
      </c>
      <c r="E8" s="432">
        <v>2025</v>
      </c>
      <c r="F8" s="432">
        <v>2030</v>
      </c>
      <c r="G8" s="432">
        <v>2050</v>
      </c>
      <c r="H8" s="433" t="s">
        <v>98</v>
      </c>
      <c r="I8" s="432" t="s">
        <v>99</v>
      </c>
      <c r="J8" s="432" t="s">
        <v>100</v>
      </c>
      <c r="K8" s="432" t="s">
        <v>101</v>
      </c>
      <c r="L8" s="434" t="s">
        <v>384</v>
      </c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  <c r="BW8" s="256"/>
      <c r="BX8" s="256"/>
      <c r="BY8" s="256"/>
      <c r="BZ8" s="256"/>
    </row>
    <row r="9" spans="1:78">
      <c r="A9" s="435" t="s">
        <v>103</v>
      </c>
      <c r="B9" s="436">
        <v>6.4882</v>
      </c>
      <c r="C9" s="436">
        <v>3.3111000000000002</v>
      </c>
      <c r="D9" s="436">
        <v>2.6368999999999998</v>
      </c>
      <c r="E9" s="436">
        <v>1.9693000000000001</v>
      </c>
      <c r="F9" s="436">
        <v>1.3056000000000001</v>
      </c>
      <c r="G9" s="436">
        <v>1.3048999999999999</v>
      </c>
      <c r="H9" s="437">
        <v>-4.3856219092764999E-2</v>
      </c>
      <c r="I9" s="438">
        <v>-4.4514122029814703E-2</v>
      </c>
      <c r="J9" s="438">
        <v>-5.6713445416275397E-2</v>
      </c>
      <c r="K9" s="438">
        <v>-7.8915122401445395E-2</v>
      </c>
      <c r="L9" s="439">
        <v>-2.68144275689108E-5</v>
      </c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  <c r="BJ9" s="256"/>
      <c r="BK9" s="256"/>
      <c r="BL9" s="256"/>
      <c r="BM9" s="256"/>
      <c r="BN9" s="256"/>
      <c r="BO9" s="256"/>
      <c r="BP9" s="256"/>
      <c r="BQ9" s="256"/>
      <c r="BR9" s="256"/>
      <c r="BS9" s="256"/>
      <c r="BT9" s="256"/>
      <c r="BU9" s="256"/>
      <c r="BV9" s="256"/>
      <c r="BW9" s="256"/>
      <c r="BX9" s="256"/>
      <c r="BY9" s="256"/>
      <c r="BZ9" s="256"/>
    </row>
    <row r="10" spans="1:78">
      <c r="A10" s="435" t="s">
        <v>54</v>
      </c>
      <c r="B10" s="436">
        <v>11.950799999999999</v>
      </c>
      <c r="C10" s="436">
        <v>10.494899999999999</v>
      </c>
      <c r="D10" s="436">
        <v>11.5999</v>
      </c>
      <c r="E10" s="436">
        <v>12.073700000000001</v>
      </c>
      <c r="F10" s="436">
        <v>12.567299999999999</v>
      </c>
      <c r="G10" s="436">
        <v>14.305199999999999</v>
      </c>
      <c r="H10" s="440">
        <v>-8.6231916102810207E-3</v>
      </c>
      <c r="I10" s="441">
        <v>2.0223183282431102E-2</v>
      </c>
      <c r="J10" s="441">
        <v>8.0387498082372701E-3</v>
      </c>
      <c r="K10" s="441">
        <v>8.0459297318797897E-3</v>
      </c>
      <c r="L10" s="442">
        <v>6.4972614773459699E-3</v>
      </c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256"/>
      <c r="BO10" s="256"/>
      <c r="BP10" s="256"/>
      <c r="BQ10" s="256"/>
      <c r="BR10" s="256"/>
      <c r="BS10" s="256"/>
      <c r="BT10" s="256"/>
      <c r="BU10" s="256"/>
      <c r="BV10" s="256"/>
      <c r="BW10" s="256"/>
      <c r="BX10" s="256"/>
      <c r="BY10" s="256"/>
      <c r="BZ10" s="256"/>
    </row>
    <row r="11" spans="1:78">
      <c r="A11" s="435" t="s">
        <v>42</v>
      </c>
      <c r="B11" s="436">
        <v>6.5015999999999998</v>
      </c>
      <c r="C11" s="436">
        <v>4.4408000000000003</v>
      </c>
      <c r="D11" s="436">
        <v>3.5754999999999999</v>
      </c>
      <c r="E11" s="436">
        <v>3.1808999999999998</v>
      </c>
      <c r="F11" s="436">
        <v>2.7844000000000002</v>
      </c>
      <c r="G11" s="436">
        <v>2.3864999999999998</v>
      </c>
      <c r="H11" s="440">
        <v>-2.5094027085230002E-2</v>
      </c>
      <c r="I11" s="441">
        <v>-4.2419896843558201E-2</v>
      </c>
      <c r="J11" s="441">
        <v>-2.3116786763208101E-2</v>
      </c>
      <c r="K11" s="441">
        <v>-2.6274997072359401E-2</v>
      </c>
      <c r="L11" s="442">
        <v>-7.68058008268968E-3</v>
      </c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256"/>
      <c r="BS11" s="256"/>
      <c r="BT11" s="256"/>
      <c r="BU11" s="256"/>
      <c r="BV11" s="256"/>
      <c r="BW11" s="256"/>
      <c r="BX11" s="256"/>
      <c r="BY11" s="256"/>
      <c r="BZ11" s="256"/>
    </row>
    <row r="12" spans="1:78">
      <c r="A12" s="435" t="s">
        <v>104</v>
      </c>
      <c r="B12" s="436">
        <v>11.392799999999999</v>
      </c>
      <c r="C12" s="436">
        <v>9.9553999999999991</v>
      </c>
      <c r="D12" s="436">
        <v>10.2475</v>
      </c>
      <c r="E12" s="436">
        <v>10.430999999999999</v>
      </c>
      <c r="F12" s="436">
        <v>10.629</v>
      </c>
      <c r="G12" s="436">
        <v>12.7157</v>
      </c>
      <c r="H12" s="440">
        <v>-8.95079824608736E-3</v>
      </c>
      <c r="I12" s="441">
        <v>5.8004892403744597E-3</v>
      </c>
      <c r="J12" s="441">
        <v>3.5559812120831099E-3</v>
      </c>
      <c r="K12" s="441">
        <v>3.7678752329486399E-3</v>
      </c>
      <c r="L12" s="442">
        <v>9.0028508560735503E-3</v>
      </c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256"/>
      <c r="BS12" s="256"/>
      <c r="BT12" s="256"/>
      <c r="BU12" s="256"/>
      <c r="BV12" s="256"/>
      <c r="BW12" s="256"/>
      <c r="BX12" s="256"/>
      <c r="BY12" s="256"/>
      <c r="BZ12" s="256"/>
    </row>
    <row r="13" spans="1:78">
      <c r="A13" s="435" t="s">
        <v>105</v>
      </c>
      <c r="B13" s="436">
        <v>1.0062</v>
      </c>
      <c r="C13" s="436">
        <v>1.8103</v>
      </c>
      <c r="D13" s="436">
        <v>1.4061999999999999</v>
      </c>
      <c r="E13" s="436">
        <v>1.4024000000000001</v>
      </c>
      <c r="F13" s="436">
        <v>1.397</v>
      </c>
      <c r="G13" s="436">
        <v>1.4796</v>
      </c>
      <c r="H13" s="440">
        <v>3.99307397641082E-2</v>
      </c>
      <c r="I13" s="441">
        <v>-4.9265380300576603E-2</v>
      </c>
      <c r="J13" s="441">
        <v>-5.4104881188299402E-4</v>
      </c>
      <c r="K13" s="441">
        <v>-7.7129726723867997E-4</v>
      </c>
      <c r="L13" s="442">
        <v>2.8763638541484701E-3</v>
      </c>
      <c r="M13" s="256"/>
      <c r="N13" s="256"/>
      <c r="O13" s="443"/>
      <c r="P13" s="443"/>
      <c r="Q13" s="443"/>
      <c r="R13" s="443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256"/>
      <c r="BS13" s="256"/>
      <c r="BT13" s="256"/>
      <c r="BU13" s="256"/>
      <c r="BV13" s="256"/>
      <c r="BW13" s="256"/>
      <c r="BX13" s="256"/>
      <c r="BY13" s="256"/>
      <c r="BZ13" s="256"/>
    </row>
    <row r="14" spans="1:78">
      <c r="A14" s="435" t="s">
        <v>106</v>
      </c>
      <c r="B14" s="436">
        <v>1.5759000000000001</v>
      </c>
      <c r="C14" s="436">
        <v>1.8351</v>
      </c>
      <c r="D14" s="436">
        <v>2.5373999999999999</v>
      </c>
      <c r="E14" s="436">
        <v>3.0972</v>
      </c>
      <c r="F14" s="436">
        <v>3.6291000000000002</v>
      </c>
      <c r="G14" s="436">
        <v>4.2359999999999998</v>
      </c>
      <c r="H14" s="440">
        <v>1.02031971204586E-2</v>
      </c>
      <c r="I14" s="441">
        <v>6.6954354117112702E-2</v>
      </c>
      <c r="J14" s="441">
        <v>4.0677255645489498E-2</v>
      </c>
      <c r="K14" s="441">
        <v>3.2204948886277902E-2</v>
      </c>
      <c r="L14" s="442">
        <v>7.7617042671653796E-3</v>
      </c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  <c r="BJ14" s="256"/>
      <c r="BK14" s="256"/>
      <c r="BL14" s="256"/>
      <c r="BM14" s="256"/>
      <c r="BN14" s="256"/>
      <c r="BO14" s="256"/>
      <c r="BP14" s="256"/>
      <c r="BQ14" s="256"/>
      <c r="BR14" s="256"/>
      <c r="BS14" s="256"/>
      <c r="BT14" s="256"/>
      <c r="BU14" s="256"/>
      <c r="BV14" s="256"/>
      <c r="BW14" s="256"/>
      <c r="BX14" s="256"/>
      <c r="BY14" s="256"/>
      <c r="BZ14" s="256"/>
    </row>
    <row r="15" spans="1:78">
      <c r="A15" s="435"/>
      <c r="B15" s="436"/>
      <c r="C15" s="436"/>
      <c r="D15" s="436"/>
      <c r="E15" s="436"/>
      <c r="F15" s="436"/>
      <c r="G15" s="436"/>
      <c r="H15" s="440"/>
      <c r="I15" s="441"/>
      <c r="J15" s="441"/>
      <c r="K15" s="441"/>
      <c r="L15" s="442"/>
      <c r="M15" s="256"/>
      <c r="N15" s="256"/>
      <c r="O15" s="443"/>
      <c r="P15" s="443"/>
      <c r="Q15" s="443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  <c r="BJ15" s="256"/>
      <c r="BK15" s="256"/>
      <c r="BL15" s="256"/>
      <c r="BM15" s="256"/>
      <c r="BN15" s="256"/>
      <c r="BO15" s="256"/>
      <c r="BP15" s="256"/>
      <c r="BQ15" s="256"/>
      <c r="BR15" s="256"/>
      <c r="BS15" s="256"/>
      <c r="BT15" s="256"/>
      <c r="BU15" s="256"/>
      <c r="BV15" s="256"/>
      <c r="BW15" s="256"/>
      <c r="BX15" s="256"/>
      <c r="BY15" s="256"/>
      <c r="BZ15" s="256"/>
    </row>
    <row r="16" spans="1:78" ht="15" thickBot="1">
      <c r="A16" s="444" t="s">
        <v>10</v>
      </c>
      <c r="B16" s="445">
        <v>38.915500000000002</v>
      </c>
      <c r="C16" s="445">
        <v>31.8477</v>
      </c>
      <c r="D16" s="445">
        <v>32.003300000000003</v>
      </c>
      <c r="E16" s="445">
        <v>32.154499999999999</v>
      </c>
      <c r="F16" s="445">
        <v>32.312199999999997</v>
      </c>
      <c r="G16" s="445">
        <v>36.428100000000001</v>
      </c>
      <c r="H16" s="446">
        <v>-1.32729578759672E-2</v>
      </c>
      <c r="I16" s="447">
        <v>9.75246558531762E-4</v>
      </c>
      <c r="J16" s="447">
        <v>9.4312192044454502E-4</v>
      </c>
      <c r="K16" s="447">
        <v>9.789705007394729E-4</v>
      </c>
      <c r="L16" s="448">
        <v>6.0127839972017299E-3</v>
      </c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  <c r="BJ16" s="256"/>
      <c r="BK16" s="256"/>
      <c r="BL16" s="256"/>
      <c r="BM16" s="256"/>
      <c r="BN16" s="256"/>
      <c r="BO16" s="256"/>
      <c r="BP16" s="256"/>
      <c r="BQ16" s="256"/>
      <c r="BR16" s="256"/>
      <c r="BS16" s="256"/>
      <c r="BT16" s="256"/>
      <c r="BU16" s="256"/>
      <c r="BV16" s="256"/>
      <c r="BW16" s="256"/>
      <c r="BX16" s="256"/>
      <c r="BY16" s="256"/>
      <c r="BZ16" s="256"/>
    </row>
    <row r="17" spans="1:78">
      <c r="A17" s="449"/>
      <c r="B17" s="256"/>
      <c r="C17" s="256"/>
      <c r="D17" s="450"/>
      <c r="E17" s="450"/>
      <c r="F17" s="450"/>
      <c r="G17" s="450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  <c r="BJ17" s="256"/>
      <c r="BK17" s="256"/>
      <c r="BL17" s="256"/>
      <c r="BM17" s="256"/>
      <c r="BN17" s="256"/>
      <c r="BO17" s="256"/>
      <c r="BP17" s="256"/>
      <c r="BQ17" s="256"/>
      <c r="BR17" s="256"/>
      <c r="BS17" s="256"/>
      <c r="BT17" s="256"/>
      <c r="BU17" s="256"/>
      <c r="BV17" s="256"/>
      <c r="BW17" s="256"/>
      <c r="BX17" s="256"/>
      <c r="BY17" s="256"/>
      <c r="BZ17" s="256"/>
    </row>
    <row r="18" spans="1:78">
      <c r="A18" s="256"/>
      <c r="B18" s="256"/>
      <c r="C18" s="256"/>
      <c r="D18" s="256"/>
      <c r="E18" s="256"/>
      <c r="F18" s="451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</row>
    <row r="19" spans="1:78" ht="16" thickBot="1">
      <c r="A19" s="428" t="s">
        <v>107</v>
      </c>
      <c r="B19" s="429"/>
      <c r="C19" s="429"/>
      <c r="D19" s="429"/>
      <c r="E19" s="429"/>
      <c r="F19" s="429"/>
      <c r="G19" s="430"/>
      <c r="H19" s="430"/>
      <c r="I19" s="430"/>
      <c r="J19" s="430"/>
      <c r="K19" s="430"/>
      <c r="L19" s="43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  <c r="BJ19" s="256"/>
      <c r="BK19" s="256"/>
      <c r="BL19" s="256"/>
      <c r="BM19" s="256"/>
      <c r="BN19" s="256"/>
      <c r="BO19" s="256"/>
      <c r="BP19" s="256"/>
      <c r="BQ19" s="256"/>
      <c r="BR19" s="256"/>
      <c r="BS19" s="256"/>
      <c r="BT19" s="256"/>
      <c r="BU19" s="256"/>
      <c r="BV19" s="256"/>
      <c r="BW19" s="256"/>
      <c r="BX19" s="256"/>
      <c r="BY19" s="256"/>
      <c r="BZ19" s="256"/>
    </row>
    <row r="20" spans="1:78" ht="15" thickBot="1">
      <c r="A20" s="431" t="s">
        <v>51</v>
      </c>
      <c r="B20" s="432">
        <v>2000</v>
      </c>
      <c r="C20" s="432">
        <v>2015</v>
      </c>
      <c r="D20" s="432">
        <v>2020</v>
      </c>
      <c r="E20" s="432">
        <v>2025</v>
      </c>
      <c r="F20" s="432">
        <v>2030</v>
      </c>
      <c r="G20" s="432">
        <v>2050</v>
      </c>
      <c r="H20" s="452" t="s">
        <v>98</v>
      </c>
      <c r="I20" s="453" t="s">
        <v>99</v>
      </c>
      <c r="J20" s="453" t="s">
        <v>100</v>
      </c>
      <c r="K20" s="453" t="s">
        <v>101</v>
      </c>
      <c r="L20" s="454" t="s">
        <v>384</v>
      </c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256"/>
      <c r="BO20" s="256"/>
      <c r="BP20" s="256"/>
      <c r="BQ20" s="256"/>
      <c r="BR20" s="256"/>
      <c r="BS20" s="256"/>
      <c r="BT20" s="256"/>
      <c r="BU20" s="256"/>
      <c r="BV20" s="256"/>
      <c r="BW20" s="256"/>
      <c r="BX20" s="256"/>
      <c r="BY20" s="256"/>
      <c r="BZ20" s="256"/>
    </row>
    <row r="21" spans="1:78">
      <c r="A21" s="435" t="s">
        <v>108</v>
      </c>
      <c r="B21" s="455">
        <v>12.8356442885731</v>
      </c>
      <c r="C21" s="455">
        <v>12.448173508076</v>
      </c>
      <c r="D21" s="455">
        <v>13.005694811337801</v>
      </c>
      <c r="E21" s="455">
        <v>13.4270982361849</v>
      </c>
      <c r="F21" s="455">
        <v>13.913274339353899</v>
      </c>
      <c r="G21" s="455">
        <v>16.6156285805185</v>
      </c>
      <c r="H21" s="456">
        <v>-2.0413871877454901E-3</v>
      </c>
      <c r="I21" s="457">
        <v>8.8011882941165798E-3</v>
      </c>
      <c r="J21" s="457">
        <v>6.3978991642414896E-3</v>
      </c>
      <c r="K21" s="457">
        <v>7.1390526967343203E-3</v>
      </c>
      <c r="L21" s="458">
        <v>8.9145177562362007E-3</v>
      </c>
      <c r="M21" s="256"/>
      <c r="N21" s="256"/>
      <c r="O21" s="256"/>
      <c r="P21" s="256"/>
      <c r="Q21" s="256"/>
      <c r="R21" s="459"/>
      <c r="S21" s="460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  <c r="BJ21" s="256"/>
      <c r="BK21" s="256"/>
      <c r="BL21" s="256"/>
      <c r="BM21" s="256"/>
      <c r="BN21" s="256"/>
      <c r="BO21" s="256"/>
      <c r="BP21" s="256"/>
      <c r="BQ21" s="256"/>
      <c r="BR21" s="256"/>
      <c r="BS21" s="256"/>
      <c r="BT21" s="256"/>
      <c r="BU21" s="256"/>
      <c r="BV21" s="256"/>
      <c r="BW21" s="256"/>
      <c r="BX21" s="256"/>
      <c r="BY21" s="256"/>
      <c r="BZ21" s="256"/>
    </row>
    <row r="22" spans="1:78">
      <c r="A22" s="435" t="s">
        <v>54</v>
      </c>
      <c r="B22" s="455">
        <v>1.62869795676853</v>
      </c>
      <c r="C22" s="455">
        <v>1.1015166939407</v>
      </c>
      <c r="D22" s="455">
        <v>1.10724474305145</v>
      </c>
      <c r="E22" s="455">
        <v>1.11157429870939</v>
      </c>
      <c r="F22" s="455">
        <v>1.11656933760591</v>
      </c>
      <c r="G22" s="455">
        <v>1.14433368977949</v>
      </c>
      <c r="H22" s="461">
        <v>-2.57358948260114E-2</v>
      </c>
      <c r="I22" s="462">
        <v>1.0378728715621001E-3</v>
      </c>
      <c r="J22" s="462">
        <v>7.8082099669196702E-4</v>
      </c>
      <c r="K22" s="462">
        <v>8.9712125008523103E-4</v>
      </c>
      <c r="L22" s="463">
        <v>1.2288366156623101E-3</v>
      </c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256"/>
      <c r="BO22" s="256"/>
      <c r="BP22" s="256"/>
      <c r="BQ22" s="256"/>
      <c r="BR22" s="256"/>
      <c r="BS22" s="256"/>
      <c r="BT22" s="256"/>
      <c r="BU22" s="256"/>
      <c r="BV22" s="256"/>
      <c r="BW22" s="256"/>
      <c r="BX22" s="256"/>
      <c r="BY22" s="256"/>
      <c r="BZ22" s="256"/>
    </row>
    <row r="23" spans="1:78">
      <c r="A23" s="435" t="s">
        <v>42</v>
      </c>
      <c r="B23" s="436">
        <v>0.15113499999999999</v>
      </c>
      <c r="C23" s="436">
        <v>0.30480979798330099</v>
      </c>
      <c r="D23" s="436">
        <v>0.32686044561077698</v>
      </c>
      <c r="E23" s="436">
        <v>0.34352746510573001</v>
      </c>
      <c r="F23" s="436">
        <v>0.36275632304023198</v>
      </c>
      <c r="G23" s="436">
        <v>0.46963772970203199</v>
      </c>
      <c r="H23" s="461"/>
      <c r="I23" s="462"/>
      <c r="J23" s="462"/>
      <c r="K23" s="462"/>
      <c r="L23" s="463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</row>
    <row r="24" spans="1:78" ht="15" thickBot="1">
      <c r="A24" s="444" t="s">
        <v>10</v>
      </c>
      <c r="B24" s="464">
        <v>14.6154772453416</v>
      </c>
      <c r="C24" s="464">
        <v>13.8545</v>
      </c>
      <c r="D24" s="465">
        <v>14.4398</v>
      </c>
      <c r="E24" s="464">
        <v>14.882199999999999</v>
      </c>
      <c r="F24" s="464">
        <v>15.3926</v>
      </c>
      <c r="G24" s="464">
        <v>18.229600000000001</v>
      </c>
      <c r="H24" s="466">
        <v>-3.55838475051873E-3</v>
      </c>
      <c r="I24" s="467">
        <v>8.3099764234824108E-3</v>
      </c>
      <c r="J24" s="467">
        <v>6.0537674282470401E-3</v>
      </c>
      <c r="K24" s="467">
        <v>6.7669946405326496E-3</v>
      </c>
      <c r="L24" s="468">
        <v>8.4938584503877496E-3</v>
      </c>
      <c r="M24" s="256"/>
      <c r="N24" s="256"/>
      <c r="O24" s="256"/>
      <c r="P24" s="256"/>
      <c r="Q24" s="256"/>
      <c r="R24" s="256"/>
      <c r="S24" s="460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O24" s="256"/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</row>
    <row r="25" spans="1:78">
      <c r="A25" s="449"/>
      <c r="B25" s="256"/>
      <c r="C25" s="256"/>
      <c r="D25" s="256"/>
      <c r="E25" s="256"/>
      <c r="F25" s="451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6"/>
      <c r="BM25" s="256"/>
      <c r="BN25" s="256"/>
      <c r="BO25" s="256"/>
      <c r="BP25" s="256"/>
      <c r="BQ25" s="256"/>
      <c r="BR25" s="256"/>
      <c r="BS25" s="256"/>
      <c r="BT25" s="256"/>
      <c r="BU25" s="256"/>
      <c r="BV25" s="256"/>
      <c r="BW25" s="256"/>
      <c r="BX25" s="256"/>
      <c r="BY25" s="256"/>
      <c r="BZ25" s="256"/>
    </row>
    <row r="26" spans="1:78">
      <c r="A26" s="449"/>
      <c r="B26" s="256"/>
      <c r="C26" s="256"/>
      <c r="D26" s="256"/>
      <c r="E26" s="256"/>
      <c r="F26" s="451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</row>
    <row r="27" spans="1:78" ht="16" thickBot="1">
      <c r="A27" s="428" t="s">
        <v>110</v>
      </c>
      <c r="B27" s="429"/>
      <c r="C27" s="429"/>
      <c r="D27" s="429"/>
      <c r="E27" s="429"/>
      <c r="F27" s="429"/>
      <c r="G27" s="430"/>
      <c r="H27" s="430"/>
      <c r="I27" s="430"/>
      <c r="J27" s="430"/>
      <c r="K27" s="430"/>
      <c r="L27" s="430"/>
      <c r="M27" s="256"/>
      <c r="N27" s="256"/>
      <c r="O27" s="256"/>
      <c r="P27" s="256"/>
      <c r="Q27" s="256"/>
      <c r="R27" s="460"/>
      <c r="S27" s="460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  <c r="BJ27" s="256"/>
      <c r="BK27" s="256"/>
      <c r="BL27" s="256"/>
      <c r="BM27" s="256"/>
      <c r="BN27" s="256"/>
      <c r="BO27" s="256"/>
      <c r="BP27" s="256"/>
      <c r="BQ27" s="256"/>
      <c r="BR27" s="256"/>
      <c r="BS27" s="256"/>
      <c r="BT27" s="256"/>
      <c r="BU27" s="256"/>
      <c r="BV27" s="256"/>
      <c r="BW27" s="256"/>
      <c r="BX27" s="256"/>
      <c r="BY27" s="256"/>
      <c r="BZ27" s="256"/>
    </row>
    <row r="28" spans="1:78" ht="15" thickBot="1">
      <c r="A28" s="431" t="s">
        <v>51</v>
      </c>
      <c r="B28" s="432">
        <v>2000</v>
      </c>
      <c r="C28" s="432">
        <v>2015</v>
      </c>
      <c r="D28" s="432">
        <v>2020</v>
      </c>
      <c r="E28" s="432">
        <v>2025</v>
      </c>
      <c r="F28" s="432">
        <v>2030</v>
      </c>
      <c r="G28" s="432">
        <v>2050</v>
      </c>
      <c r="H28" s="452" t="s">
        <v>98</v>
      </c>
      <c r="I28" s="453" t="s">
        <v>99</v>
      </c>
      <c r="J28" s="453" t="s">
        <v>100</v>
      </c>
      <c r="K28" s="453" t="s">
        <v>101</v>
      </c>
      <c r="L28" s="454" t="s">
        <v>384</v>
      </c>
      <c r="M28" s="256"/>
      <c r="N28" s="256"/>
      <c r="O28" s="256"/>
      <c r="P28" s="256"/>
      <c r="Q28" s="256"/>
      <c r="R28" s="460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6"/>
      <c r="BM28" s="256"/>
      <c r="BN28" s="256"/>
      <c r="BO28" s="256"/>
      <c r="BP28" s="256"/>
      <c r="BQ28" s="256"/>
      <c r="BR28" s="256"/>
      <c r="BS28" s="256"/>
      <c r="BT28" s="256"/>
      <c r="BU28" s="256"/>
      <c r="BV28" s="256"/>
      <c r="BW28" s="256"/>
      <c r="BX28" s="256"/>
      <c r="BY28" s="256"/>
      <c r="BZ28" s="256"/>
    </row>
    <row r="29" spans="1:78">
      <c r="A29" s="469" t="s">
        <v>111</v>
      </c>
      <c r="B29" s="470">
        <v>8.0395000000000003</v>
      </c>
      <c r="C29" s="470">
        <v>5.1847000000000003</v>
      </c>
      <c r="D29" s="470">
        <v>5.0029000000000003</v>
      </c>
      <c r="E29" s="470">
        <v>4.8792999999999997</v>
      </c>
      <c r="F29" s="470">
        <v>4.7746000000000004</v>
      </c>
      <c r="G29" s="470">
        <v>4.2873000000000001</v>
      </c>
      <c r="H29" s="456">
        <v>-2.8820202773232301E-2</v>
      </c>
      <c r="I29" s="457">
        <v>-7.1134262577403603E-3</v>
      </c>
      <c r="J29" s="457">
        <v>-4.9907003339448898E-3</v>
      </c>
      <c r="K29" s="457">
        <v>-4.3289163455219101E-3</v>
      </c>
      <c r="L29" s="458">
        <v>-5.3681913174004102E-3</v>
      </c>
      <c r="M29" s="256"/>
      <c r="N29" s="256"/>
      <c r="O29" s="256"/>
      <c r="P29" s="256"/>
      <c r="Q29" s="256"/>
      <c r="R29" s="460"/>
      <c r="S29" s="471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  <c r="BJ29" s="256"/>
      <c r="BK29" s="256"/>
      <c r="BL29" s="256"/>
      <c r="BM29" s="256"/>
      <c r="BN29" s="256"/>
      <c r="BO29" s="256"/>
      <c r="BP29" s="256"/>
      <c r="BQ29" s="256"/>
      <c r="BR29" s="256"/>
      <c r="BS29" s="256"/>
      <c r="BT29" s="256"/>
      <c r="BU29" s="256"/>
      <c r="BV29" s="256"/>
      <c r="BW29" s="256"/>
      <c r="BX29" s="256"/>
      <c r="BY29" s="256"/>
      <c r="BZ29" s="256"/>
    </row>
    <row r="30" spans="1:78">
      <c r="A30" s="472" t="s">
        <v>385</v>
      </c>
      <c r="B30" s="473">
        <v>6.7333081685296703</v>
      </c>
      <c r="C30" s="473">
        <v>4.3241676698194302</v>
      </c>
      <c r="D30" s="473">
        <v>4.12923766122098</v>
      </c>
      <c r="E30" s="473">
        <v>4.0052162510748097</v>
      </c>
      <c r="F30" s="473">
        <v>3.8777862424763501</v>
      </c>
      <c r="G30" s="473">
        <v>3.36553766122098</v>
      </c>
      <c r="H30" s="461">
        <v>-2.9091576675537301E-2</v>
      </c>
      <c r="I30" s="462">
        <v>-9.1829510527656807E-3</v>
      </c>
      <c r="J30" s="462">
        <v>-6.0804845612360001E-3</v>
      </c>
      <c r="K30" s="462">
        <v>-6.4457642771538204E-3</v>
      </c>
      <c r="L30" s="463">
        <v>-7.0588039779074796E-3</v>
      </c>
      <c r="M30" s="256"/>
      <c r="N30" s="256"/>
      <c r="O30" s="256"/>
      <c r="P30" s="256"/>
      <c r="Q30" s="256"/>
      <c r="R30" s="460"/>
      <c r="S30" s="471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  <c r="BJ30" s="256"/>
      <c r="BK30" s="256"/>
      <c r="BL30" s="256"/>
      <c r="BM30" s="256"/>
      <c r="BN30" s="256"/>
      <c r="BO30" s="256"/>
      <c r="BP30" s="256"/>
      <c r="BQ30" s="256"/>
      <c r="BR30" s="256"/>
      <c r="BS30" s="256"/>
      <c r="BT30" s="256"/>
      <c r="BU30" s="256"/>
      <c r="BV30" s="256"/>
      <c r="BW30" s="256"/>
      <c r="BX30" s="256"/>
      <c r="BY30" s="256"/>
      <c r="BZ30" s="256"/>
    </row>
    <row r="31" spans="1:78">
      <c r="A31" s="472" t="s">
        <v>386</v>
      </c>
      <c r="B31" s="473">
        <v>0.77559888220120399</v>
      </c>
      <c r="C31" s="473">
        <v>0.54067386070507295</v>
      </c>
      <c r="D31" s="473">
        <v>0.52756122098022395</v>
      </c>
      <c r="E31" s="473">
        <v>0.50129294926913204</v>
      </c>
      <c r="F31" s="473">
        <v>0.50129294926913204</v>
      </c>
      <c r="G31" s="473">
        <v>0.41472622527945002</v>
      </c>
      <c r="H31" s="461">
        <v>-2.3767608980079E-2</v>
      </c>
      <c r="I31" s="462">
        <v>-4.8982312347996002E-3</v>
      </c>
      <c r="J31" s="462">
        <v>-1.01628572059761E-2</v>
      </c>
      <c r="K31" s="462">
        <v>0</v>
      </c>
      <c r="L31" s="463">
        <v>-9.4338223850389796E-3</v>
      </c>
      <c r="M31" s="256"/>
      <c r="N31" s="256"/>
      <c r="O31" s="256"/>
      <c r="P31" s="256"/>
      <c r="Q31" s="256"/>
      <c r="R31" s="460"/>
      <c r="S31" s="471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  <c r="BJ31" s="256"/>
      <c r="BK31" s="256"/>
      <c r="BL31" s="256"/>
      <c r="BM31" s="256"/>
      <c r="BN31" s="256"/>
      <c r="BO31" s="256"/>
      <c r="BP31" s="256"/>
      <c r="BQ31" s="256"/>
      <c r="BR31" s="256"/>
      <c r="BS31" s="256"/>
      <c r="BT31" s="256"/>
      <c r="BU31" s="256"/>
      <c r="BV31" s="256"/>
      <c r="BW31" s="256"/>
      <c r="BX31" s="256"/>
      <c r="BY31" s="256"/>
      <c r="BZ31" s="256"/>
    </row>
    <row r="32" spans="1:78">
      <c r="A32" s="469" t="s">
        <v>114</v>
      </c>
      <c r="B32" s="455">
        <v>10.4049</v>
      </c>
      <c r="C32" s="455">
        <v>8.6717999999999993</v>
      </c>
      <c r="D32" s="455">
        <v>8.8864999999999998</v>
      </c>
      <c r="E32" s="455">
        <v>8.9934999999999992</v>
      </c>
      <c r="F32" s="455">
        <v>9.0847999999999995</v>
      </c>
      <c r="G32" s="455">
        <v>10.4232</v>
      </c>
      <c r="H32" s="461">
        <v>-1.2073224475376201E-2</v>
      </c>
      <c r="I32" s="462">
        <v>4.9033602210513099E-3</v>
      </c>
      <c r="J32" s="462">
        <v>2.3966319355179801E-3</v>
      </c>
      <c r="K32" s="462">
        <v>2.0221604364199001E-3</v>
      </c>
      <c r="L32" s="463">
        <v>6.8952335894163497E-3</v>
      </c>
      <c r="M32" s="256"/>
      <c r="N32" s="256"/>
      <c r="O32" s="256"/>
      <c r="P32" s="256"/>
      <c r="Q32" s="256"/>
      <c r="R32" s="460"/>
      <c r="S32" s="471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  <c r="BJ32" s="256"/>
      <c r="BK32" s="256"/>
      <c r="BL32" s="256"/>
      <c r="BM32" s="256"/>
      <c r="BN32" s="256"/>
      <c r="BO32" s="256"/>
      <c r="BP32" s="256"/>
      <c r="BQ32" s="256"/>
      <c r="BR32" s="256"/>
      <c r="BS32" s="256"/>
      <c r="BT32" s="256"/>
      <c r="BU32" s="256"/>
      <c r="BV32" s="256"/>
      <c r="BW32" s="256"/>
      <c r="BX32" s="256"/>
      <c r="BY32" s="256"/>
      <c r="BZ32" s="256"/>
    </row>
    <row r="33" spans="1:78">
      <c r="A33" s="472" t="s">
        <v>387</v>
      </c>
      <c r="B33" s="473">
        <v>0.68307506448839195</v>
      </c>
      <c r="C33" s="473">
        <v>0.48066870163370601</v>
      </c>
      <c r="D33" s="473">
        <v>0.46725477214101502</v>
      </c>
      <c r="E33" s="473">
        <v>0.45394084264832302</v>
      </c>
      <c r="F33" s="473">
        <v>0.440618314703353</v>
      </c>
      <c r="G33" s="473">
        <v>0.42950438521066198</v>
      </c>
      <c r="H33" s="461">
        <v>-2.3156118034364199E-2</v>
      </c>
      <c r="I33" s="462">
        <v>-5.6447289637038302E-3</v>
      </c>
      <c r="J33" s="462">
        <v>-5.7648734804401896E-3</v>
      </c>
      <c r="K33" s="462">
        <v>-5.9398659999631001E-3</v>
      </c>
      <c r="L33" s="463">
        <v>-1.2765370194788299E-3</v>
      </c>
      <c r="M33" s="256"/>
      <c r="N33" s="256"/>
      <c r="O33" s="256"/>
      <c r="P33" s="256"/>
      <c r="Q33" s="256"/>
      <c r="R33" s="460"/>
      <c r="S33" s="471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  <c r="BJ33" s="256"/>
      <c r="BK33" s="256"/>
      <c r="BL33" s="256"/>
      <c r="BM33" s="256"/>
      <c r="BN33" s="256"/>
      <c r="BO33" s="256"/>
      <c r="BP33" s="256"/>
      <c r="BQ33" s="256"/>
      <c r="BR33" s="256"/>
      <c r="BS33" s="256"/>
      <c r="BT33" s="256"/>
      <c r="BU33" s="256"/>
      <c r="BV33" s="256"/>
      <c r="BW33" s="256"/>
      <c r="BX33" s="256"/>
      <c r="BY33" s="256"/>
      <c r="BZ33" s="256"/>
    </row>
    <row r="34" spans="1:78">
      <c r="A34" s="472" t="s">
        <v>388</v>
      </c>
      <c r="B34" s="473">
        <v>5.1073606190885599</v>
      </c>
      <c r="C34" s="473">
        <v>4.2139189165950102</v>
      </c>
      <c r="D34" s="473">
        <v>4.1711650042992297</v>
      </c>
      <c r="E34" s="473">
        <v>4.1288110920034402</v>
      </c>
      <c r="F34" s="473">
        <v>4.0862173688735997</v>
      </c>
      <c r="G34" s="473">
        <v>4.04346345657782</v>
      </c>
      <c r="H34" s="461">
        <v>-1.27374948782196E-2</v>
      </c>
      <c r="I34" s="462">
        <v>-2.0374614398909201E-3</v>
      </c>
      <c r="J34" s="462">
        <v>-2.03909421242632E-3</v>
      </c>
      <c r="K34" s="462">
        <v>-2.0718110130689702E-3</v>
      </c>
      <c r="L34" s="463">
        <v>-5.2576561135531097E-4</v>
      </c>
      <c r="M34" s="256"/>
      <c r="N34" s="256"/>
      <c r="O34" s="256"/>
      <c r="P34" s="256"/>
      <c r="Q34" s="256"/>
      <c r="R34" s="460"/>
      <c r="S34" s="471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  <c r="BJ34" s="256"/>
      <c r="BK34" s="256"/>
      <c r="BL34" s="256"/>
      <c r="BM34" s="256"/>
      <c r="BN34" s="256"/>
      <c r="BO34" s="256"/>
      <c r="BP34" s="256"/>
      <c r="BQ34" s="256"/>
      <c r="BR34" s="256"/>
      <c r="BS34" s="256"/>
      <c r="BT34" s="256"/>
      <c r="BU34" s="256"/>
      <c r="BV34" s="256"/>
      <c r="BW34" s="256"/>
      <c r="BX34" s="256"/>
      <c r="BY34" s="256"/>
      <c r="BZ34" s="256"/>
    </row>
    <row r="35" spans="1:78">
      <c r="A35" s="472" t="s">
        <v>389</v>
      </c>
      <c r="B35" s="473">
        <v>0.54880481513327595</v>
      </c>
      <c r="C35" s="473">
        <v>0.34386070507308703</v>
      </c>
      <c r="D35" s="473">
        <v>0.34038693035253598</v>
      </c>
      <c r="E35" s="473">
        <v>0.33691315563198598</v>
      </c>
      <c r="F35" s="473">
        <v>0.33343938091143599</v>
      </c>
      <c r="G35" s="473">
        <v>0.329965606190886</v>
      </c>
      <c r="H35" s="461">
        <v>-3.0686393504073099E-2</v>
      </c>
      <c r="I35" s="462">
        <v>-2.02866891639664E-3</v>
      </c>
      <c r="J35" s="462">
        <v>-2.0494574426596101E-3</v>
      </c>
      <c r="K35" s="462">
        <v>-2.0706764393267898E-3</v>
      </c>
      <c r="L35" s="463">
        <v>-5.2349578258237305E-4</v>
      </c>
      <c r="M35" s="256"/>
      <c r="N35" s="256"/>
      <c r="O35" s="256"/>
      <c r="P35" s="256"/>
      <c r="Q35" s="256"/>
      <c r="R35" s="460"/>
      <c r="S35" s="471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  <c r="BJ35" s="256"/>
      <c r="BK35" s="256"/>
      <c r="BL35" s="256"/>
      <c r="BM35" s="256"/>
      <c r="BN35" s="256"/>
      <c r="BO35" s="256"/>
      <c r="BP35" s="256"/>
      <c r="BQ35" s="256"/>
      <c r="BR35" s="256"/>
      <c r="BS35" s="256"/>
      <c r="BT35" s="256"/>
      <c r="BU35" s="256"/>
      <c r="BV35" s="256"/>
      <c r="BW35" s="256"/>
      <c r="BX35" s="256"/>
      <c r="BY35" s="256"/>
      <c r="BZ35" s="256"/>
    </row>
    <row r="36" spans="1:78">
      <c r="A36" s="469" t="s">
        <v>118</v>
      </c>
      <c r="B36" s="455">
        <v>4.5197000000000003</v>
      </c>
      <c r="C36" s="455">
        <v>3.4478</v>
      </c>
      <c r="D36" s="455">
        <v>3.5855000000000001</v>
      </c>
      <c r="E36" s="455">
        <v>3.6153</v>
      </c>
      <c r="F36" s="455">
        <v>3.7075999999999998</v>
      </c>
      <c r="G36" s="455">
        <v>4.0397999999999996</v>
      </c>
      <c r="H36" s="461">
        <v>-1.78854079287021E-2</v>
      </c>
      <c r="I36" s="462">
        <v>7.8630704078541704E-3</v>
      </c>
      <c r="J36" s="462">
        <v>1.6567519753676299E-3</v>
      </c>
      <c r="K36" s="462">
        <v>5.0547176582593804E-3</v>
      </c>
      <c r="L36" s="463">
        <v>4.2997384017018402E-3</v>
      </c>
      <c r="M36" s="256"/>
      <c r="N36" s="256"/>
      <c r="O36" s="256"/>
      <c r="P36" s="256"/>
      <c r="Q36" s="256"/>
      <c r="R36" s="460"/>
      <c r="S36" s="471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  <c r="BJ36" s="256"/>
      <c r="BK36" s="256"/>
      <c r="BL36" s="256"/>
      <c r="BM36" s="256"/>
      <c r="BN36" s="256"/>
      <c r="BO36" s="256"/>
      <c r="BP36" s="256"/>
      <c r="BQ36" s="256"/>
      <c r="BR36" s="256"/>
      <c r="BS36" s="256"/>
      <c r="BT36" s="256"/>
      <c r="BU36" s="256"/>
      <c r="BV36" s="256"/>
      <c r="BW36" s="256"/>
      <c r="BX36" s="256"/>
      <c r="BY36" s="256"/>
      <c r="BZ36" s="256"/>
    </row>
    <row r="37" spans="1:78">
      <c r="A37" s="472" t="s">
        <v>390</v>
      </c>
      <c r="B37" s="473">
        <v>1.7363669819432499</v>
      </c>
      <c r="C37" s="473">
        <v>1.4016233018056701</v>
      </c>
      <c r="D37" s="473">
        <v>1.50207893379192</v>
      </c>
      <c r="E37" s="473">
        <v>1.4892156491831501</v>
      </c>
      <c r="F37" s="473">
        <v>1.4891156491831501</v>
      </c>
      <c r="G37" s="473">
        <v>1.3828008598452299</v>
      </c>
      <c r="H37" s="461">
        <v>-1.41761533511731E-2</v>
      </c>
      <c r="I37" s="462">
        <v>1.3940076878419E-2</v>
      </c>
      <c r="J37" s="462">
        <v>-1.71862806616696E-3</v>
      </c>
      <c r="K37" s="462">
        <v>-1.34302491571203E-5</v>
      </c>
      <c r="L37" s="463">
        <v>-3.6967186908993801E-3</v>
      </c>
      <c r="M37" s="256"/>
      <c r="N37" s="256"/>
      <c r="O37" s="256"/>
      <c r="P37" s="256"/>
      <c r="Q37" s="256"/>
      <c r="R37" s="460"/>
      <c r="S37" s="471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  <c r="BJ37" s="256"/>
      <c r="BK37" s="256"/>
      <c r="BL37" s="256"/>
      <c r="BM37" s="256"/>
      <c r="BN37" s="256"/>
      <c r="BO37" s="256"/>
      <c r="BP37" s="256"/>
      <c r="BQ37" s="256"/>
      <c r="BR37" s="256"/>
      <c r="BS37" s="256"/>
      <c r="BT37" s="256"/>
      <c r="BU37" s="256"/>
      <c r="BV37" s="256"/>
      <c r="BW37" s="256"/>
      <c r="BX37" s="256"/>
      <c r="BY37" s="256"/>
      <c r="BZ37" s="256"/>
    </row>
    <row r="38" spans="1:78">
      <c r="A38" s="472" t="s">
        <v>391</v>
      </c>
      <c r="B38" s="473">
        <v>1.4736458297506501</v>
      </c>
      <c r="C38" s="473">
        <v>1.2876062768701599</v>
      </c>
      <c r="D38" s="473">
        <v>1.25890627687016</v>
      </c>
      <c r="E38" s="473">
        <v>1.2016062768701601</v>
      </c>
      <c r="F38" s="473">
        <v>1.2016062768701601</v>
      </c>
      <c r="G38" s="473">
        <v>1.04906921754084</v>
      </c>
      <c r="H38" s="461">
        <v>-8.9566210976280702E-3</v>
      </c>
      <c r="I38" s="462">
        <v>-4.4981698966123397E-3</v>
      </c>
      <c r="J38" s="462">
        <v>-9.2735497369074195E-3</v>
      </c>
      <c r="K38" s="462">
        <v>0</v>
      </c>
      <c r="L38" s="463">
        <v>-6.7648106613980002E-3</v>
      </c>
      <c r="M38" s="256"/>
      <c r="N38" s="256"/>
      <c r="O38" s="256"/>
      <c r="P38" s="256"/>
      <c r="Q38" s="256"/>
      <c r="R38" s="460"/>
      <c r="S38" s="471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  <c r="BJ38" s="256"/>
      <c r="BK38" s="256"/>
      <c r="BL38" s="256"/>
      <c r="BM38" s="256"/>
      <c r="BN38" s="256"/>
      <c r="BO38" s="256"/>
      <c r="BP38" s="256"/>
      <c r="BQ38" s="256"/>
      <c r="BR38" s="256"/>
      <c r="BS38" s="256"/>
      <c r="BT38" s="256"/>
      <c r="BU38" s="256"/>
      <c r="BV38" s="256"/>
      <c r="BW38" s="256"/>
      <c r="BX38" s="256"/>
      <c r="BY38" s="256"/>
      <c r="BZ38" s="256"/>
    </row>
    <row r="39" spans="1:78">
      <c r="A39" s="469" t="s">
        <v>121</v>
      </c>
      <c r="B39" s="455">
        <v>5.1496000000000004</v>
      </c>
      <c r="C39" s="455">
        <v>5.8753000000000002</v>
      </c>
      <c r="D39" s="455">
        <v>5.9512999999999998</v>
      </c>
      <c r="E39" s="455">
        <v>5.9692999999999996</v>
      </c>
      <c r="F39" s="455">
        <v>5.9718</v>
      </c>
      <c r="G39" s="455">
        <v>7.1319999999999997</v>
      </c>
      <c r="H39" s="461">
        <v>8.8279438626317503E-3</v>
      </c>
      <c r="I39" s="462">
        <v>2.5738187051156402E-3</v>
      </c>
      <c r="J39" s="462">
        <v>6.0417934504353198E-4</v>
      </c>
      <c r="K39" s="462">
        <v>8.3747886540530599E-5</v>
      </c>
      <c r="L39" s="463">
        <v>8.9166844110339892E-3</v>
      </c>
      <c r="M39" s="256"/>
      <c r="N39" s="256"/>
      <c r="O39" s="256"/>
      <c r="P39" s="256"/>
      <c r="Q39" s="256"/>
      <c r="R39" s="460"/>
      <c r="S39" s="471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6"/>
      <c r="BT39" s="256"/>
      <c r="BU39" s="256"/>
      <c r="BV39" s="256"/>
      <c r="BW39" s="256"/>
      <c r="BX39" s="256"/>
      <c r="BY39" s="256"/>
      <c r="BZ39" s="256"/>
    </row>
    <row r="40" spans="1:78">
      <c r="A40" s="472" t="s">
        <v>392</v>
      </c>
      <c r="B40" s="473">
        <v>0.89188495270851198</v>
      </c>
      <c r="C40" s="473">
        <v>0.88629441100601902</v>
      </c>
      <c r="D40" s="473">
        <v>0.85669441100601895</v>
      </c>
      <c r="E40" s="473">
        <v>0.82709441100601899</v>
      </c>
      <c r="F40" s="473">
        <v>0.79759441100601902</v>
      </c>
      <c r="G40" s="473">
        <v>0.79759441100601902</v>
      </c>
      <c r="H40" s="461">
        <v>-4.19109464917855E-4</v>
      </c>
      <c r="I40" s="462">
        <v>-6.77055831766282E-3</v>
      </c>
      <c r="J40" s="462">
        <v>-7.0078150903363197E-3</v>
      </c>
      <c r="K40" s="462">
        <v>-7.2374104850786401E-3</v>
      </c>
      <c r="L40" s="463">
        <v>0</v>
      </c>
      <c r="M40" s="256"/>
      <c r="N40" s="256"/>
      <c r="O40" s="256"/>
      <c r="P40" s="256"/>
      <c r="Q40" s="256"/>
      <c r="R40" s="460"/>
      <c r="S40" s="471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56"/>
      <c r="BY40" s="256"/>
      <c r="BZ40" s="256"/>
    </row>
    <row r="41" spans="1:78">
      <c r="A41" s="469" t="s">
        <v>123</v>
      </c>
      <c r="B41" s="455">
        <v>4.7685000000000004</v>
      </c>
      <c r="C41" s="455">
        <v>3.83</v>
      </c>
      <c r="D41" s="455">
        <v>4.0110999999999999</v>
      </c>
      <c r="E41" s="455">
        <v>4.1416000000000004</v>
      </c>
      <c r="F41" s="455">
        <v>4.2241999999999997</v>
      </c>
      <c r="G41" s="455">
        <v>5.7804000000000002</v>
      </c>
      <c r="H41" s="461">
        <v>-1.4504907843731801E-2</v>
      </c>
      <c r="I41" s="462">
        <v>9.2829648573524697E-3</v>
      </c>
      <c r="J41" s="462">
        <v>6.4238789085733199E-3</v>
      </c>
      <c r="K41" s="462">
        <v>3.95735114944884E-3</v>
      </c>
      <c r="L41" s="463">
        <v>1.58057597533778E-2</v>
      </c>
      <c r="M41" s="256"/>
      <c r="N41" s="256"/>
      <c r="O41" s="256"/>
      <c r="P41" s="256"/>
      <c r="Q41" s="256"/>
      <c r="R41" s="460"/>
      <c r="S41" s="471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6"/>
      <c r="BS41" s="256"/>
      <c r="BT41" s="256"/>
      <c r="BU41" s="256"/>
      <c r="BV41" s="256"/>
      <c r="BW41" s="256"/>
      <c r="BX41" s="256"/>
      <c r="BY41" s="256"/>
      <c r="BZ41" s="256"/>
    </row>
    <row r="42" spans="1:78">
      <c r="A42" s="469" t="s">
        <v>124</v>
      </c>
      <c r="B42" s="455">
        <v>6.0332999999999997</v>
      </c>
      <c r="C42" s="455">
        <v>4.8380000000000001</v>
      </c>
      <c r="D42" s="455">
        <v>4.5659000000000001</v>
      </c>
      <c r="E42" s="455">
        <v>4.5555000000000003</v>
      </c>
      <c r="F42" s="455">
        <v>4.5491999999999999</v>
      </c>
      <c r="G42" s="455">
        <v>4.7652999999999999</v>
      </c>
      <c r="H42" s="461">
        <v>-1.46117117020375E-2</v>
      </c>
      <c r="I42" s="462">
        <v>-1.1510395697390499E-2</v>
      </c>
      <c r="J42" s="462">
        <v>-4.5596655335111702E-4</v>
      </c>
      <c r="K42" s="462">
        <v>-2.7674186862747301E-4</v>
      </c>
      <c r="L42" s="463">
        <v>2.3231493830715398E-3</v>
      </c>
      <c r="M42" s="256"/>
      <c r="N42" s="256"/>
      <c r="O42" s="256"/>
      <c r="P42" s="256"/>
      <c r="Q42" s="256"/>
      <c r="R42" s="460"/>
      <c r="S42" s="471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6"/>
      <c r="BV42" s="256"/>
      <c r="BW42" s="256"/>
      <c r="BX42" s="256"/>
      <c r="BY42" s="256"/>
      <c r="BZ42" s="256"/>
    </row>
    <row r="43" spans="1:78">
      <c r="A43" s="472" t="s">
        <v>393</v>
      </c>
      <c r="B43" s="474">
        <v>3.7798932072226998</v>
      </c>
      <c r="C43" s="474">
        <v>3.2045226999140102</v>
      </c>
      <c r="D43" s="474">
        <v>2.91299294926913</v>
      </c>
      <c r="E43" s="474">
        <v>2.9042913155632002</v>
      </c>
      <c r="F43" s="474">
        <v>2.9042913155632002</v>
      </c>
      <c r="G43" s="474">
        <v>2.9042913155632002</v>
      </c>
      <c r="H43" s="461">
        <v>-1.09484645761908E-2</v>
      </c>
      <c r="I43" s="462">
        <v>-1.88956162581395E-2</v>
      </c>
      <c r="J43" s="462">
        <v>-5.9815110230121405E-4</v>
      </c>
      <c r="K43" s="462">
        <v>0</v>
      </c>
      <c r="L43" s="463">
        <v>0</v>
      </c>
      <c r="M43" s="256"/>
      <c r="N43" s="256"/>
      <c r="O43" s="256"/>
      <c r="P43" s="256"/>
      <c r="Q43" s="256"/>
      <c r="R43" s="460"/>
      <c r="S43" s="471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6"/>
      <c r="BS43" s="256"/>
      <c r="BT43" s="256"/>
      <c r="BU43" s="256"/>
      <c r="BV43" s="256"/>
      <c r="BW43" s="256"/>
      <c r="BX43" s="256"/>
      <c r="BY43" s="256"/>
      <c r="BZ43" s="256"/>
    </row>
    <row r="44" spans="1:78">
      <c r="A44" s="435"/>
      <c r="B44" s="436"/>
      <c r="C44" s="436"/>
      <c r="D44" s="436"/>
      <c r="E44" s="436"/>
      <c r="F44" s="436"/>
      <c r="G44" s="436"/>
      <c r="H44" s="461"/>
      <c r="I44" s="462"/>
      <c r="J44" s="462"/>
      <c r="K44" s="462"/>
      <c r="L44" s="463"/>
      <c r="M44" s="256"/>
      <c r="N44" s="256"/>
      <c r="O44" s="256"/>
      <c r="P44" s="256"/>
      <c r="Q44" s="256"/>
      <c r="R44" s="460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  <c r="BS44" s="256"/>
      <c r="BT44" s="256"/>
      <c r="BU44" s="256"/>
      <c r="BV44" s="256"/>
      <c r="BW44" s="256"/>
      <c r="BX44" s="256"/>
      <c r="BY44" s="256"/>
      <c r="BZ44" s="256"/>
    </row>
    <row r="45" spans="1:78">
      <c r="A45" s="435"/>
      <c r="B45" s="436"/>
      <c r="C45" s="436"/>
      <c r="D45" s="436"/>
      <c r="E45" s="436"/>
      <c r="F45" s="436"/>
      <c r="G45" s="436"/>
      <c r="H45" s="461"/>
      <c r="I45" s="462"/>
      <c r="J45" s="462"/>
      <c r="K45" s="462"/>
      <c r="L45" s="463"/>
      <c r="M45" s="256"/>
      <c r="N45" s="256"/>
      <c r="O45" s="256"/>
      <c r="P45" s="256"/>
      <c r="Q45" s="256"/>
      <c r="R45" s="460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  <c r="BJ45" s="256"/>
      <c r="BK45" s="256"/>
      <c r="BL45" s="256"/>
      <c r="BM45" s="256"/>
      <c r="BN45" s="256"/>
      <c r="BO45" s="256"/>
      <c r="BP45" s="256"/>
      <c r="BQ45" s="256"/>
      <c r="BR45" s="256"/>
      <c r="BS45" s="256"/>
      <c r="BT45" s="256"/>
      <c r="BU45" s="256"/>
      <c r="BV45" s="256"/>
      <c r="BW45" s="256"/>
      <c r="BX45" s="256"/>
      <c r="BY45" s="256"/>
      <c r="BZ45" s="256"/>
    </row>
    <row r="46" spans="1:78" ht="15" thickBot="1">
      <c r="A46" s="444" t="s">
        <v>10</v>
      </c>
      <c r="B46" s="464">
        <v>38.915500000000002</v>
      </c>
      <c r="C46" s="464">
        <v>31.8476</v>
      </c>
      <c r="D46" s="464">
        <v>32.0032</v>
      </c>
      <c r="E46" s="464">
        <v>32.154499999999999</v>
      </c>
      <c r="F46" s="464">
        <v>32.312199999999997</v>
      </c>
      <c r="G46" s="464">
        <v>36.427999999999997</v>
      </c>
      <c r="H46" s="466">
        <v>-1.32731644274582E-2</v>
      </c>
      <c r="I46" s="467">
        <v>9.7524961479988903E-4</v>
      </c>
      <c r="J46" s="467">
        <v>9.43747446561227E-4</v>
      </c>
      <c r="K46" s="467">
        <v>9.789705007394729E-4</v>
      </c>
      <c r="L46" s="468">
        <v>6.0126459150486901E-3</v>
      </c>
      <c r="M46" s="256"/>
      <c r="N46" s="256"/>
      <c r="O46" s="256"/>
      <c r="P46" s="256"/>
      <c r="Q46" s="256"/>
      <c r="R46" s="460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6"/>
      <c r="BS46" s="256"/>
      <c r="BT46" s="256"/>
      <c r="BU46" s="256"/>
      <c r="BV46" s="256"/>
      <c r="BW46" s="256"/>
      <c r="BX46" s="256"/>
      <c r="BY46" s="256"/>
      <c r="BZ46" s="256"/>
    </row>
    <row r="47" spans="1:78" ht="15" thickBot="1">
      <c r="A47" s="449"/>
      <c r="B47" s="256"/>
      <c r="C47" s="256"/>
      <c r="D47" s="256"/>
      <c r="E47" s="256"/>
      <c r="F47" s="451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460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  <c r="BS47" s="256"/>
      <c r="BT47" s="256"/>
      <c r="BU47" s="256"/>
      <c r="BV47" s="256"/>
      <c r="BW47" s="256"/>
      <c r="BX47" s="256"/>
      <c r="BY47" s="256"/>
      <c r="BZ47" s="256"/>
    </row>
    <row r="48" spans="1:78" ht="15" thickBot="1">
      <c r="A48" s="475" t="s">
        <v>126</v>
      </c>
      <c r="B48" s="476">
        <v>21.729938521066199</v>
      </c>
      <c r="C48" s="476">
        <v>16.6833365434222</v>
      </c>
      <c r="D48" s="476">
        <v>16.166278159931199</v>
      </c>
      <c r="E48" s="476">
        <v>15.8483819432502</v>
      </c>
      <c r="F48" s="476">
        <v>15.6319619088564</v>
      </c>
      <c r="G48" s="476">
        <v>14.7169531384351</v>
      </c>
      <c r="H48" s="477">
        <v>-1.7464401870883699E-2</v>
      </c>
      <c r="I48" s="478">
        <v>-6.2768044141875397E-3</v>
      </c>
      <c r="J48" s="478">
        <v>-3.9641356137063398E-3</v>
      </c>
      <c r="K48" s="478">
        <v>-2.7461725419317701E-3</v>
      </c>
      <c r="L48" s="479">
        <v>-3.0113345370587101E-3</v>
      </c>
      <c r="M48" s="256"/>
      <c r="N48" s="256"/>
      <c r="O48" s="256"/>
      <c r="P48" s="256"/>
      <c r="Q48" s="256"/>
      <c r="R48" s="460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  <c r="BS48" s="256"/>
      <c r="BT48" s="256"/>
      <c r="BU48" s="256"/>
      <c r="BV48" s="256"/>
      <c r="BW48" s="256"/>
      <c r="BX48" s="256"/>
      <c r="BY48" s="256"/>
      <c r="BZ48" s="256"/>
    </row>
    <row r="49" spans="1:78">
      <c r="A49" s="480"/>
      <c r="B49" s="481"/>
      <c r="C49" s="481"/>
      <c r="D49" s="481"/>
      <c r="E49" s="481"/>
      <c r="F49" s="481"/>
      <c r="G49" s="481"/>
      <c r="H49" s="462"/>
      <c r="I49" s="462"/>
      <c r="J49" s="462"/>
      <c r="K49" s="462"/>
      <c r="L49" s="462"/>
      <c r="M49" s="256"/>
      <c r="N49" s="256"/>
      <c r="O49" s="256"/>
      <c r="P49" s="256"/>
      <c r="Q49" s="256"/>
      <c r="R49" s="460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  <c r="BS49" s="256"/>
      <c r="BT49" s="256"/>
      <c r="BU49" s="256"/>
      <c r="BV49" s="256"/>
      <c r="BW49" s="256"/>
      <c r="BX49" s="256"/>
      <c r="BY49" s="256"/>
      <c r="BZ49" s="256"/>
    </row>
    <row r="50" spans="1:78">
      <c r="A50" s="256"/>
      <c r="B50" s="482"/>
      <c r="C50" s="482"/>
      <c r="D50" s="256"/>
      <c r="E50" s="427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460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56"/>
      <c r="BR50" s="256"/>
      <c r="BS50" s="256"/>
      <c r="BT50" s="256"/>
      <c r="BU50" s="256"/>
      <c r="BV50" s="256"/>
      <c r="BW50" s="256"/>
      <c r="BX50" s="256"/>
      <c r="BY50" s="256"/>
      <c r="BZ50" s="256"/>
    </row>
    <row r="51" spans="1:78" ht="16" thickBot="1">
      <c r="A51" s="428" t="s">
        <v>127</v>
      </c>
      <c r="B51" s="429"/>
      <c r="C51" s="429"/>
      <c r="D51" s="429"/>
      <c r="E51" s="430"/>
      <c r="F51" s="430"/>
      <c r="G51" s="430"/>
      <c r="H51" s="430"/>
      <c r="I51" s="430"/>
      <c r="J51" s="430"/>
      <c r="K51" s="430"/>
      <c r="L51" s="430"/>
      <c r="M51" s="256"/>
      <c r="N51" s="256"/>
      <c r="O51" s="256"/>
      <c r="P51" s="256"/>
      <c r="Q51" s="256"/>
      <c r="R51" s="460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  <c r="BJ51" s="256"/>
      <c r="BK51" s="256"/>
      <c r="BL51" s="256"/>
      <c r="BM51" s="256"/>
      <c r="BN51" s="256"/>
      <c r="BO51" s="256"/>
      <c r="BP51" s="256"/>
      <c r="BQ51" s="256"/>
      <c r="BR51" s="256"/>
      <c r="BS51" s="256"/>
      <c r="BT51" s="256"/>
      <c r="BU51" s="256"/>
      <c r="BV51" s="256"/>
      <c r="BW51" s="256"/>
      <c r="BX51" s="256"/>
      <c r="BY51" s="256"/>
      <c r="BZ51" s="256"/>
    </row>
    <row r="52" spans="1:78" ht="15" thickBot="1">
      <c r="A52" s="483" t="s">
        <v>128</v>
      </c>
      <c r="B52" s="432">
        <v>2000</v>
      </c>
      <c r="C52" s="432">
        <v>2015</v>
      </c>
      <c r="D52" s="432">
        <v>2020</v>
      </c>
      <c r="E52" s="432">
        <v>2025</v>
      </c>
      <c r="F52" s="432">
        <v>2030</v>
      </c>
      <c r="G52" s="432">
        <v>2050</v>
      </c>
      <c r="H52" s="452" t="s">
        <v>98</v>
      </c>
      <c r="I52" s="453" t="s">
        <v>99</v>
      </c>
      <c r="J52" s="453" t="s">
        <v>100</v>
      </c>
      <c r="K52" s="453" t="s">
        <v>101</v>
      </c>
      <c r="L52" s="454" t="s">
        <v>384</v>
      </c>
      <c r="M52" s="256"/>
      <c r="N52" s="256"/>
      <c r="O52" s="256"/>
      <c r="P52" s="256"/>
      <c r="Q52" s="256"/>
      <c r="R52" s="460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  <c r="BJ52" s="256"/>
      <c r="BK52" s="256"/>
      <c r="BL52" s="256"/>
      <c r="BM52" s="256"/>
      <c r="BN52" s="256"/>
      <c r="BO52" s="256"/>
      <c r="BP52" s="256"/>
      <c r="BQ52" s="256"/>
      <c r="BR52" s="256"/>
      <c r="BS52" s="256"/>
      <c r="BT52" s="256"/>
      <c r="BU52" s="256"/>
      <c r="BV52" s="256"/>
      <c r="BW52" s="256"/>
      <c r="BX52" s="256"/>
      <c r="BY52" s="256"/>
      <c r="BZ52" s="256"/>
    </row>
    <row r="53" spans="1:78">
      <c r="A53" s="469" t="s">
        <v>111</v>
      </c>
      <c r="B53" s="455">
        <v>22.518699999999999</v>
      </c>
      <c r="C53" s="455">
        <v>16.763300000000001</v>
      </c>
      <c r="D53" s="455">
        <v>16.728100000000001</v>
      </c>
      <c r="E53" s="455">
        <v>16.5381</v>
      </c>
      <c r="F53" s="455">
        <v>16.624500000000001</v>
      </c>
      <c r="G53" s="455">
        <v>16.008800000000001</v>
      </c>
      <c r="H53" s="456">
        <v>-1.9484612690580001E-2</v>
      </c>
      <c r="I53" s="457">
        <v>-4.2031822902799398E-4</v>
      </c>
      <c r="J53" s="457">
        <v>-2.28201825772945E-3</v>
      </c>
      <c r="K53" s="457">
        <v>1.04268340469482E-3</v>
      </c>
      <c r="L53" s="458">
        <v>-1.88516782758574E-3</v>
      </c>
      <c r="M53" s="256"/>
      <c r="N53" s="256"/>
      <c r="O53" s="256"/>
      <c r="P53" s="256"/>
      <c r="Q53" s="256"/>
      <c r="R53" s="460"/>
      <c r="S53" s="471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  <c r="BS53" s="256"/>
      <c r="BT53" s="256"/>
      <c r="BU53" s="256"/>
      <c r="BV53" s="256"/>
      <c r="BW53" s="256"/>
      <c r="BX53" s="256"/>
      <c r="BY53" s="256"/>
      <c r="BZ53" s="256"/>
    </row>
    <row r="54" spans="1:78">
      <c r="A54" s="472" t="s">
        <v>385</v>
      </c>
      <c r="B54" s="473">
        <v>12.717499999999999</v>
      </c>
      <c r="C54" s="473">
        <v>8.8988999999999994</v>
      </c>
      <c r="D54" s="473">
        <v>8.8089999999999993</v>
      </c>
      <c r="E54" s="473">
        <v>8.7192000000000007</v>
      </c>
      <c r="F54" s="484">
        <v>8.6293000000000006</v>
      </c>
      <c r="G54" s="473">
        <v>7.9949000000000003</v>
      </c>
      <c r="H54" s="461">
        <v>-2.3522354702618101E-2</v>
      </c>
      <c r="I54" s="462">
        <v>-2.0286889165749299E-3</v>
      </c>
      <c r="J54" s="462">
        <v>-2.0471887517375898E-3</v>
      </c>
      <c r="K54" s="462">
        <v>-2.07067342890943E-3</v>
      </c>
      <c r="L54" s="463">
        <v>-3.8106983414415399E-3</v>
      </c>
      <c r="M54" s="256"/>
      <c r="N54" s="256"/>
      <c r="O54" s="256"/>
      <c r="P54" s="256"/>
      <c r="Q54" s="256"/>
      <c r="R54" s="460"/>
      <c r="S54" s="471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6"/>
      <c r="BM54" s="256"/>
      <c r="BN54" s="256"/>
      <c r="BO54" s="256"/>
      <c r="BP54" s="256"/>
      <c r="BQ54" s="256"/>
      <c r="BR54" s="256"/>
      <c r="BS54" s="256"/>
      <c r="BT54" s="256"/>
      <c r="BU54" s="256"/>
      <c r="BV54" s="256"/>
      <c r="BW54" s="256"/>
      <c r="BX54" s="256"/>
      <c r="BY54" s="256"/>
      <c r="BZ54" s="256"/>
    </row>
    <row r="55" spans="1:78">
      <c r="A55" s="472" t="s">
        <v>386</v>
      </c>
      <c r="B55" s="473">
        <v>6.4558</v>
      </c>
      <c r="C55" s="473">
        <v>5.2424999999999997</v>
      </c>
      <c r="D55" s="473">
        <v>5.09</v>
      </c>
      <c r="E55" s="473">
        <v>4.7845000000000004</v>
      </c>
      <c r="F55" s="473">
        <v>4.7845000000000004</v>
      </c>
      <c r="G55" s="473">
        <v>3.9138000000000002</v>
      </c>
      <c r="H55" s="461">
        <v>-1.37828327304185E-2</v>
      </c>
      <c r="I55" s="462">
        <v>-5.8867355181637703E-3</v>
      </c>
      <c r="J55" s="462">
        <v>-1.23029530180773E-2</v>
      </c>
      <c r="K55" s="462">
        <v>0</v>
      </c>
      <c r="L55" s="463">
        <v>-9.9933689636923003E-3</v>
      </c>
      <c r="M55" s="256"/>
      <c r="N55" s="256"/>
      <c r="O55" s="256"/>
      <c r="P55" s="256"/>
      <c r="Q55" s="256"/>
      <c r="R55" s="460"/>
      <c r="S55" s="471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6"/>
      <c r="BM55" s="256"/>
      <c r="BN55" s="256"/>
      <c r="BO55" s="256"/>
      <c r="BP55" s="256"/>
      <c r="BQ55" s="256"/>
      <c r="BR55" s="256"/>
      <c r="BS55" s="256"/>
      <c r="BT55" s="256"/>
      <c r="BU55" s="256"/>
      <c r="BV55" s="256"/>
      <c r="BW55" s="256"/>
      <c r="BX55" s="256"/>
      <c r="BY55" s="256"/>
      <c r="BZ55" s="256"/>
    </row>
    <row r="56" spans="1:78">
      <c r="A56" s="469" t="s">
        <v>114</v>
      </c>
      <c r="B56" s="455">
        <v>34.314</v>
      </c>
      <c r="C56" s="455">
        <v>30.441500000000001</v>
      </c>
      <c r="D56" s="455">
        <v>31.549399999999999</v>
      </c>
      <c r="E56" s="455">
        <v>32.128500000000003</v>
      </c>
      <c r="F56" s="455">
        <v>32.627400000000002</v>
      </c>
      <c r="G56" s="455">
        <v>39.034199999999998</v>
      </c>
      <c r="H56" s="461">
        <v>-7.9513279565939197E-3</v>
      </c>
      <c r="I56" s="462">
        <v>7.1751715343111302E-3</v>
      </c>
      <c r="J56" s="462">
        <v>3.6444078282133999E-3</v>
      </c>
      <c r="K56" s="462">
        <v>3.0865414819234399E-3</v>
      </c>
      <c r="L56" s="463">
        <v>9.0045874969917304E-3</v>
      </c>
      <c r="M56" s="256"/>
      <c r="N56" s="471"/>
      <c r="O56" s="471"/>
      <c r="P56" s="471"/>
      <c r="Q56" s="471"/>
      <c r="R56" s="471"/>
      <c r="S56" s="471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6"/>
      <c r="BM56" s="256"/>
      <c r="BN56" s="256"/>
      <c r="BO56" s="256"/>
      <c r="BP56" s="256"/>
      <c r="BQ56" s="256"/>
      <c r="BR56" s="256"/>
      <c r="BS56" s="256"/>
      <c r="BT56" s="256"/>
      <c r="BU56" s="256"/>
      <c r="BV56" s="256"/>
      <c r="BW56" s="256"/>
      <c r="BX56" s="256"/>
      <c r="BY56" s="256"/>
      <c r="BZ56" s="256"/>
    </row>
    <row r="57" spans="1:78">
      <c r="A57" s="472" t="s">
        <v>387</v>
      </c>
      <c r="B57" s="473">
        <v>1.4301999999999999</v>
      </c>
      <c r="C57" s="473">
        <v>0.73</v>
      </c>
      <c r="D57" s="473">
        <v>0.6996</v>
      </c>
      <c r="E57" s="473">
        <v>0.66920000000000002</v>
      </c>
      <c r="F57" s="473">
        <v>0.63870000000000005</v>
      </c>
      <c r="G57" s="473">
        <v>0.60829999999999995</v>
      </c>
      <c r="H57" s="461">
        <v>-4.3844768084247802E-2</v>
      </c>
      <c r="I57" s="462">
        <v>-8.4710747243904594E-3</v>
      </c>
      <c r="J57" s="462">
        <v>-8.8457984670333705E-3</v>
      </c>
      <c r="K57" s="462">
        <v>-9.2862358178932292E-3</v>
      </c>
      <c r="L57" s="463">
        <v>-2.4353636404914601E-3</v>
      </c>
      <c r="M57" s="256"/>
      <c r="N57" s="471"/>
      <c r="O57" s="471"/>
      <c r="P57" s="471"/>
      <c r="Q57" s="471"/>
      <c r="R57" s="471"/>
      <c r="S57" s="471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6"/>
      <c r="BL57" s="256"/>
      <c r="BM57" s="256"/>
      <c r="BN57" s="256"/>
      <c r="BO57" s="256"/>
      <c r="BP57" s="256"/>
      <c r="BQ57" s="256"/>
      <c r="BR57" s="256"/>
      <c r="BS57" s="256"/>
      <c r="BT57" s="256"/>
      <c r="BU57" s="256"/>
      <c r="BV57" s="256"/>
      <c r="BW57" s="256"/>
      <c r="BX57" s="256"/>
      <c r="BY57" s="256"/>
      <c r="BZ57" s="256"/>
    </row>
    <row r="58" spans="1:78">
      <c r="A58" s="472" t="s">
        <v>388</v>
      </c>
      <c r="B58" s="473">
        <v>9.2639999999999993</v>
      </c>
      <c r="C58" s="473">
        <v>8.2110000000000003</v>
      </c>
      <c r="D58" s="473">
        <v>8.1278000000000006</v>
      </c>
      <c r="E58" s="473">
        <v>8.0446000000000009</v>
      </c>
      <c r="F58" s="473">
        <v>7.9621000000000004</v>
      </c>
      <c r="G58" s="473">
        <v>7.8788999999999998</v>
      </c>
      <c r="H58" s="461">
        <v>-8.0118131051195602E-3</v>
      </c>
      <c r="I58" s="462">
        <v>-2.03481385213622E-3</v>
      </c>
      <c r="J58" s="462">
        <v>-2.0557291583102001E-3</v>
      </c>
      <c r="K58" s="462">
        <v>-2.0595311946615099E-3</v>
      </c>
      <c r="L58" s="463">
        <v>-5.2508629094683002E-4</v>
      </c>
      <c r="M58" s="256"/>
      <c r="N58" s="471"/>
      <c r="O58" s="471"/>
      <c r="P58" s="471"/>
      <c r="Q58" s="471"/>
      <c r="R58" s="471"/>
      <c r="S58" s="471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  <c r="BJ58" s="256"/>
      <c r="BK58" s="256"/>
      <c r="BL58" s="256"/>
      <c r="BM58" s="256"/>
      <c r="BN58" s="256"/>
      <c r="BO58" s="256"/>
      <c r="BP58" s="256"/>
      <c r="BQ58" s="256"/>
      <c r="BR58" s="256"/>
      <c r="BS58" s="256"/>
      <c r="BT58" s="256"/>
      <c r="BU58" s="256"/>
      <c r="BV58" s="256"/>
      <c r="BW58" s="256"/>
      <c r="BX58" s="256"/>
      <c r="BY58" s="256"/>
      <c r="BZ58" s="256"/>
    </row>
    <row r="59" spans="1:78">
      <c r="A59" s="472" t="s">
        <v>389</v>
      </c>
      <c r="B59" s="473">
        <v>6.3826000000000001</v>
      </c>
      <c r="C59" s="473">
        <v>3.9990999999999999</v>
      </c>
      <c r="D59" s="473">
        <v>3.9586999999999999</v>
      </c>
      <c r="E59" s="473">
        <v>3.9182999999999999</v>
      </c>
      <c r="F59" s="473">
        <v>3.8778999999999999</v>
      </c>
      <c r="G59" s="473">
        <v>3.8374999999999999</v>
      </c>
      <c r="H59" s="461">
        <v>-3.0686393504073099E-2</v>
      </c>
      <c r="I59" s="462">
        <v>-2.02866891639664E-3</v>
      </c>
      <c r="J59" s="462">
        <v>-2.0494574426596101E-3</v>
      </c>
      <c r="K59" s="462">
        <v>-2.0706764393267898E-3</v>
      </c>
      <c r="L59" s="463">
        <v>-5.2349578258237305E-4</v>
      </c>
      <c r="M59" s="256"/>
      <c r="N59" s="471"/>
      <c r="O59" s="471"/>
      <c r="P59" s="471"/>
      <c r="Q59" s="471"/>
      <c r="R59" s="471"/>
      <c r="S59" s="471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</row>
    <row r="60" spans="1:78">
      <c r="A60" s="469" t="s">
        <v>118</v>
      </c>
      <c r="B60" s="455">
        <v>10.089700000000001</v>
      </c>
      <c r="C60" s="455">
        <v>9.3522999999999996</v>
      </c>
      <c r="D60" s="455">
        <v>9.7937999999999992</v>
      </c>
      <c r="E60" s="455">
        <v>10.0779</v>
      </c>
      <c r="F60" s="455">
        <v>10.4786</v>
      </c>
      <c r="G60" s="455">
        <v>12.556800000000001</v>
      </c>
      <c r="H60" s="461">
        <v>-5.0467421319278002E-3</v>
      </c>
      <c r="I60" s="462">
        <v>9.2681316007854307E-3</v>
      </c>
      <c r="J60" s="462">
        <v>5.7354601706101098E-3</v>
      </c>
      <c r="K60" s="462">
        <v>7.8285187763251808E-3</v>
      </c>
      <c r="L60" s="463">
        <v>9.0874054792398108E-3</v>
      </c>
      <c r="M60" s="256"/>
      <c r="N60" s="471"/>
      <c r="O60" s="471"/>
      <c r="P60" s="471"/>
      <c r="Q60" s="471"/>
      <c r="R60" s="471"/>
      <c r="S60" s="471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  <c r="BS60" s="256"/>
      <c r="BT60" s="256"/>
      <c r="BU60" s="256"/>
      <c r="BV60" s="256"/>
      <c r="BW60" s="256"/>
      <c r="BX60" s="256"/>
      <c r="BY60" s="256"/>
      <c r="BZ60" s="256"/>
    </row>
    <row r="61" spans="1:78">
      <c r="A61" s="472" t="s">
        <v>390</v>
      </c>
      <c r="B61" s="473">
        <v>2.8698999999999999</v>
      </c>
      <c r="C61" s="473">
        <v>2.5390999999999999</v>
      </c>
      <c r="D61" s="473">
        <v>2.6920999999999999</v>
      </c>
      <c r="E61" s="473">
        <v>2.5425</v>
      </c>
      <c r="F61" s="473">
        <v>2.5425</v>
      </c>
      <c r="G61" s="473">
        <v>2.3609</v>
      </c>
      <c r="H61" s="461">
        <v>-8.1312608873422808E-3</v>
      </c>
      <c r="I61" s="462">
        <v>1.1771114794102601E-2</v>
      </c>
      <c r="J61" s="462">
        <v>-1.13696136679873E-2</v>
      </c>
      <c r="K61" s="462">
        <v>0</v>
      </c>
      <c r="L61" s="463">
        <v>-3.6983913748145402E-3</v>
      </c>
      <c r="M61" s="256"/>
      <c r="N61" s="471"/>
      <c r="O61" s="471"/>
      <c r="P61" s="471"/>
      <c r="Q61" s="471"/>
      <c r="R61" s="471"/>
      <c r="S61" s="471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  <c r="BJ61" s="256"/>
      <c r="BK61" s="256"/>
      <c r="BL61" s="256"/>
      <c r="BM61" s="256"/>
      <c r="BN61" s="256"/>
      <c r="BO61" s="256"/>
      <c r="BP61" s="256"/>
      <c r="BQ61" s="256"/>
      <c r="BR61" s="256"/>
      <c r="BS61" s="256"/>
      <c r="BT61" s="256"/>
      <c r="BU61" s="256"/>
      <c r="BV61" s="256"/>
      <c r="BW61" s="256"/>
      <c r="BX61" s="256"/>
      <c r="BY61" s="256"/>
      <c r="BZ61" s="256"/>
    </row>
    <row r="62" spans="1:78">
      <c r="A62" s="472" t="s">
        <v>391</v>
      </c>
      <c r="B62" s="473">
        <v>3.5</v>
      </c>
      <c r="C62" s="473">
        <v>3.5228000000000002</v>
      </c>
      <c r="D62" s="473">
        <v>3.5228000000000002</v>
      </c>
      <c r="E62" s="473">
        <v>3.5228000000000002</v>
      </c>
      <c r="F62" s="473">
        <v>3.5228000000000002</v>
      </c>
      <c r="G62" s="473">
        <v>3.2164999999999999</v>
      </c>
      <c r="H62" s="461">
        <v>4.3297100181738401E-4</v>
      </c>
      <c r="I62" s="462">
        <v>0</v>
      </c>
      <c r="J62" s="462">
        <v>0</v>
      </c>
      <c r="K62" s="462">
        <v>0</v>
      </c>
      <c r="L62" s="463">
        <v>-4.5377887874169503E-3</v>
      </c>
      <c r="M62" s="256"/>
      <c r="N62" s="471"/>
      <c r="O62" s="471"/>
      <c r="P62" s="471"/>
      <c r="Q62" s="471"/>
      <c r="R62" s="471"/>
      <c r="S62" s="471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  <c r="BJ62" s="256"/>
      <c r="BK62" s="256"/>
      <c r="BL62" s="256"/>
      <c r="BM62" s="256"/>
      <c r="BN62" s="256"/>
      <c r="BO62" s="256"/>
      <c r="BP62" s="256"/>
      <c r="BQ62" s="256"/>
      <c r="BR62" s="256"/>
      <c r="BS62" s="256"/>
      <c r="BT62" s="256"/>
      <c r="BU62" s="256"/>
      <c r="BV62" s="256"/>
      <c r="BW62" s="256"/>
      <c r="BX62" s="256"/>
      <c r="BY62" s="256"/>
      <c r="BZ62" s="256"/>
    </row>
    <row r="63" spans="1:78">
      <c r="A63" s="469" t="s">
        <v>121</v>
      </c>
      <c r="B63" s="455">
        <v>17.1267</v>
      </c>
      <c r="C63" s="455">
        <v>20.747</v>
      </c>
      <c r="D63" s="455">
        <v>21.0184</v>
      </c>
      <c r="E63" s="455">
        <v>21.054600000000001</v>
      </c>
      <c r="F63" s="455">
        <v>21.018699999999999</v>
      </c>
      <c r="G63" s="455">
        <v>25.280999999999999</v>
      </c>
      <c r="H63" s="461">
        <v>1.2866267815070401E-2</v>
      </c>
      <c r="I63" s="462">
        <v>2.6026984857863101E-3</v>
      </c>
      <c r="J63" s="462">
        <v>3.4422303153114299E-4</v>
      </c>
      <c r="K63" s="462">
        <v>-3.41250939748794E-4</v>
      </c>
      <c r="L63" s="463">
        <v>9.2747770265297902E-3</v>
      </c>
      <c r="M63" s="256"/>
      <c r="N63" s="471"/>
      <c r="O63" s="471"/>
      <c r="P63" s="471"/>
      <c r="Q63" s="471"/>
      <c r="R63" s="471"/>
      <c r="S63" s="471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  <c r="BJ63" s="256"/>
      <c r="BK63" s="256"/>
      <c r="BL63" s="256"/>
      <c r="BM63" s="256"/>
      <c r="BN63" s="256"/>
      <c r="BO63" s="256"/>
      <c r="BP63" s="256"/>
      <c r="BQ63" s="256"/>
      <c r="BR63" s="256"/>
      <c r="BS63" s="256"/>
      <c r="BT63" s="256"/>
      <c r="BU63" s="256"/>
      <c r="BV63" s="256"/>
      <c r="BW63" s="256"/>
      <c r="BX63" s="256"/>
      <c r="BY63" s="256"/>
      <c r="BZ63" s="256"/>
    </row>
    <row r="64" spans="1:78">
      <c r="A64" s="472" t="s">
        <v>392</v>
      </c>
      <c r="B64" s="473">
        <v>1.0755999999999999</v>
      </c>
      <c r="C64" s="473">
        <v>1.1106</v>
      </c>
      <c r="D64" s="473">
        <v>1.1106</v>
      </c>
      <c r="E64" s="473">
        <v>1.1106</v>
      </c>
      <c r="F64" s="473">
        <v>1.1106</v>
      </c>
      <c r="G64" s="473">
        <v>1.1106</v>
      </c>
      <c r="H64" s="461">
        <v>2.1370645685203598E-3</v>
      </c>
      <c r="I64" s="462">
        <v>0</v>
      </c>
      <c r="J64" s="462">
        <v>0</v>
      </c>
      <c r="K64" s="462">
        <v>0</v>
      </c>
      <c r="L64" s="463">
        <v>0</v>
      </c>
      <c r="M64" s="256"/>
      <c r="N64" s="471"/>
      <c r="O64" s="471"/>
      <c r="P64" s="471"/>
      <c r="Q64" s="471"/>
      <c r="R64" s="471"/>
      <c r="S64" s="471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  <c r="BJ64" s="256"/>
      <c r="BK64" s="256"/>
      <c r="BL64" s="256"/>
      <c r="BM64" s="256"/>
      <c r="BN64" s="256"/>
      <c r="BO64" s="256"/>
      <c r="BP64" s="256"/>
      <c r="BQ64" s="256"/>
      <c r="BR64" s="256"/>
      <c r="BS64" s="256"/>
      <c r="BT64" s="256"/>
      <c r="BU64" s="256"/>
      <c r="BV64" s="256"/>
      <c r="BW64" s="256"/>
      <c r="BX64" s="256"/>
      <c r="BY64" s="256"/>
      <c r="BZ64" s="256"/>
    </row>
    <row r="65" spans="1:78">
      <c r="A65" s="469" t="s">
        <v>123</v>
      </c>
      <c r="B65" s="455">
        <v>26.596499999999999</v>
      </c>
      <c r="C65" s="455">
        <v>22.5806</v>
      </c>
      <c r="D65" s="455">
        <v>24.336300000000001</v>
      </c>
      <c r="E65" s="455">
        <v>25.917400000000001</v>
      </c>
      <c r="F65" s="455">
        <v>27.3353</v>
      </c>
      <c r="G65" s="455">
        <v>38.633800000000001</v>
      </c>
      <c r="H65" s="461">
        <v>-1.0853240450502099E-2</v>
      </c>
      <c r="I65" s="462">
        <v>1.5088282414999999E-2</v>
      </c>
      <c r="J65" s="462">
        <v>1.26686752780785E-2</v>
      </c>
      <c r="K65" s="462">
        <v>1.07098137271502E-2</v>
      </c>
      <c r="L65" s="463">
        <v>1.74478985708553E-2</v>
      </c>
      <c r="M65" s="256"/>
      <c r="N65" s="471"/>
      <c r="O65" s="471"/>
      <c r="P65" s="471"/>
      <c r="Q65" s="471"/>
      <c r="R65" s="471"/>
      <c r="S65" s="471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  <c r="BJ65" s="256"/>
      <c r="BK65" s="256"/>
      <c r="BL65" s="256"/>
      <c r="BM65" s="256"/>
      <c r="BN65" s="256"/>
      <c r="BO65" s="256"/>
      <c r="BP65" s="256"/>
      <c r="BQ65" s="256"/>
      <c r="BR65" s="256"/>
      <c r="BS65" s="256"/>
      <c r="BT65" s="256"/>
      <c r="BU65" s="256"/>
      <c r="BV65" s="256"/>
      <c r="BW65" s="256"/>
      <c r="BX65" s="256"/>
      <c r="BY65" s="256"/>
      <c r="BZ65" s="256"/>
    </row>
    <row r="66" spans="1:78">
      <c r="A66" s="469" t="s">
        <v>124</v>
      </c>
      <c r="B66" s="455">
        <v>21.828800000000001</v>
      </c>
      <c r="C66" s="455">
        <v>15.8759</v>
      </c>
      <c r="D66" s="455">
        <v>15.731400000000001</v>
      </c>
      <c r="E66" s="455">
        <v>15.5741</v>
      </c>
      <c r="F66" s="455">
        <v>15.508100000000001</v>
      </c>
      <c r="G66" s="455">
        <v>16.3429</v>
      </c>
      <c r="H66" s="461">
        <v>-2.1004791603714601E-2</v>
      </c>
      <c r="I66" s="462">
        <v>-1.82703315287458E-3</v>
      </c>
      <c r="J66" s="462">
        <v>-2.0078689138259801E-3</v>
      </c>
      <c r="K66" s="462">
        <v>-8.4900139810295495E-4</v>
      </c>
      <c r="L66" s="463">
        <v>2.6249934875941499E-3</v>
      </c>
      <c r="M66" s="256"/>
      <c r="N66" s="471"/>
      <c r="O66" s="471"/>
      <c r="P66" s="471"/>
      <c r="Q66" s="471"/>
      <c r="R66" s="471"/>
      <c r="S66" s="471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</row>
    <row r="67" spans="1:78">
      <c r="A67" s="472" t="s">
        <v>393</v>
      </c>
      <c r="B67" s="473">
        <v>12.1335</v>
      </c>
      <c r="C67" s="473">
        <v>9.0390999999999995</v>
      </c>
      <c r="D67" s="473">
        <v>8.8550000000000004</v>
      </c>
      <c r="E67" s="473">
        <v>8.7538</v>
      </c>
      <c r="F67" s="473">
        <v>8.7538</v>
      </c>
      <c r="G67" s="473">
        <v>8.7538</v>
      </c>
      <c r="H67" s="461">
        <v>-1.9436011137856202E-2</v>
      </c>
      <c r="I67" s="462">
        <v>-4.1070112045900097E-3</v>
      </c>
      <c r="J67" s="462">
        <v>-2.2962354936776298E-3</v>
      </c>
      <c r="K67" s="462">
        <v>0</v>
      </c>
      <c r="L67" s="463">
        <v>0</v>
      </c>
      <c r="M67" s="256"/>
      <c r="N67" s="471"/>
      <c r="O67" s="471"/>
      <c r="P67" s="471"/>
      <c r="Q67" s="471"/>
      <c r="R67" s="471"/>
      <c r="S67" s="471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</row>
    <row r="68" spans="1:78">
      <c r="A68" s="435"/>
      <c r="B68" s="436"/>
      <c r="C68" s="436"/>
      <c r="D68" s="436"/>
      <c r="E68" s="436"/>
      <c r="F68" s="436"/>
      <c r="G68" s="436"/>
      <c r="H68" s="461"/>
      <c r="I68" s="462"/>
      <c r="J68" s="462"/>
      <c r="K68" s="462"/>
      <c r="L68" s="463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</row>
    <row r="69" spans="1:78">
      <c r="A69" s="435"/>
      <c r="B69" s="436"/>
      <c r="C69" s="436"/>
      <c r="D69" s="436"/>
      <c r="E69" s="436"/>
      <c r="F69" s="436"/>
      <c r="G69" s="436"/>
      <c r="H69" s="461"/>
      <c r="I69" s="462"/>
      <c r="J69" s="462"/>
      <c r="K69" s="462"/>
      <c r="L69" s="463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  <c r="BJ69" s="256"/>
      <c r="BK69" s="256"/>
      <c r="BL69" s="256"/>
      <c r="BM69" s="256"/>
      <c r="BN69" s="256"/>
      <c r="BO69" s="256"/>
      <c r="BP69" s="256"/>
      <c r="BQ69" s="256"/>
      <c r="BR69" s="256"/>
      <c r="BS69" s="256"/>
      <c r="BT69" s="256"/>
      <c r="BU69" s="256"/>
      <c r="BV69" s="256"/>
      <c r="BW69" s="256"/>
      <c r="BX69" s="256"/>
      <c r="BY69" s="256"/>
      <c r="BZ69" s="256"/>
    </row>
    <row r="70" spans="1:78" ht="15" thickBot="1">
      <c r="A70" s="444" t="s">
        <v>10</v>
      </c>
      <c r="B70" s="464">
        <v>132.4744</v>
      </c>
      <c r="C70" s="464">
        <v>115.7606</v>
      </c>
      <c r="D70" s="464">
        <v>119.1574</v>
      </c>
      <c r="E70" s="464">
        <v>121.2906</v>
      </c>
      <c r="F70" s="464">
        <v>123.5926</v>
      </c>
      <c r="G70" s="464">
        <v>147.85749999999999</v>
      </c>
      <c r="H70" s="466">
        <v>-8.9507119828033908E-3</v>
      </c>
      <c r="I70" s="467">
        <v>5.80096938620067E-3</v>
      </c>
      <c r="J70" s="467">
        <v>3.5551066391559202E-3</v>
      </c>
      <c r="K70" s="467">
        <v>3.7673493978989101E-3</v>
      </c>
      <c r="L70" s="468">
        <v>9.0032021669577099E-3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</row>
    <row r="71" spans="1:78" ht="15" thickBot="1">
      <c r="A71" s="449"/>
      <c r="B71" s="256"/>
      <c r="C71" s="256"/>
      <c r="D71" s="256"/>
      <c r="E71" s="427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</row>
    <row r="72" spans="1:78" ht="15" thickBot="1">
      <c r="A72" s="475" t="s">
        <v>126</v>
      </c>
      <c r="B72" s="476">
        <v>55.829099999999997</v>
      </c>
      <c r="C72" s="476">
        <v>43.293100000000003</v>
      </c>
      <c r="D72" s="476">
        <v>42.865600000000001</v>
      </c>
      <c r="E72" s="476">
        <v>42.0655</v>
      </c>
      <c r="F72" s="476">
        <v>41.822200000000002</v>
      </c>
      <c r="G72" s="476">
        <v>39.675199999999997</v>
      </c>
      <c r="H72" s="477">
        <v>-1.6810563372649901E-2</v>
      </c>
      <c r="I72" s="478">
        <v>-1.9827576329365399E-3</v>
      </c>
      <c r="J72" s="478">
        <v>-3.7612511415377999E-3</v>
      </c>
      <c r="K72" s="478">
        <v>-1.1594529690384099E-3</v>
      </c>
      <c r="L72" s="479">
        <v>-2.63158088762827E-3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</row>
    <row r="73" spans="1:78">
      <c r="A73" s="480"/>
      <c r="B73" s="481"/>
      <c r="C73" s="481"/>
      <c r="D73" s="481"/>
      <c r="E73" s="481"/>
      <c r="F73" s="481"/>
      <c r="G73" s="481"/>
      <c r="H73" s="462"/>
      <c r="I73" s="462"/>
      <c r="J73" s="462"/>
      <c r="K73" s="462"/>
      <c r="L73" s="462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  <c r="BJ73" s="256"/>
      <c r="BK73" s="256"/>
      <c r="BL73" s="256"/>
      <c r="BM73" s="256"/>
      <c r="BN73" s="256"/>
      <c r="BO73" s="256"/>
      <c r="BP73" s="256"/>
      <c r="BQ73" s="256"/>
      <c r="BR73" s="256"/>
      <c r="BS73" s="256"/>
      <c r="BT73" s="256"/>
      <c r="BU73" s="256"/>
      <c r="BV73" s="256"/>
      <c r="BW73" s="256"/>
      <c r="BX73" s="256"/>
      <c r="BY73" s="256"/>
      <c r="BZ73" s="256"/>
    </row>
    <row r="74" spans="1:78">
      <c r="A74" s="256"/>
      <c r="B74" s="256"/>
      <c r="C74" s="256"/>
      <c r="D74" s="256"/>
      <c r="E74" s="427"/>
      <c r="F74" s="256"/>
      <c r="G74" s="256"/>
      <c r="H74" s="256"/>
      <c r="I74" s="256"/>
      <c r="J74" s="256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  <c r="BJ74" s="256"/>
      <c r="BK74" s="256"/>
      <c r="BL74" s="256"/>
      <c r="BM74" s="256"/>
      <c r="BN74" s="256"/>
      <c r="BO74" s="256"/>
      <c r="BP74" s="256"/>
      <c r="BQ74" s="256"/>
      <c r="BR74" s="256"/>
      <c r="BS74" s="256"/>
      <c r="BT74" s="256"/>
      <c r="BU74" s="256"/>
      <c r="BV74" s="256"/>
      <c r="BW74" s="256"/>
      <c r="BX74" s="256"/>
      <c r="BY74" s="256"/>
      <c r="BZ74" s="256"/>
    </row>
    <row r="75" spans="1:78" ht="16" thickBot="1">
      <c r="A75" s="428" t="s">
        <v>129</v>
      </c>
      <c r="B75" s="429"/>
      <c r="C75" s="429"/>
      <c r="D75" s="429"/>
      <c r="E75" s="430"/>
      <c r="F75" s="430"/>
      <c r="G75" s="430"/>
      <c r="H75" s="430"/>
      <c r="I75" s="430"/>
      <c r="J75" s="430"/>
      <c r="K75" s="430"/>
      <c r="L75" s="430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  <c r="BJ75" s="256"/>
      <c r="BK75" s="256"/>
      <c r="BL75" s="256"/>
      <c r="BM75" s="256"/>
      <c r="BN75" s="256"/>
      <c r="BO75" s="256"/>
      <c r="BP75" s="256"/>
      <c r="BQ75" s="256"/>
      <c r="BR75" s="256"/>
      <c r="BS75" s="256"/>
      <c r="BT75" s="256"/>
      <c r="BU75" s="256"/>
      <c r="BV75" s="256"/>
      <c r="BW75" s="256"/>
      <c r="BX75" s="256"/>
      <c r="BY75" s="256"/>
      <c r="BZ75" s="256"/>
    </row>
    <row r="76" spans="1:78" ht="15" thickBot="1">
      <c r="A76" s="483" t="s">
        <v>51</v>
      </c>
      <c r="B76" s="432">
        <v>2000</v>
      </c>
      <c r="C76" s="432">
        <v>2015</v>
      </c>
      <c r="D76" s="432">
        <v>2020</v>
      </c>
      <c r="E76" s="432">
        <v>2025</v>
      </c>
      <c r="F76" s="432">
        <v>2030</v>
      </c>
      <c r="G76" s="432">
        <v>2050</v>
      </c>
      <c r="H76" s="452" t="s">
        <v>98</v>
      </c>
      <c r="I76" s="453" t="s">
        <v>99</v>
      </c>
      <c r="J76" s="453" t="s">
        <v>100</v>
      </c>
      <c r="K76" s="453" t="s">
        <v>101</v>
      </c>
      <c r="L76" s="454" t="s">
        <v>384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  <c r="BJ76" s="256"/>
      <c r="BK76" s="256"/>
      <c r="BL76" s="256"/>
      <c r="BM76" s="256"/>
      <c r="BN76" s="256"/>
      <c r="BO76" s="256"/>
      <c r="BP76" s="256"/>
      <c r="BQ76" s="256"/>
      <c r="BR76" s="256"/>
      <c r="BS76" s="256"/>
      <c r="BT76" s="256"/>
      <c r="BU76" s="256"/>
      <c r="BV76" s="256"/>
      <c r="BW76" s="256"/>
      <c r="BX76" s="256"/>
      <c r="BY76" s="256"/>
      <c r="BZ76" s="256"/>
    </row>
    <row r="77" spans="1:78">
      <c r="A77" s="469" t="s">
        <v>111</v>
      </c>
      <c r="B77" s="455">
        <v>6.1029</v>
      </c>
      <c r="C77" s="455">
        <v>3.7431000000000001</v>
      </c>
      <c r="D77" s="455">
        <v>3.5642999999999998</v>
      </c>
      <c r="E77" s="455">
        <v>3.4569999999999999</v>
      </c>
      <c r="F77" s="455">
        <v>3.3449</v>
      </c>
      <c r="G77" s="455">
        <v>2.9106000000000001</v>
      </c>
      <c r="H77" s="456">
        <v>-3.2064663296258997E-2</v>
      </c>
      <c r="I77" s="457">
        <v>-9.7415336337166591E-3</v>
      </c>
      <c r="J77" s="457">
        <v>-6.0946558190933002E-3</v>
      </c>
      <c r="K77" s="457">
        <v>-6.5711873320074598E-3</v>
      </c>
      <c r="L77" s="458">
        <v>-6.9297553533703704E-3</v>
      </c>
      <c r="M77" s="256"/>
      <c r="N77" s="471"/>
      <c r="O77" s="471"/>
      <c r="P77" s="471"/>
      <c r="Q77" s="471"/>
      <c r="R77" s="471"/>
      <c r="S77" s="471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  <c r="BJ77" s="256"/>
      <c r="BK77" s="256"/>
      <c r="BL77" s="256"/>
      <c r="BM77" s="256"/>
      <c r="BN77" s="256"/>
      <c r="BO77" s="256"/>
      <c r="BP77" s="256"/>
      <c r="BQ77" s="256"/>
      <c r="BR77" s="256"/>
      <c r="BS77" s="256"/>
      <c r="BT77" s="256"/>
      <c r="BU77" s="256"/>
      <c r="BV77" s="256"/>
      <c r="BW77" s="256"/>
      <c r="BX77" s="256"/>
      <c r="BY77" s="256"/>
      <c r="BZ77" s="256"/>
    </row>
    <row r="78" spans="1:78">
      <c r="A78" s="472" t="s">
        <v>385</v>
      </c>
      <c r="B78" s="473">
        <v>5.6398000000000001</v>
      </c>
      <c r="C78" s="473">
        <v>3.5590000000000002</v>
      </c>
      <c r="D78" s="473">
        <v>3.3717999999999999</v>
      </c>
      <c r="E78" s="473">
        <v>3.2555000000000001</v>
      </c>
      <c r="F78" s="473">
        <v>3.1358000000000001</v>
      </c>
      <c r="G78" s="473">
        <v>2.6781000000000001</v>
      </c>
      <c r="H78" s="461">
        <v>-3.0225071119895301E-2</v>
      </c>
      <c r="I78" s="462">
        <v>-1.07483947517197E-2</v>
      </c>
      <c r="J78" s="462">
        <v>-6.9955867049572599E-3</v>
      </c>
      <c r="K78" s="462">
        <v>-7.4643123627513601E-3</v>
      </c>
      <c r="L78" s="463">
        <v>-7.8578016443847706E-3</v>
      </c>
      <c r="M78" s="256"/>
      <c r="N78" s="471"/>
      <c r="O78" s="471"/>
      <c r="P78" s="471"/>
      <c r="Q78" s="471"/>
      <c r="R78" s="471"/>
      <c r="S78" s="471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  <c r="BJ78" s="256"/>
      <c r="BK78" s="256"/>
      <c r="BL78" s="256"/>
      <c r="BM78" s="256"/>
      <c r="BN78" s="256"/>
      <c r="BO78" s="256"/>
      <c r="BP78" s="256"/>
      <c r="BQ78" s="256"/>
      <c r="BR78" s="256"/>
      <c r="BS78" s="256"/>
      <c r="BT78" s="256"/>
      <c r="BU78" s="256"/>
      <c r="BV78" s="256"/>
      <c r="BW78" s="256"/>
      <c r="BX78" s="256"/>
      <c r="BY78" s="256"/>
      <c r="BZ78" s="256"/>
    </row>
    <row r="79" spans="1:78">
      <c r="A79" s="472" t="s">
        <v>386</v>
      </c>
      <c r="B79" s="473">
        <v>0.2205</v>
      </c>
      <c r="C79" s="473">
        <v>8.9899999999999994E-2</v>
      </c>
      <c r="D79" s="473">
        <v>8.9899999999999994E-2</v>
      </c>
      <c r="E79" s="473">
        <v>8.9899999999999994E-2</v>
      </c>
      <c r="F79" s="473">
        <v>8.9899999999999994E-2</v>
      </c>
      <c r="G79" s="473">
        <v>7.8200000000000006E-2</v>
      </c>
      <c r="H79" s="461">
        <v>-5.8059638475916601E-2</v>
      </c>
      <c r="I79" s="462">
        <v>0</v>
      </c>
      <c r="J79" s="462">
        <v>0</v>
      </c>
      <c r="K79" s="462">
        <v>0</v>
      </c>
      <c r="L79" s="463">
        <v>-6.9471707557837697E-3</v>
      </c>
      <c r="M79" s="256"/>
      <c r="N79" s="471"/>
      <c r="O79" s="471"/>
      <c r="P79" s="471"/>
      <c r="Q79" s="471"/>
      <c r="R79" s="471"/>
      <c r="S79" s="471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  <c r="BJ79" s="256"/>
      <c r="BK79" s="256"/>
      <c r="BL79" s="256"/>
      <c r="BM79" s="256"/>
      <c r="BN79" s="256"/>
      <c r="BO79" s="256"/>
      <c r="BP79" s="256"/>
      <c r="BQ79" s="256"/>
      <c r="BR79" s="256"/>
      <c r="BS79" s="256"/>
      <c r="BT79" s="256"/>
      <c r="BU79" s="256"/>
      <c r="BV79" s="256"/>
      <c r="BW79" s="256"/>
      <c r="BX79" s="256"/>
      <c r="BY79" s="256"/>
      <c r="BZ79" s="256"/>
    </row>
    <row r="80" spans="1:78">
      <c r="A80" s="469" t="s">
        <v>114</v>
      </c>
      <c r="B80" s="455">
        <v>7.4539</v>
      </c>
      <c r="C80" s="455">
        <v>6.0538999999999996</v>
      </c>
      <c r="D80" s="455">
        <v>6.1731999999999996</v>
      </c>
      <c r="E80" s="455">
        <v>6.2305000000000001</v>
      </c>
      <c r="F80" s="455">
        <v>6.2789000000000001</v>
      </c>
      <c r="G80" s="455">
        <v>7.0663</v>
      </c>
      <c r="H80" s="461">
        <v>-1.37732483054394E-2</v>
      </c>
      <c r="I80" s="462">
        <v>3.9105562666561502E-3</v>
      </c>
      <c r="J80" s="462">
        <v>1.84955719605462E-3</v>
      </c>
      <c r="K80" s="462">
        <v>1.5488421191765E-3</v>
      </c>
      <c r="L80" s="463">
        <v>5.9245913269441201E-3</v>
      </c>
      <c r="M80" s="256"/>
      <c r="N80" s="471"/>
      <c r="O80" s="471"/>
      <c r="P80" s="471"/>
      <c r="Q80" s="471"/>
      <c r="R80" s="471"/>
      <c r="S80" s="471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  <c r="BJ80" s="256"/>
      <c r="BK80" s="256"/>
      <c r="BL80" s="256"/>
      <c r="BM80" s="256"/>
      <c r="BN80" s="256"/>
      <c r="BO80" s="256"/>
      <c r="BP80" s="256"/>
      <c r="BQ80" s="256"/>
      <c r="BR80" s="256"/>
      <c r="BS80" s="256"/>
      <c r="BT80" s="256"/>
      <c r="BU80" s="256"/>
      <c r="BV80" s="256"/>
      <c r="BW80" s="256"/>
      <c r="BX80" s="256"/>
      <c r="BY80" s="256"/>
      <c r="BZ80" s="256"/>
    </row>
    <row r="81" spans="1:78">
      <c r="A81" s="472" t="s">
        <v>387</v>
      </c>
      <c r="B81" s="473">
        <v>0.56010000000000004</v>
      </c>
      <c r="C81" s="473">
        <v>0.41789999999999999</v>
      </c>
      <c r="D81" s="473">
        <v>0.40710000000000002</v>
      </c>
      <c r="E81" s="473">
        <v>0.39639999999999997</v>
      </c>
      <c r="F81" s="473">
        <v>0.38569999999999999</v>
      </c>
      <c r="G81" s="473">
        <v>0.37719999999999998</v>
      </c>
      <c r="H81" s="461">
        <v>-1.9335502070624101E-2</v>
      </c>
      <c r="I81" s="462">
        <v>-5.2229753729545799E-3</v>
      </c>
      <c r="J81" s="462">
        <v>-5.3128472502146397E-3</v>
      </c>
      <c r="K81" s="462">
        <v>-5.4578390293750197E-3</v>
      </c>
      <c r="L81" s="463">
        <v>-1.1135952148868501E-3</v>
      </c>
      <c r="M81" s="256"/>
      <c r="N81" s="471"/>
      <c r="O81" s="471"/>
      <c r="P81" s="471"/>
      <c r="Q81" s="471"/>
      <c r="R81" s="471"/>
      <c r="S81" s="471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  <c r="BJ81" s="256"/>
      <c r="BK81" s="256"/>
      <c r="BL81" s="256"/>
      <c r="BM81" s="256"/>
      <c r="BN81" s="256"/>
      <c r="BO81" s="256"/>
      <c r="BP81" s="256"/>
      <c r="BQ81" s="256"/>
      <c r="BR81" s="256"/>
      <c r="BS81" s="256"/>
      <c r="BT81" s="256"/>
      <c r="BU81" s="256"/>
      <c r="BV81" s="256"/>
      <c r="BW81" s="256"/>
      <c r="BX81" s="256"/>
      <c r="BY81" s="256"/>
      <c r="BZ81" s="256"/>
    </row>
    <row r="82" spans="1:78">
      <c r="A82" s="472" t="s">
        <v>388</v>
      </c>
      <c r="B82" s="473">
        <v>4.3108000000000004</v>
      </c>
      <c r="C82" s="473">
        <v>3.5078999999999998</v>
      </c>
      <c r="D82" s="473">
        <v>3.4723000000000002</v>
      </c>
      <c r="E82" s="473">
        <v>3.4371</v>
      </c>
      <c r="F82" s="473">
        <v>3.4016000000000002</v>
      </c>
      <c r="G82" s="473">
        <v>3.3660000000000001</v>
      </c>
      <c r="H82" s="461">
        <v>-1.3646427238164199E-2</v>
      </c>
      <c r="I82" s="462">
        <v>-2.0379943111109599E-3</v>
      </c>
      <c r="J82" s="462">
        <v>-2.03574625402381E-3</v>
      </c>
      <c r="K82" s="462">
        <v>-2.0742823807102799E-3</v>
      </c>
      <c r="L82" s="463">
        <v>-5.2590233470839497E-4</v>
      </c>
      <c r="M82" s="256"/>
      <c r="N82" s="471"/>
      <c r="O82" s="471"/>
      <c r="P82" s="471"/>
      <c r="Q82" s="471"/>
      <c r="R82" s="471"/>
      <c r="S82" s="471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  <c r="BJ82" s="256"/>
      <c r="BK82" s="256"/>
      <c r="BL82" s="256"/>
      <c r="BM82" s="256"/>
      <c r="BN82" s="256"/>
      <c r="BO82" s="256"/>
      <c r="BP82" s="256"/>
      <c r="BQ82" s="256"/>
      <c r="BR82" s="256"/>
      <c r="BS82" s="256"/>
      <c r="BT82" s="256"/>
      <c r="BU82" s="256"/>
      <c r="BV82" s="256"/>
      <c r="BW82" s="256"/>
      <c r="BX82" s="256"/>
      <c r="BY82" s="256"/>
      <c r="BZ82" s="256"/>
    </row>
    <row r="83" spans="1:78">
      <c r="A83" s="472" t="s">
        <v>389</v>
      </c>
      <c r="B83" s="473">
        <v>0</v>
      </c>
      <c r="C83" s="473">
        <v>0</v>
      </c>
      <c r="D83" s="473">
        <v>0</v>
      </c>
      <c r="E83" s="473">
        <v>0</v>
      </c>
      <c r="F83" s="473">
        <v>0</v>
      </c>
      <c r="G83" s="473">
        <v>0</v>
      </c>
      <c r="H83" s="461" t="e">
        <f>#DIV/0!</f>
        <v>#DIV/0!</v>
      </c>
      <c r="I83" s="462" t="e">
        <f>#DIV/0!</f>
        <v>#DIV/0!</v>
      </c>
      <c r="J83" s="462" t="e">
        <f>#DIV/0!</f>
        <v>#DIV/0!</v>
      </c>
      <c r="K83" s="462" t="e">
        <f>#DIV/0!</f>
        <v>#DIV/0!</v>
      </c>
      <c r="L83" s="463" t="e">
        <f>#DIV/0!</f>
        <v>#DIV/0!</v>
      </c>
      <c r="M83" s="256"/>
      <c r="N83" s="471"/>
      <c r="O83" s="471"/>
      <c r="P83" s="471"/>
      <c r="Q83" s="471"/>
      <c r="R83" s="471"/>
      <c r="S83" s="471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  <c r="BJ83" s="256"/>
      <c r="BK83" s="256"/>
      <c r="BL83" s="256"/>
      <c r="BM83" s="256"/>
      <c r="BN83" s="256"/>
      <c r="BO83" s="256"/>
      <c r="BP83" s="256"/>
      <c r="BQ83" s="256"/>
      <c r="BR83" s="256"/>
      <c r="BS83" s="256"/>
      <c r="BT83" s="256"/>
      <c r="BU83" s="256"/>
      <c r="BV83" s="256"/>
      <c r="BW83" s="256"/>
      <c r="BX83" s="256"/>
      <c r="BY83" s="256"/>
      <c r="BZ83" s="256"/>
    </row>
    <row r="84" spans="1:78">
      <c r="A84" s="469" t="s">
        <v>118</v>
      </c>
      <c r="B84" s="455">
        <v>3.6520000000000001</v>
      </c>
      <c r="C84" s="455">
        <v>2.6435</v>
      </c>
      <c r="D84" s="455">
        <v>2.7433000000000001</v>
      </c>
      <c r="E84" s="455">
        <v>2.7486000000000002</v>
      </c>
      <c r="F84" s="455">
        <v>2.8064</v>
      </c>
      <c r="G84" s="455">
        <v>2.9599000000000002</v>
      </c>
      <c r="H84" s="461">
        <v>-2.1314314216928198E-2</v>
      </c>
      <c r="I84" s="462">
        <v>7.4390892762887803E-3</v>
      </c>
      <c r="J84" s="462">
        <v>3.8609768850328402E-4</v>
      </c>
      <c r="K84" s="462">
        <v>4.17084025586023E-3</v>
      </c>
      <c r="L84" s="463">
        <v>2.6661960349014802E-3</v>
      </c>
      <c r="M84" s="256"/>
      <c r="N84" s="471"/>
      <c r="O84" s="471"/>
      <c r="P84" s="471"/>
      <c r="Q84" s="471"/>
      <c r="R84" s="471"/>
      <c r="S84" s="471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  <c r="BJ84" s="256"/>
      <c r="BK84" s="256"/>
      <c r="BL84" s="256"/>
      <c r="BM84" s="256"/>
      <c r="BN84" s="256"/>
      <c r="BO84" s="256"/>
      <c r="BP84" s="256"/>
      <c r="BQ84" s="256"/>
      <c r="BR84" s="256"/>
      <c r="BS84" s="256"/>
      <c r="BT84" s="256"/>
      <c r="BU84" s="256"/>
      <c r="BV84" s="256"/>
      <c r="BW84" s="256"/>
      <c r="BX84" s="256"/>
      <c r="BY84" s="256"/>
      <c r="BZ84" s="256"/>
    </row>
    <row r="85" spans="1:78">
      <c r="A85" s="472" t="s">
        <v>390</v>
      </c>
      <c r="B85" s="473">
        <v>1.4896</v>
      </c>
      <c r="C85" s="473">
        <v>1.1833</v>
      </c>
      <c r="D85" s="473">
        <v>1.2706</v>
      </c>
      <c r="E85" s="473">
        <v>1.2706</v>
      </c>
      <c r="F85" s="473">
        <v>1.2705</v>
      </c>
      <c r="G85" s="473">
        <v>1.1798</v>
      </c>
      <c r="H85" s="461">
        <v>-1.5229538334533801E-2</v>
      </c>
      <c r="I85" s="462">
        <v>1.4338237283377801E-2</v>
      </c>
      <c r="J85" s="462">
        <v>0</v>
      </c>
      <c r="K85" s="462">
        <v>-1.5741090550580601E-5</v>
      </c>
      <c r="L85" s="463">
        <v>-3.6964308766183102E-3</v>
      </c>
      <c r="M85" s="256"/>
      <c r="N85" s="471"/>
      <c r="O85" s="471"/>
      <c r="P85" s="471"/>
      <c r="Q85" s="471"/>
      <c r="R85" s="471"/>
      <c r="S85" s="471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  <c r="BJ85" s="256"/>
      <c r="BK85" s="256"/>
      <c r="BL85" s="256"/>
      <c r="BM85" s="256"/>
      <c r="BN85" s="256"/>
      <c r="BO85" s="256"/>
      <c r="BP85" s="256"/>
      <c r="BQ85" s="256"/>
      <c r="BR85" s="256"/>
      <c r="BS85" s="256"/>
      <c r="BT85" s="256"/>
      <c r="BU85" s="256"/>
      <c r="BV85" s="256"/>
      <c r="BW85" s="256"/>
      <c r="BX85" s="256"/>
      <c r="BY85" s="256"/>
      <c r="BZ85" s="256"/>
    </row>
    <row r="86" spans="1:78">
      <c r="A86" s="472" t="s">
        <v>391</v>
      </c>
      <c r="B86" s="473">
        <v>1.1727000000000001</v>
      </c>
      <c r="C86" s="473">
        <v>0.98470000000000002</v>
      </c>
      <c r="D86" s="473">
        <v>0.95599999999999996</v>
      </c>
      <c r="E86" s="473">
        <v>0.89870000000000005</v>
      </c>
      <c r="F86" s="473">
        <v>0.89870000000000005</v>
      </c>
      <c r="G86" s="473">
        <v>0.77249999999999996</v>
      </c>
      <c r="H86" s="461">
        <v>-1.15808882576653E-2</v>
      </c>
      <c r="I86" s="462">
        <v>-5.8983586167073998E-3</v>
      </c>
      <c r="J86" s="462">
        <v>-1.2285635388609301E-2</v>
      </c>
      <c r="K86" s="462">
        <v>0</v>
      </c>
      <c r="L86" s="463">
        <v>-7.53731419582315E-3</v>
      </c>
      <c r="M86" s="256"/>
      <c r="N86" s="471"/>
      <c r="O86" s="471"/>
      <c r="P86" s="471"/>
      <c r="Q86" s="471"/>
      <c r="R86" s="471"/>
      <c r="S86" s="471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  <c r="BJ86" s="256"/>
      <c r="BK86" s="256"/>
      <c r="BL86" s="256"/>
      <c r="BM86" s="256"/>
      <c r="BN86" s="256"/>
      <c r="BO86" s="256"/>
      <c r="BP86" s="256"/>
      <c r="BQ86" s="256"/>
      <c r="BR86" s="256"/>
      <c r="BS86" s="256"/>
      <c r="BT86" s="256"/>
      <c r="BU86" s="256"/>
      <c r="BV86" s="256"/>
      <c r="BW86" s="256"/>
      <c r="BX86" s="256"/>
      <c r="BY86" s="256"/>
      <c r="BZ86" s="256"/>
    </row>
    <row r="87" spans="1:78">
      <c r="A87" s="469" t="s">
        <v>121</v>
      </c>
      <c r="B87" s="455">
        <v>3.6766999999999999</v>
      </c>
      <c r="C87" s="455">
        <v>4.0911</v>
      </c>
      <c r="D87" s="455">
        <v>4.1436999999999999</v>
      </c>
      <c r="E87" s="455">
        <v>4.1585999999999999</v>
      </c>
      <c r="F87" s="455">
        <v>4.1642000000000001</v>
      </c>
      <c r="G87" s="455">
        <v>4.9579000000000004</v>
      </c>
      <c r="H87" s="461">
        <v>7.1452914287142297E-3</v>
      </c>
      <c r="I87" s="462">
        <v>2.5583121026373501E-3</v>
      </c>
      <c r="J87" s="462">
        <v>7.1813186442937205E-4</v>
      </c>
      <c r="K87" s="462">
        <v>2.6917645530222202E-4</v>
      </c>
      <c r="L87" s="463">
        <v>8.7610595723068806E-3</v>
      </c>
      <c r="M87" s="256"/>
      <c r="N87" s="471"/>
      <c r="O87" s="471"/>
      <c r="P87" s="471"/>
      <c r="Q87" s="471"/>
      <c r="R87" s="471"/>
      <c r="S87" s="471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  <c r="BJ87" s="256"/>
      <c r="BK87" s="256"/>
      <c r="BL87" s="256"/>
      <c r="BM87" s="256"/>
      <c r="BN87" s="256"/>
      <c r="BO87" s="256"/>
      <c r="BP87" s="256"/>
      <c r="BQ87" s="256"/>
      <c r="BR87" s="256"/>
      <c r="BS87" s="256"/>
      <c r="BT87" s="256"/>
      <c r="BU87" s="256"/>
      <c r="BV87" s="256"/>
      <c r="BW87" s="256"/>
      <c r="BX87" s="256"/>
      <c r="BY87" s="256"/>
      <c r="BZ87" s="256"/>
    </row>
    <row r="88" spans="1:78">
      <c r="A88" s="472" t="s">
        <v>392</v>
      </c>
      <c r="B88" s="473">
        <v>0.7994</v>
      </c>
      <c r="C88" s="473">
        <v>0.79079999999999995</v>
      </c>
      <c r="D88" s="473">
        <v>0.76119999999999999</v>
      </c>
      <c r="E88" s="473">
        <v>0.73160000000000003</v>
      </c>
      <c r="F88" s="473">
        <v>0.70209999999999995</v>
      </c>
      <c r="G88" s="473">
        <v>0.70209999999999995</v>
      </c>
      <c r="H88" s="461">
        <v>-7.2083040889703298E-4</v>
      </c>
      <c r="I88" s="462">
        <v>-7.6007582036337097E-3</v>
      </c>
      <c r="J88" s="462">
        <v>-7.9010649739121898E-3</v>
      </c>
      <c r="K88" s="462">
        <v>-8.1978275307315104E-3</v>
      </c>
      <c r="L88" s="463">
        <v>0</v>
      </c>
      <c r="M88" s="256"/>
      <c r="N88" s="471"/>
      <c r="O88" s="471"/>
      <c r="P88" s="471"/>
      <c r="Q88" s="471"/>
      <c r="R88" s="471"/>
      <c r="S88" s="471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  <c r="BJ88" s="256"/>
      <c r="BK88" s="256"/>
      <c r="BL88" s="256"/>
      <c r="BM88" s="256"/>
      <c r="BN88" s="256"/>
      <c r="BO88" s="256"/>
      <c r="BP88" s="256"/>
      <c r="BQ88" s="256"/>
      <c r="BR88" s="256"/>
      <c r="BS88" s="256"/>
      <c r="BT88" s="256"/>
      <c r="BU88" s="256"/>
      <c r="BV88" s="256"/>
      <c r="BW88" s="256"/>
      <c r="BX88" s="256"/>
      <c r="BY88" s="256"/>
      <c r="BZ88" s="256"/>
    </row>
    <row r="89" spans="1:78">
      <c r="A89" s="469" t="s">
        <v>123</v>
      </c>
      <c r="B89" s="455">
        <v>2.4811999999999999</v>
      </c>
      <c r="C89" s="455">
        <v>1.8880999999999999</v>
      </c>
      <c r="D89" s="455">
        <v>1.9181999999999999</v>
      </c>
      <c r="E89" s="455">
        <v>1.9128000000000001</v>
      </c>
      <c r="F89" s="455">
        <v>1.8733</v>
      </c>
      <c r="G89" s="455">
        <v>2.4579</v>
      </c>
      <c r="H89" s="461">
        <v>-1.8046592979841101E-2</v>
      </c>
      <c r="I89" s="462">
        <v>3.16825110977303E-3</v>
      </c>
      <c r="J89" s="462">
        <v>-5.6366291228771004E-4</v>
      </c>
      <c r="K89" s="462">
        <v>-4.1646149739722497E-3</v>
      </c>
      <c r="L89" s="463">
        <v>1.3672918211887101E-2</v>
      </c>
      <c r="M89" s="256"/>
      <c r="N89" s="471"/>
      <c r="O89" s="471"/>
      <c r="P89" s="471"/>
      <c r="Q89" s="471"/>
      <c r="R89" s="471"/>
      <c r="S89" s="471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  <c r="BJ89" s="256"/>
      <c r="BK89" s="256"/>
      <c r="BL89" s="256"/>
      <c r="BM89" s="256"/>
      <c r="BN89" s="256"/>
      <c r="BO89" s="256"/>
      <c r="BP89" s="256"/>
      <c r="BQ89" s="256"/>
      <c r="BR89" s="256"/>
      <c r="BS89" s="256"/>
      <c r="BT89" s="256"/>
      <c r="BU89" s="256"/>
      <c r="BV89" s="256"/>
      <c r="BW89" s="256"/>
      <c r="BX89" s="256"/>
      <c r="BY89" s="256"/>
      <c r="BZ89" s="256"/>
    </row>
    <row r="90" spans="1:78">
      <c r="A90" s="469" t="s">
        <v>124</v>
      </c>
      <c r="B90" s="455">
        <v>4.1561000000000003</v>
      </c>
      <c r="C90" s="455">
        <v>3.4727000000000001</v>
      </c>
      <c r="D90" s="455">
        <v>3.2130000000000001</v>
      </c>
      <c r="E90" s="455">
        <v>3.2161</v>
      </c>
      <c r="F90" s="455">
        <v>3.2155</v>
      </c>
      <c r="G90" s="455">
        <v>3.3597999999999999</v>
      </c>
      <c r="H90" s="461">
        <v>-1.19048857107346E-2</v>
      </c>
      <c r="I90" s="462">
        <v>-1.54252548544122E-2</v>
      </c>
      <c r="J90" s="462">
        <v>1.9289164658897699E-4</v>
      </c>
      <c r="K90" s="462">
        <v>-3.7315057351383602E-5</v>
      </c>
      <c r="L90" s="463">
        <v>2.19733971030589E-3</v>
      </c>
      <c r="M90" s="256"/>
      <c r="N90" s="471"/>
      <c r="O90" s="471"/>
      <c r="P90" s="471"/>
      <c r="Q90" s="471"/>
      <c r="R90" s="471"/>
      <c r="S90" s="471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  <c r="BJ90" s="256"/>
      <c r="BK90" s="256"/>
      <c r="BL90" s="256"/>
      <c r="BM90" s="256"/>
      <c r="BN90" s="256"/>
      <c r="BO90" s="256"/>
      <c r="BP90" s="256"/>
      <c r="BQ90" s="256"/>
      <c r="BR90" s="256"/>
      <c r="BS90" s="256"/>
      <c r="BT90" s="256"/>
      <c r="BU90" s="256"/>
      <c r="BV90" s="256"/>
      <c r="BW90" s="256"/>
      <c r="BX90" s="256"/>
      <c r="BY90" s="256"/>
      <c r="BZ90" s="256"/>
    </row>
    <row r="91" spans="1:78">
      <c r="A91" s="472" t="s">
        <v>393</v>
      </c>
      <c r="B91" s="473">
        <v>2.7366000000000001</v>
      </c>
      <c r="C91" s="473">
        <v>2.4272999999999998</v>
      </c>
      <c r="D91" s="473">
        <v>2.1516000000000002</v>
      </c>
      <c r="E91" s="473">
        <v>2.1516000000000002</v>
      </c>
      <c r="F91" s="473">
        <v>2.1516000000000002</v>
      </c>
      <c r="G91" s="473">
        <v>2.1516000000000002</v>
      </c>
      <c r="H91" s="461">
        <v>-7.9639017862079796E-3</v>
      </c>
      <c r="I91" s="462">
        <v>-2.3825146478264701E-2</v>
      </c>
      <c r="J91" s="462">
        <v>0</v>
      </c>
      <c r="K91" s="462">
        <v>0</v>
      </c>
      <c r="L91" s="463">
        <v>0</v>
      </c>
      <c r="M91" s="256"/>
      <c r="N91" s="471"/>
      <c r="O91" s="471"/>
      <c r="P91" s="471"/>
      <c r="Q91" s="471"/>
      <c r="R91" s="471"/>
      <c r="S91" s="471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  <c r="BJ91" s="256"/>
      <c r="BK91" s="256"/>
      <c r="BL91" s="256"/>
      <c r="BM91" s="256"/>
      <c r="BN91" s="256"/>
      <c r="BO91" s="256"/>
      <c r="BP91" s="256"/>
      <c r="BQ91" s="256"/>
      <c r="BR91" s="256"/>
      <c r="BS91" s="256"/>
      <c r="BT91" s="256"/>
      <c r="BU91" s="256"/>
      <c r="BV91" s="256"/>
      <c r="BW91" s="256"/>
      <c r="BX91" s="256"/>
      <c r="BY91" s="256"/>
      <c r="BZ91" s="256"/>
    </row>
    <row r="92" spans="1:78">
      <c r="A92" s="435"/>
      <c r="B92" s="436"/>
      <c r="C92" s="436"/>
      <c r="D92" s="436"/>
      <c r="E92" s="436"/>
      <c r="F92" s="436"/>
      <c r="G92" s="436"/>
      <c r="H92" s="461"/>
      <c r="I92" s="462"/>
      <c r="J92" s="462"/>
      <c r="K92" s="462"/>
      <c r="L92" s="463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  <c r="BJ92" s="256"/>
      <c r="BK92" s="256"/>
      <c r="BL92" s="256"/>
      <c r="BM92" s="256"/>
      <c r="BN92" s="256"/>
      <c r="BO92" s="256"/>
      <c r="BP92" s="256"/>
      <c r="BQ92" s="256"/>
      <c r="BR92" s="256"/>
      <c r="BS92" s="256"/>
      <c r="BT92" s="256"/>
      <c r="BU92" s="256"/>
      <c r="BV92" s="256"/>
      <c r="BW92" s="256"/>
      <c r="BX92" s="256"/>
      <c r="BY92" s="256"/>
      <c r="BZ92" s="256"/>
    </row>
    <row r="93" spans="1:78">
      <c r="A93" s="435"/>
      <c r="B93" s="436"/>
      <c r="C93" s="436"/>
      <c r="D93" s="436"/>
      <c r="E93" s="436"/>
      <c r="F93" s="436"/>
      <c r="G93" s="436"/>
      <c r="H93" s="461"/>
      <c r="I93" s="462"/>
      <c r="J93" s="462"/>
      <c r="K93" s="462"/>
      <c r="L93" s="463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  <c r="BJ93" s="256"/>
      <c r="BK93" s="256"/>
      <c r="BL93" s="256"/>
      <c r="BM93" s="256"/>
      <c r="BN93" s="256"/>
      <c r="BO93" s="256"/>
      <c r="BP93" s="256"/>
      <c r="BQ93" s="256"/>
      <c r="BR93" s="256"/>
      <c r="BS93" s="256"/>
      <c r="BT93" s="256"/>
      <c r="BU93" s="256"/>
      <c r="BV93" s="256"/>
      <c r="BW93" s="256"/>
      <c r="BX93" s="256"/>
      <c r="BY93" s="256"/>
      <c r="BZ93" s="256"/>
    </row>
    <row r="94" spans="1:78" ht="15" thickBot="1">
      <c r="A94" s="444" t="s">
        <v>10</v>
      </c>
      <c r="B94" s="464">
        <v>27.5228</v>
      </c>
      <c r="C94" s="464">
        <v>21.892399999999999</v>
      </c>
      <c r="D94" s="464">
        <v>21.755700000000001</v>
      </c>
      <c r="E94" s="464">
        <v>21.723600000000001</v>
      </c>
      <c r="F94" s="464">
        <v>21.683199999999999</v>
      </c>
      <c r="G94" s="464">
        <v>23.712399999999999</v>
      </c>
      <c r="H94" s="466">
        <v>-1.5142528399887599E-2</v>
      </c>
      <c r="I94" s="467">
        <v>-1.25196612833756E-3</v>
      </c>
      <c r="J94" s="467">
        <v>-2.9526939508450799E-4</v>
      </c>
      <c r="K94" s="467">
        <v>-3.7222271439563099E-4</v>
      </c>
      <c r="L94" s="468">
        <v>4.4830364212027404E-3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  <c r="BJ94" s="256"/>
      <c r="BK94" s="256"/>
      <c r="BL94" s="256"/>
      <c r="BM94" s="256"/>
      <c r="BN94" s="256"/>
      <c r="BO94" s="256"/>
      <c r="BP94" s="256"/>
      <c r="BQ94" s="256"/>
      <c r="BR94" s="256"/>
      <c r="BS94" s="256"/>
      <c r="BT94" s="256"/>
      <c r="BU94" s="256"/>
      <c r="BV94" s="256"/>
      <c r="BW94" s="256"/>
      <c r="BX94" s="256"/>
      <c r="BY94" s="256"/>
      <c r="BZ94" s="256"/>
    </row>
    <row r="95" spans="1:78" ht="15" thickBot="1">
      <c r="A95" s="449"/>
      <c r="B95" s="256"/>
      <c r="C95" s="256"/>
      <c r="D95" s="256"/>
      <c r="E95" s="427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  <c r="BJ95" s="256"/>
      <c r="BK95" s="256"/>
      <c r="BL95" s="256"/>
      <c r="BM95" s="256"/>
      <c r="BN95" s="256"/>
      <c r="BO95" s="256"/>
      <c r="BP95" s="256"/>
      <c r="BQ95" s="256"/>
      <c r="BR95" s="256"/>
      <c r="BS95" s="256"/>
      <c r="BT95" s="256"/>
      <c r="BU95" s="256"/>
      <c r="BV95" s="256"/>
      <c r="BW95" s="256"/>
      <c r="BX95" s="256"/>
      <c r="BY95" s="256"/>
      <c r="BZ95" s="256"/>
    </row>
    <row r="96" spans="1:78" ht="15" thickBot="1">
      <c r="A96" s="475" t="s">
        <v>126</v>
      </c>
      <c r="B96" s="476">
        <v>16.929500000000001</v>
      </c>
      <c r="C96" s="476">
        <v>12.960800000000001</v>
      </c>
      <c r="D96" s="476">
        <v>12.480499999999999</v>
      </c>
      <c r="E96" s="476">
        <v>12.231400000000001</v>
      </c>
      <c r="F96" s="476">
        <v>12.0359</v>
      </c>
      <c r="G96" s="476">
        <v>11.3055</v>
      </c>
      <c r="H96" s="477">
        <v>-1.76509145787325E-2</v>
      </c>
      <c r="I96" s="478">
        <v>-7.5239505361731603E-3</v>
      </c>
      <c r="J96" s="478">
        <v>-4.0240836855555103E-3</v>
      </c>
      <c r="K96" s="478">
        <v>-3.2173263637790299E-3</v>
      </c>
      <c r="L96" s="479">
        <v>-3.1253318186170698E-3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  <c r="BJ96" s="256"/>
      <c r="BK96" s="256"/>
      <c r="BL96" s="256"/>
      <c r="BM96" s="256"/>
      <c r="BN96" s="256"/>
      <c r="BO96" s="256"/>
      <c r="BP96" s="256"/>
      <c r="BQ96" s="256"/>
      <c r="BR96" s="256"/>
      <c r="BS96" s="256"/>
      <c r="BT96" s="256"/>
      <c r="BU96" s="256"/>
      <c r="BV96" s="256"/>
      <c r="BW96" s="256"/>
      <c r="BX96" s="256"/>
      <c r="BY96" s="256"/>
      <c r="BZ96" s="256"/>
    </row>
    <row r="97" spans="1:78">
      <c r="A97" s="480"/>
      <c r="B97" s="481"/>
      <c r="C97" s="481"/>
      <c r="D97" s="481"/>
      <c r="E97" s="481"/>
      <c r="F97" s="481"/>
      <c r="G97" s="481"/>
      <c r="H97" s="462"/>
      <c r="I97" s="462"/>
      <c r="J97" s="462"/>
      <c r="K97" s="462"/>
      <c r="L97" s="462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  <c r="BJ97" s="256"/>
      <c r="BK97" s="256"/>
      <c r="BL97" s="256"/>
      <c r="BM97" s="256"/>
      <c r="BN97" s="256"/>
      <c r="BO97" s="256"/>
      <c r="BP97" s="256"/>
      <c r="BQ97" s="256"/>
      <c r="BR97" s="256"/>
      <c r="BS97" s="256"/>
      <c r="BT97" s="256"/>
      <c r="BU97" s="256"/>
      <c r="BV97" s="256"/>
      <c r="BW97" s="256"/>
      <c r="BX97" s="256"/>
      <c r="BY97" s="256"/>
      <c r="BZ97" s="256"/>
    </row>
    <row r="98" spans="1:78">
      <c r="A98" s="256"/>
      <c r="B98" s="256"/>
      <c r="C98" s="256"/>
      <c r="D98" s="256"/>
      <c r="E98" s="256"/>
      <c r="F98" s="451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6"/>
      <c r="BW98" s="256"/>
      <c r="BX98" s="256"/>
      <c r="BY98" s="256"/>
      <c r="BZ98" s="256"/>
    </row>
    <row r="99" spans="1:78" ht="16" thickBot="1">
      <c r="A99" s="428" t="s">
        <v>130</v>
      </c>
      <c r="B99" s="429"/>
      <c r="C99" s="429"/>
      <c r="D99" s="429"/>
      <c r="E99" s="429"/>
      <c r="F99" s="429"/>
      <c r="G99" s="430"/>
      <c r="H99" s="430"/>
      <c r="I99" s="430"/>
      <c r="J99" s="430"/>
      <c r="K99" s="430"/>
      <c r="L99" s="430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  <c r="BJ99" s="256"/>
      <c r="BK99" s="256"/>
      <c r="BL99" s="256"/>
      <c r="BM99" s="256"/>
      <c r="BN99" s="256"/>
      <c r="BO99" s="256"/>
      <c r="BP99" s="256"/>
      <c r="BQ99" s="256"/>
      <c r="BR99" s="256"/>
      <c r="BS99" s="256"/>
      <c r="BT99" s="256"/>
      <c r="BU99" s="256"/>
      <c r="BV99" s="256"/>
      <c r="BW99" s="256"/>
      <c r="BX99" s="256"/>
      <c r="BY99" s="256"/>
      <c r="BZ99" s="256"/>
    </row>
    <row r="100" spans="1:78" ht="15" thickBot="1">
      <c r="A100" s="431"/>
      <c r="B100" s="432">
        <v>2000</v>
      </c>
      <c r="C100" s="432">
        <v>2015</v>
      </c>
      <c r="D100" s="432">
        <v>2020</v>
      </c>
      <c r="E100" s="432">
        <v>2025</v>
      </c>
      <c r="F100" s="432">
        <v>2030</v>
      </c>
      <c r="G100" s="432">
        <v>2050</v>
      </c>
      <c r="H100" s="452" t="s">
        <v>98</v>
      </c>
      <c r="I100" s="453" t="s">
        <v>99</v>
      </c>
      <c r="J100" s="453" t="s">
        <v>100</v>
      </c>
      <c r="K100" s="453" t="s">
        <v>101</v>
      </c>
      <c r="L100" s="454" t="s">
        <v>384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  <c r="BJ100" s="256"/>
      <c r="BK100" s="256"/>
      <c r="BL100" s="256"/>
      <c r="BM100" s="256"/>
      <c r="BN100" s="256"/>
      <c r="BO100" s="256"/>
      <c r="BP100" s="256"/>
      <c r="BQ100" s="256"/>
      <c r="BR100" s="256"/>
      <c r="BS100" s="256"/>
      <c r="BT100" s="256"/>
      <c r="BU100" s="256"/>
      <c r="BV100" s="256"/>
      <c r="BW100" s="256"/>
      <c r="BX100" s="256"/>
      <c r="BY100" s="256"/>
      <c r="BZ100" s="256"/>
    </row>
    <row r="101" spans="1:78" ht="15" thickBot="1">
      <c r="A101" s="444" t="s">
        <v>131</v>
      </c>
      <c r="B101" s="485">
        <v>0.14861332923950199</v>
      </c>
      <c r="C101" s="485">
        <v>0.110941580597999</v>
      </c>
      <c r="D101" s="485">
        <v>0.10396332292291301</v>
      </c>
      <c r="E101" s="485">
        <v>9.9385626244271399E-2</v>
      </c>
      <c r="F101" s="485">
        <v>9.4579979036345102E-2</v>
      </c>
      <c r="G101" s="485">
        <v>8.2360372895128306E-2</v>
      </c>
      <c r="H101" s="466">
        <v>-1.9300909856419E-2</v>
      </c>
      <c r="I101" s="467">
        <v>-1.29090716677155E-2</v>
      </c>
      <c r="J101" s="467">
        <v>-8.9657011857309198E-3</v>
      </c>
      <c r="K101" s="467">
        <v>-9.8633712034121909E-3</v>
      </c>
      <c r="L101" s="468">
        <v>-6.8932024225259996E-3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/>
    </row>
    <row r="102" spans="1:78">
      <c r="A102" s="486"/>
      <c r="B102" s="256"/>
      <c r="C102" s="256"/>
      <c r="D102" s="256"/>
      <c r="E102" s="256"/>
      <c r="F102" s="451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  <c r="BJ102" s="256"/>
      <c r="BK102" s="256"/>
      <c r="BL102" s="256"/>
      <c r="BM102" s="256"/>
      <c r="BN102" s="256"/>
      <c r="BO102" s="256"/>
      <c r="BP102" s="256"/>
      <c r="BQ102" s="256"/>
      <c r="BR102" s="256"/>
      <c r="BS102" s="256"/>
      <c r="BT102" s="256"/>
      <c r="BU102" s="256"/>
      <c r="BV102" s="256"/>
      <c r="BW102" s="256"/>
      <c r="BX102" s="256"/>
      <c r="BY102" s="256"/>
      <c r="BZ102" s="256"/>
    </row>
    <row r="103" spans="1:78">
      <c r="A103" s="256"/>
      <c r="B103" s="256"/>
      <c r="C103" s="256"/>
      <c r="D103" s="256"/>
      <c r="E103" s="256"/>
      <c r="F103" s="451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  <c r="BJ103" s="256"/>
      <c r="BK103" s="256"/>
      <c r="BL103" s="256"/>
      <c r="BM103" s="256"/>
      <c r="BN103" s="256"/>
      <c r="BO103" s="256"/>
      <c r="BP103" s="256"/>
      <c r="BQ103" s="256"/>
      <c r="BR103" s="256"/>
      <c r="BS103" s="256"/>
      <c r="BT103" s="256"/>
      <c r="BU103" s="256"/>
      <c r="BV103" s="256"/>
      <c r="BW103" s="256"/>
      <c r="BX103" s="256"/>
      <c r="BY103" s="256"/>
      <c r="BZ103" s="256"/>
    </row>
    <row r="104" spans="1:78" ht="21">
      <c r="A104" s="425" t="s">
        <v>132</v>
      </c>
      <c r="B104" s="415"/>
      <c r="C104" s="415"/>
      <c r="D104" s="415"/>
      <c r="E104" s="415"/>
      <c r="F104" s="415"/>
      <c r="G104" s="487"/>
      <c r="H104" s="487"/>
      <c r="I104" s="487"/>
      <c r="J104" s="487"/>
      <c r="K104" s="487"/>
      <c r="L104" s="487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56"/>
      <c r="AV104" s="256"/>
      <c r="AW104" s="256"/>
      <c r="AX104" s="256"/>
      <c r="AY104" s="256"/>
      <c r="AZ104" s="256"/>
      <c r="BA104" s="256"/>
      <c r="BB104" s="256"/>
      <c r="BC104" s="256"/>
      <c r="BD104" s="256"/>
      <c r="BE104" s="256"/>
      <c r="BF104" s="256"/>
      <c r="BG104" s="256"/>
      <c r="BH104" s="256"/>
      <c r="BI104" s="256"/>
      <c r="BJ104" s="256"/>
      <c r="BK104" s="256"/>
      <c r="BL104" s="256"/>
      <c r="BM104" s="256"/>
      <c r="BN104" s="256"/>
      <c r="BO104" s="256"/>
      <c r="BP104" s="256"/>
      <c r="BQ104" s="256"/>
      <c r="BR104" s="256"/>
      <c r="BS104" s="256"/>
      <c r="BT104" s="256"/>
      <c r="BU104" s="256"/>
      <c r="BV104" s="256"/>
      <c r="BW104" s="256"/>
      <c r="BX104" s="256"/>
      <c r="BY104" s="256"/>
      <c r="BZ104" s="256"/>
    </row>
    <row r="105" spans="1:78">
      <c r="A105" s="256"/>
      <c r="B105" s="256"/>
      <c r="C105" s="256"/>
      <c r="D105" s="256"/>
      <c r="E105" s="256"/>
      <c r="F105" s="451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</row>
    <row r="106" spans="1:78" ht="16" thickBot="1">
      <c r="A106" s="428" t="s">
        <v>133</v>
      </c>
      <c r="B106" s="429"/>
      <c r="C106" s="429"/>
      <c r="D106" s="429"/>
      <c r="E106" s="429"/>
      <c r="F106" s="429"/>
      <c r="G106" s="430"/>
      <c r="H106" s="430"/>
      <c r="I106" s="430"/>
      <c r="J106" s="430"/>
      <c r="K106" s="430"/>
      <c r="L106" s="430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</row>
    <row r="107" spans="1:78" ht="15" thickBot="1">
      <c r="A107" s="431" t="s">
        <v>51</v>
      </c>
      <c r="B107" s="432">
        <v>2000</v>
      </c>
      <c r="C107" s="432">
        <v>2015</v>
      </c>
      <c r="D107" s="432">
        <v>2020</v>
      </c>
      <c r="E107" s="432">
        <v>2025</v>
      </c>
      <c r="F107" s="432">
        <v>2030</v>
      </c>
      <c r="G107" s="432">
        <v>2050</v>
      </c>
      <c r="H107" s="452" t="s">
        <v>98</v>
      </c>
      <c r="I107" s="453" t="s">
        <v>99</v>
      </c>
      <c r="J107" s="453" t="s">
        <v>100</v>
      </c>
      <c r="K107" s="453" t="s">
        <v>101</v>
      </c>
      <c r="L107" s="454" t="s">
        <v>384</v>
      </c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</row>
    <row r="108" spans="1:78">
      <c r="A108" s="435" t="s">
        <v>103</v>
      </c>
      <c r="B108" s="436">
        <v>9.0759000000000007</v>
      </c>
      <c r="C108" s="436">
        <v>6.5214999999999996</v>
      </c>
      <c r="D108" s="436">
        <v>5.1642000000000001</v>
      </c>
      <c r="E108" s="436">
        <v>4.3639999999999999</v>
      </c>
      <c r="F108" s="436">
        <v>3.6859000000000002</v>
      </c>
      <c r="G108" s="436">
        <v>2.8035000000000001</v>
      </c>
      <c r="H108" s="456">
        <v>-2.17935552584426E-2</v>
      </c>
      <c r="I108" s="457">
        <v>-4.5598505014204697E-2</v>
      </c>
      <c r="J108" s="457">
        <v>-3.3111627186345201E-2</v>
      </c>
      <c r="K108" s="457">
        <v>-3.3210864451994698E-2</v>
      </c>
      <c r="L108" s="458">
        <v>-1.35891273449983E-2</v>
      </c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</row>
    <row r="109" spans="1:78">
      <c r="A109" s="435" t="s">
        <v>54</v>
      </c>
      <c r="B109" s="436">
        <v>15.005599999999999</v>
      </c>
      <c r="C109" s="436">
        <v>14.2493</v>
      </c>
      <c r="D109" s="436">
        <v>12.052199999999999</v>
      </c>
      <c r="E109" s="436">
        <v>11.236800000000001</v>
      </c>
      <c r="F109" s="436">
        <v>10.642799999999999</v>
      </c>
      <c r="G109" s="436">
        <v>9.4556000000000004</v>
      </c>
      <c r="H109" s="461">
        <v>-3.44177560248382E-3</v>
      </c>
      <c r="I109" s="462">
        <v>-3.2937461927411801E-2</v>
      </c>
      <c r="J109" s="462">
        <v>-1.39129299038766E-2</v>
      </c>
      <c r="K109" s="462">
        <v>-1.0803320256092101E-2</v>
      </c>
      <c r="L109" s="463">
        <v>-5.8963702023894201E-3</v>
      </c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</row>
    <row r="110" spans="1:78">
      <c r="A110" s="435" t="s">
        <v>42</v>
      </c>
      <c r="B110" s="436">
        <v>0.06</v>
      </c>
      <c r="C110" s="436">
        <v>8.1900000000000001E-2</v>
      </c>
      <c r="D110" s="436">
        <v>1.0500000000000001E-2</v>
      </c>
      <c r="E110" s="436">
        <v>1.2E-2</v>
      </c>
      <c r="F110" s="436">
        <v>8.8000000000000005E-3</v>
      </c>
      <c r="G110" s="436">
        <v>7.1000000000000004E-3</v>
      </c>
      <c r="H110" s="461">
        <v>2.0960273043430001E-2</v>
      </c>
      <c r="I110" s="462">
        <v>-0.33689686759559401</v>
      </c>
      <c r="J110" s="462">
        <v>2.7066087089351799E-2</v>
      </c>
      <c r="K110" s="462">
        <v>-6.0146235650011301E-2</v>
      </c>
      <c r="L110" s="463">
        <v>-1.0675455379070199E-2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</row>
    <row r="111" spans="1:78">
      <c r="A111" s="435" t="s">
        <v>104</v>
      </c>
      <c r="B111" s="436">
        <v>10.5669</v>
      </c>
      <c r="C111" s="436">
        <v>12.6416</v>
      </c>
      <c r="D111" s="436">
        <v>12.3057</v>
      </c>
      <c r="E111" s="436">
        <v>12.1876</v>
      </c>
      <c r="F111" s="436">
        <v>12.1678</v>
      </c>
      <c r="G111" s="436">
        <v>12.6196</v>
      </c>
      <c r="H111" s="461">
        <v>1.20227989987569E-2</v>
      </c>
      <c r="I111" s="462">
        <v>-5.3715997482802801E-3</v>
      </c>
      <c r="J111" s="462">
        <v>-1.9268468925702799E-3</v>
      </c>
      <c r="K111" s="462">
        <v>-3.2513176350812401E-4</v>
      </c>
      <c r="L111" s="463">
        <v>1.8245646272585501E-3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</row>
    <row r="112" spans="1:78">
      <c r="A112" s="435" t="s">
        <v>105</v>
      </c>
      <c r="B112" s="436">
        <v>1.752</v>
      </c>
      <c r="C112" s="436">
        <v>1.3252999999999999</v>
      </c>
      <c r="D112" s="436">
        <v>1.4417</v>
      </c>
      <c r="E112" s="436">
        <v>1.4137999999999999</v>
      </c>
      <c r="F112" s="436">
        <v>1.3756999999999999</v>
      </c>
      <c r="G112" s="436">
        <v>1.2588999999999999</v>
      </c>
      <c r="H112" s="461">
        <v>-1.8435884011240002E-2</v>
      </c>
      <c r="I112" s="462">
        <v>1.69793629604462E-2</v>
      </c>
      <c r="J112" s="462">
        <v>-3.9007438724438801E-3</v>
      </c>
      <c r="K112" s="462">
        <v>-5.4487856764971997E-3</v>
      </c>
      <c r="L112" s="463">
        <v>-4.4263929524347399E-3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</row>
    <row r="113" spans="1:78">
      <c r="A113" s="435" t="s">
        <v>134</v>
      </c>
      <c r="B113" s="436">
        <v>6.2961</v>
      </c>
      <c r="C113" s="436">
        <v>6.7679</v>
      </c>
      <c r="D113" s="436">
        <v>7.2196999999999996</v>
      </c>
      <c r="E113" s="436">
        <v>7.2439</v>
      </c>
      <c r="F113" s="436">
        <v>7.2420000000000098</v>
      </c>
      <c r="G113" s="436">
        <v>6.9114000000000004</v>
      </c>
      <c r="H113" s="461">
        <v>4.8289856636014603E-3</v>
      </c>
      <c r="I113" s="462">
        <v>1.30083932829694E-2</v>
      </c>
      <c r="J113" s="462">
        <v>6.6949092969248501E-4</v>
      </c>
      <c r="K113" s="462">
        <v>-5.2463434655591903E-5</v>
      </c>
      <c r="L113" s="463">
        <v>-2.3335325281442802E-3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</row>
    <row r="114" spans="1:78">
      <c r="A114" s="435" t="s">
        <v>135</v>
      </c>
      <c r="B114" s="436">
        <v>2.0799999999999999E-2</v>
      </c>
      <c r="C114" s="436">
        <v>8.5300000000000001E-2</v>
      </c>
      <c r="D114" s="436">
        <v>0.1007</v>
      </c>
      <c r="E114" s="436">
        <v>0.1164</v>
      </c>
      <c r="F114" s="436">
        <v>0.1183</v>
      </c>
      <c r="G114" s="436">
        <v>0.12470000000000001</v>
      </c>
      <c r="H114" s="461"/>
      <c r="I114" s="462"/>
      <c r="J114" s="462"/>
      <c r="K114" s="462"/>
      <c r="L114" s="463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</row>
    <row r="115" spans="1:78">
      <c r="A115" s="435" t="s">
        <v>136</v>
      </c>
      <c r="B115" s="436">
        <v>0</v>
      </c>
      <c r="C115" s="436">
        <v>0.420688103993204</v>
      </c>
      <c r="D115" s="436">
        <v>0.65528600572635798</v>
      </c>
      <c r="E115" s="436">
        <v>0.85316975623719604</v>
      </c>
      <c r="F115" s="436">
        <v>1.0269460024889701</v>
      </c>
      <c r="G115" s="436">
        <v>1.45611201019554</v>
      </c>
      <c r="H115" s="461"/>
      <c r="I115" s="462"/>
      <c r="J115" s="462"/>
      <c r="K115" s="462"/>
      <c r="L115" s="463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</row>
    <row r="116" spans="1:78">
      <c r="A116" s="435"/>
      <c r="B116" s="436"/>
      <c r="C116" s="436"/>
      <c r="D116" s="436"/>
      <c r="E116" s="436"/>
      <c r="F116" s="436"/>
      <c r="G116" s="488"/>
      <c r="H116" s="461"/>
      <c r="I116" s="462"/>
      <c r="J116" s="462"/>
      <c r="K116" s="462"/>
      <c r="L116" s="463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</row>
    <row r="117" spans="1:78" ht="15" thickBot="1">
      <c r="A117" s="489" t="s">
        <v>10</v>
      </c>
      <c r="B117" s="490">
        <v>42.777299999999997</v>
      </c>
      <c r="C117" s="490">
        <v>42.093488103993202</v>
      </c>
      <c r="D117" s="490">
        <v>38.949986005726402</v>
      </c>
      <c r="E117" s="490">
        <v>37.427669756237201</v>
      </c>
      <c r="F117" s="490">
        <v>36.268246002489001</v>
      </c>
      <c r="G117" s="490">
        <v>34.636912010195502</v>
      </c>
      <c r="H117" s="466">
        <v>-1.0737255569641701E-3</v>
      </c>
      <c r="I117" s="467">
        <v>-1.54030681153818E-2</v>
      </c>
      <c r="J117" s="467">
        <v>-7.9419247568907093E-3</v>
      </c>
      <c r="K117" s="467">
        <v>-6.27377144735408E-3</v>
      </c>
      <c r="L117" s="468">
        <v>-2.2984873308317102E-3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</row>
    <row r="118" spans="1:78">
      <c r="A118" s="449"/>
      <c r="B118" s="427"/>
      <c r="C118" s="427"/>
      <c r="D118" s="427"/>
      <c r="E118" s="427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</row>
    <row r="119" spans="1:78">
      <c r="A119" s="256"/>
      <c r="B119" s="427"/>
      <c r="C119" s="427"/>
      <c r="D119" s="427"/>
      <c r="E119" s="427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</row>
    <row r="120" spans="1:78" ht="16" thickBot="1">
      <c r="A120" s="428" t="s">
        <v>137</v>
      </c>
      <c r="B120" s="430"/>
      <c r="C120" s="430"/>
      <c r="D120" s="430"/>
      <c r="E120" s="430"/>
      <c r="F120" s="430"/>
      <c r="G120" s="430"/>
      <c r="H120" s="430"/>
      <c r="I120" s="430"/>
      <c r="J120" s="430"/>
      <c r="K120" s="430"/>
      <c r="L120" s="430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</row>
    <row r="121" spans="1:78" ht="15" thickBot="1">
      <c r="A121" s="431" t="s">
        <v>51</v>
      </c>
      <c r="B121" s="432">
        <v>2000</v>
      </c>
      <c r="C121" s="432">
        <v>2015</v>
      </c>
      <c r="D121" s="432">
        <v>2020</v>
      </c>
      <c r="E121" s="432">
        <v>2025</v>
      </c>
      <c r="F121" s="432">
        <v>2030</v>
      </c>
      <c r="G121" s="432">
        <v>2050</v>
      </c>
      <c r="H121" s="452" t="s">
        <v>98</v>
      </c>
      <c r="I121" s="453" t="s">
        <v>99</v>
      </c>
      <c r="J121" s="453" t="s">
        <v>100</v>
      </c>
      <c r="K121" s="453" t="s">
        <v>101</v>
      </c>
      <c r="L121" s="454" t="s">
        <v>384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</row>
    <row r="122" spans="1:78">
      <c r="A122" s="435" t="s">
        <v>138</v>
      </c>
      <c r="B122" s="436">
        <v>30.922000000000001</v>
      </c>
      <c r="C122" s="436">
        <v>28.023920309676601</v>
      </c>
      <c r="D122" s="436">
        <v>24.912528596675799</v>
      </c>
      <c r="E122" s="436">
        <v>23.5361416462416</v>
      </c>
      <c r="F122" s="436">
        <v>22.5010829799809</v>
      </c>
      <c r="G122" s="436">
        <v>20.207454330937399</v>
      </c>
      <c r="H122" s="456">
        <v>-6.5391568771049303E-3</v>
      </c>
      <c r="I122" s="457">
        <v>-2.32626749266578E-2</v>
      </c>
      <c r="J122" s="457">
        <v>-1.1302373056406001E-2</v>
      </c>
      <c r="K122" s="457">
        <v>-8.9544165915632599E-3</v>
      </c>
      <c r="L122" s="458">
        <v>-5.3611712440481104E-3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</row>
    <row r="123" spans="1:78">
      <c r="A123" s="435" t="s">
        <v>139</v>
      </c>
      <c r="B123" s="436">
        <v>4.4291</v>
      </c>
      <c r="C123" s="436">
        <v>4.6972677943166401</v>
      </c>
      <c r="D123" s="436">
        <v>4.4479574090505798</v>
      </c>
      <c r="E123" s="436">
        <v>4.3295281099956302</v>
      </c>
      <c r="F123" s="436">
        <v>4.2373630225080401</v>
      </c>
      <c r="G123" s="436">
        <v>4.09635767925809</v>
      </c>
      <c r="H123" s="461">
        <v>3.9266636335164602E-3</v>
      </c>
      <c r="I123" s="462">
        <v>-1.0847939635284E-2</v>
      </c>
      <c r="J123" s="462">
        <v>-5.3827462339912603E-3</v>
      </c>
      <c r="K123" s="462">
        <v>-4.2942347802371597E-3</v>
      </c>
      <c r="L123" s="463">
        <v>-1.69071608403115E-3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</row>
    <row r="124" spans="1:78">
      <c r="A124" s="435" t="s">
        <v>140</v>
      </c>
      <c r="B124" s="436">
        <v>2.4603000000000002</v>
      </c>
      <c r="C124" s="436">
        <v>2.6871999999999998</v>
      </c>
      <c r="D124" s="436">
        <v>2.7454999999999998</v>
      </c>
      <c r="E124" s="436">
        <v>2.7967</v>
      </c>
      <c r="F124" s="436">
        <v>2.8445</v>
      </c>
      <c r="G124" s="436">
        <v>2.9962</v>
      </c>
      <c r="H124" s="461">
        <v>5.89842531274898E-3</v>
      </c>
      <c r="I124" s="462">
        <v>4.3019164743893796E-3</v>
      </c>
      <c r="J124" s="462">
        <v>3.70222495769901E-3</v>
      </c>
      <c r="K124" s="462">
        <v>3.39518151968621E-3</v>
      </c>
      <c r="L124" s="463">
        <v>2.60125309774928E-3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</row>
    <row r="125" spans="1:78">
      <c r="A125" s="435" t="s">
        <v>141</v>
      </c>
      <c r="B125" s="436">
        <v>0.96689999999999998</v>
      </c>
      <c r="C125" s="436">
        <v>0.70150000000000001</v>
      </c>
      <c r="D125" s="436">
        <v>0.67610000000000003</v>
      </c>
      <c r="E125" s="436">
        <v>0.64649999999999996</v>
      </c>
      <c r="F125" s="436">
        <v>0.6139</v>
      </c>
      <c r="G125" s="436">
        <v>0.4284</v>
      </c>
      <c r="H125" s="461">
        <v>-2.1164434117033299E-2</v>
      </c>
      <c r="I125" s="462">
        <v>-7.3488452993424299E-3</v>
      </c>
      <c r="J125" s="462">
        <v>-8.9135954275146902E-3</v>
      </c>
      <c r="K125" s="462">
        <v>-1.0294871238786901E-2</v>
      </c>
      <c r="L125" s="463">
        <v>-1.7827904019555099E-2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</row>
    <row r="126" spans="1:78">
      <c r="A126" s="435" t="s">
        <v>142</v>
      </c>
      <c r="B126" s="436">
        <v>3.9872999999999998</v>
      </c>
      <c r="C126" s="436">
        <v>5.9343000000000004</v>
      </c>
      <c r="D126" s="436">
        <v>6.0978000000000003</v>
      </c>
      <c r="E126" s="436">
        <v>6.0098000000000003</v>
      </c>
      <c r="F126" s="436">
        <v>5.9207999999999998</v>
      </c>
      <c r="G126" s="436">
        <v>6.4943</v>
      </c>
      <c r="H126" s="461">
        <v>2.6863473013139599E-2</v>
      </c>
      <c r="I126" s="462">
        <v>5.4505954743069296E-3</v>
      </c>
      <c r="J126" s="462">
        <v>-2.9030939026749602E-3</v>
      </c>
      <c r="K126" s="462">
        <v>-2.9795314039316998E-3</v>
      </c>
      <c r="L126" s="463">
        <v>4.6333657072765702E-3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</row>
    <row r="127" spans="1:78">
      <c r="A127" s="435" t="s">
        <v>143</v>
      </c>
      <c r="B127" s="436">
        <v>1.1599999999999999E-2</v>
      </c>
      <c r="C127" s="436">
        <v>4.9200000000000001E-2</v>
      </c>
      <c r="D127" s="436">
        <v>7.0000000000000007E-2</v>
      </c>
      <c r="E127" s="436">
        <v>0.1089</v>
      </c>
      <c r="F127" s="436">
        <v>0.15049999999999999</v>
      </c>
      <c r="G127" s="436">
        <v>0.4143</v>
      </c>
      <c r="H127" s="461"/>
      <c r="I127" s="462"/>
      <c r="J127" s="462"/>
      <c r="K127" s="462"/>
      <c r="L127" s="463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</row>
    <row r="128" spans="1:78">
      <c r="A128" s="435"/>
      <c r="B128" s="436"/>
      <c r="C128" s="436"/>
      <c r="D128" s="436"/>
      <c r="E128" s="436"/>
      <c r="F128" s="436"/>
      <c r="G128" s="436"/>
      <c r="H128" s="461"/>
      <c r="I128" s="462"/>
      <c r="J128" s="462"/>
      <c r="K128" s="462"/>
      <c r="L128" s="463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</row>
    <row r="129" spans="1:78" ht="15" thickBot="1">
      <c r="A129" s="489" t="s">
        <v>10</v>
      </c>
      <c r="B129" s="490">
        <v>42.777299999999997</v>
      </c>
      <c r="C129" s="490">
        <v>42.093488103993202</v>
      </c>
      <c r="D129" s="490">
        <v>38.949986005726402</v>
      </c>
      <c r="E129" s="490">
        <v>37.427669756237201</v>
      </c>
      <c r="F129" s="490">
        <v>36.268246002489001</v>
      </c>
      <c r="G129" s="490">
        <v>34.636912010195502</v>
      </c>
      <c r="H129" s="466">
        <v>-1.0737255569641701E-3</v>
      </c>
      <c r="I129" s="467">
        <v>-1.54030681153818E-2</v>
      </c>
      <c r="J129" s="467">
        <v>-7.9419247568907093E-3</v>
      </c>
      <c r="K129" s="467">
        <v>-6.27377144735408E-3</v>
      </c>
      <c r="L129" s="468">
        <v>-2.2984873308317102E-3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</row>
    <row r="130" spans="1:78">
      <c r="A130" s="449"/>
      <c r="B130" s="427"/>
      <c r="C130" s="427"/>
      <c r="D130" s="427"/>
      <c r="E130" s="427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</row>
    <row r="131" spans="1:78">
      <c r="A131" s="256"/>
      <c r="B131" s="427"/>
      <c r="C131" s="427"/>
      <c r="D131" s="427"/>
      <c r="E131" s="427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</row>
    <row r="132" spans="1:78" ht="16" thickBot="1">
      <c r="A132" s="428" t="s">
        <v>144</v>
      </c>
      <c r="B132" s="430"/>
      <c r="C132" s="430"/>
      <c r="D132" s="430"/>
      <c r="E132" s="430"/>
      <c r="F132" s="430"/>
      <c r="G132" s="430"/>
      <c r="H132" s="430"/>
      <c r="I132" s="430"/>
      <c r="J132" s="430"/>
      <c r="K132" s="430"/>
      <c r="L132" s="430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</row>
    <row r="133" spans="1:78" ht="15" thickBot="1">
      <c r="A133" s="431" t="s">
        <v>51</v>
      </c>
      <c r="B133" s="432">
        <v>2000</v>
      </c>
      <c r="C133" s="432">
        <v>2015</v>
      </c>
      <c r="D133" s="432">
        <v>2020</v>
      </c>
      <c r="E133" s="432">
        <v>2025</v>
      </c>
      <c r="F133" s="432">
        <v>2030</v>
      </c>
      <c r="G133" s="432">
        <v>2050</v>
      </c>
      <c r="H133" s="452" t="s">
        <v>98</v>
      </c>
      <c r="I133" s="453" t="s">
        <v>99</v>
      </c>
      <c r="J133" s="453" t="s">
        <v>100</v>
      </c>
      <c r="K133" s="453" t="s">
        <v>101</v>
      </c>
      <c r="L133" s="454" t="s">
        <v>384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</row>
    <row r="134" spans="1:78">
      <c r="A134" s="435" t="s">
        <v>103</v>
      </c>
      <c r="B134" s="436">
        <v>9.0759000000000007</v>
      </c>
      <c r="C134" s="436">
        <v>6.5214999999999996</v>
      </c>
      <c r="D134" s="436">
        <v>5.1642000000000001</v>
      </c>
      <c r="E134" s="436">
        <v>4.3639999999999999</v>
      </c>
      <c r="F134" s="436">
        <v>3.6859000000000002</v>
      </c>
      <c r="G134" s="436">
        <v>2.8035000000000001</v>
      </c>
      <c r="H134" s="456">
        <v>-2.17935552584426E-2</v>
      </c>
      <c r="I134" s="457">
        <v>-4.5598505014204697E-2</v>
      </c>
      <c r="J134" s="457">
        <v>-3.3111627186345201E-2</v>
      </c>
      <c r="K134" s="457">
        <v>-3.3210864451994698E-2</v>
      </c>
      <c r="L134" s="458">
        <v>-1.35891273449983E-2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</row>
    <row r="135" spans="1:78">
      <c r="A135" s="435" t="s">
        <v>54</v>
      </c>
      <c r="B135" s="436">
        <v>15.005599999999999</v>
      </c>
      <c r="C135" s="436">
        <v>14.2493</v>
      </c>
      <c r="D135" s="436">
        <v>12.052199999999999</v>
      </c>
      <c r="E135" s="436">
        <v>11.236800000000001</v>
      </c>
      <c r="F135" s="436">
        <v>10.642799999999999</v>
      </c>
      <c r="G135" s="436">
        <v>9.4556000000000004</v>
      </c>
      <c r="H135" s="461">
        <v>-3.44177560248382E-3</v>
      </c>
      <c r="I135" s="462">
        <v>-3.2937461927411801E-2</v>
      </c>
      <c r="J135" s="462">
        <v>-1.39129299038766E-2</v>
      </c>
      <c r="K135" s="462">
        <v>-1.0803320256092101E-2</v>
      </c>
      <c r="L135" s="463">
        <v>-5.8963702023894201E-3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</row>
    <row r="136" spans="1:78">
      <c r="A136" s="435" t="s">
        <v>42</v>
      </c>
      <c r="B136" s="436">
        <v>0.06</v>
      </c>
      <c r="C136" s="436">
        <v>8.1900000000000001E-2</v>
      </c>
      <c r="D136" s="436">
        <v>1.0500000000000001E-2</v>
      </c>
      <c r="E136" s="436">
        <v>1.2E-2</v>
      </c>
      <c r="F136" s="436">
        <v>8.8000000000000005E-3</v>
      </c>
      <c r="G136" s="436">
        <v>7.1000000000000004E-3</v>
      </c>
      <c r="H136" s="461">
        <v>2.0960273043430001E-2</v>
      </c>
      <c r="I136" s="462">
        <v>-0.33689686759559401</v>
      </c>
      <c r="J136" s="462">
        <v>2.7066087089351799E-2</v>
      </c>
      <c r="K136" s="462">
        <v>-6.0146235650011301E-2</v>
      </c>
      <c r="L136" s="463">
        <v>-1.0675455379070199E-2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</row>
    <row r="137" spans="1:78">
      <c r="A137" s="435" t="s">
        <v>104</v>
      </c>
      <c r="B137" s="436">
        <v>5.6010999999999997</v>
      </c>
      <c r="C137" s="436">
        <v>5.9565999999999999</v>
      </c>
      <c r="D137" s="436">
        <v>5.4618000000000002</v>
      </c>
      <c r="E137" s="436">
        <v>5.4223999999999997</v>
      </c>
      <c r="F137" s="436">
        <v>5.4825999999999997</v>
      </c>
      <c r="G137" s="436">
        <v>5.2826000000000004</v>
      </c>
      <c r="H137" s="461">
        <v>4.1108826907092499E-3</v>
      </c>
      <c r="I137" s="462">
        <v>-1.7194742215482599E-2</v>
      </c>
      <c r="J137" s="462">
        <v>-1.44692896472554E-3</v>
      </c>
      <c r="K137" s="462">
        <v>2.21062365883862E-3</v>
      </c>
      <c r="L137" s="463">
        <v>-1.85632690187798E-3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</row>
    <row r="138" spans="1:78">
      <c r="A138" s="435" t="s">
        <v>105</v>
      </c>
      <c r="B138" s="436">
        <v>1.752</v>
      </c>
      <c r="C138" s="436">
        <v>1.3252999999999999</v>
      </c>
      <c r="D138" s="436">
        <v>1.4417</v>
      </c>
      <c r="E138" s="436">
        <v>1.4137999999999999</v>
      </c>
      <c r="F138" s="436">
        <v>1.3756999999999999</v>
      </c>
      <c r="G138" s="436">
        <v>1.2588999999999999</v>
      </c>
      <c r="H138" s="461">
        <v>-1.8435884011240002E-2</v>
      </c>
      <c r="I138" s="462">
        <v>1.69793629604462E-2</v>
      </c>
      <c r="J138" s="462">
        <v>-3.9007438724438801E-3</v>
      </c>
      <c r="K138" s="462">
        <v>-5.4487856764971997E-3</v>
      </c>
      <c r="L138" s="463">
        <v>-4.4263929524347399E-3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</row>
    <row r="139" spans="1:78">
      <c r="A139" s="435" t="s">
        <v>134</v>
      </c>
      <c r="B139" s="436">
        <v>6.2961</v>
      </c>
      <c r="C139" s="436">
        <v>6.7679</v>
      </c>
      <c r="D139" s="436">
        <v>7.2196999999999996</v>
      </c>
      <c r="E139" s="436">
        <v>7.2439</v>
      </c>
      <c r="F139" s="436">
        <v>7.2420000000000098</v>
      </c>
      <c r="G139" s="436">
        <v>6.9114000000000004</v>
      </c>
      <c r="H139" s="461">
        <v>4.8289856636014603E-3</v>
      </c>
      <c r="I139" s="462">
        <v>1.30083932829694E-2</v>
      </c>
      <c r="J139" s="462">
        <v>6.6949092969248501E-4</v>
      </c>
      <c r="K139" s="462">
        <v>-5.2463434655591903E-5</v>
      </c>
      <c r="L139" s="463">
        <v>-2.3335325281442802E-3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</row>
    <row r="140" spans="1:78">
      <c r="A140" s="435" t="s">
        <v>135</v>
      </c>
      <c r="B140" s="436">
        <v>2.0799999999999999E-2</v>
      </c>
      <c r="C140" s="436">
        <v>8.5300000000000001E-2</v>
      </c>
      <c r="D140" s="436">
        <v>0.1007</v>
      </c>
      <c r="E140" s="436">
        <v>0.1164</v>
      </c>
      <c r="F140" s="436">
        <v>0.1183</v>
      </c>
      <c r="G140" s="436">
        <v>0.12470000000000001</v>
      </c>
      <c r="H140" s="461"/>
      <c r="I140" s="462"/>
      <c r="J140" s="462"/>
      <c r="K140" s="462"/>
      <c r="L140" s="463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</row>
    <row r="141" spans="1:78">
      <c r="A141" s="435" t="s">
        <v>136</v>
      </c>
      <c r="B141" s="436">
        <v>0</v>
      </c>
      <c r="C141" s="436">
        <v>0.420688103993204</v>
      </c>
      <c r="D141" s="436">
        <v>0.65528600572635798</v>
      </c>
      <c r="E141" s="436">
        <v>0.85316975623719604</v>
      </c>
      <c r="F141" s="436">
        <v>1.0269460024889701</v>
      </c>
      <c r="G141" s="436">
        <v>1.45611201019554</v>
      </c>
      <c r="H141" s="461"/>
      <c r="I141" s="462"/>
      <c r="J141" s="462"/>
      <c r="K141" s="462"/>
      <c r="L141" s="463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</row>
    <row r="142" spans="1:78">
      <c r="A142" s="435"/>
      <c r="B142" s="436"/>
      <c r="C142" s="436"/>
      <c r="D142" s="436"/>
      <c r="E142" s="436"/>
      <c r="F142" s="436"/>
      <c r="G142" s="491"/>
      <c r="H142" s="461"/>
      <c r="I142" s="462"/>
      <c r="J142" s="462"/>
      <c r="K142" s="462"/>
      <c r="L142" s="463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</row>
    <row r="143" spans="1:78" ht="15" thickBot="1">
      <c r="A143" s="489" t="s">
        <v>10</v>
      </c>
      <c r="B143" s="490">
        <v>37.811500000000002</v>
      </c>
      <c r="C143" s="490">
        <v>35.4084881039932</v>
      </c>
      <c r="D143" s="490">
        <v>32.106086005726397</v>
      </c>
      <c r="E143" s="490">
        <v>30.662469756237201</v>
      </c>
      <c r="F143" s="490">
        <v>29.583046002488999</v>
      </c>
      <c r="G143" s="490">
        <v>27.299912010195499</v>
      </c>
      <c r="H143" s="466">
        <v>-4.3678809933656E-3</v>
      </c>
      <c r="I143" s="467">
        <v>-1.9390725865499302E-2</v>
      </c>
      <c r="J143" s="467">
        <v>-9.1590349797487907E-3</v>
      </c>
      <c r="K143" s="467">
        <v>-7.1419732611346402E-3</v>
      </c>
      <c r="L143" s="468">
        <v>-4.0078444641916703E-3</v>
      </c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</row>
    <row r="144" spans="1:78">
      <c r="A144" s="256"/>
      <c r="B144" s="427"/>
      <c r="C144" s="427"/>
      <c r="D144" s="427"/>
      <c r="E144" s="427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</row>
    <row r="145" spans="1:78">
      <c r="A145" s="256"/>
      <c r="B145" s="427"/>
      <c r="C145" s="427"/>
      <c r="D145" s="427"/>
      <c r="E145" s="427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</row>
    <row r="146" spans="1:78" ht="16" thickBot="1">
      <c r="A146" s="428" t="s">
        <v>145</v>
      </c>
      <c r="B146" s="430"/>
      <c r="C146" s="430"/>
      <c r="D146" s="430"/>
      <c r="E146" s="430"/>
      <c r="F146" s="430"/>
      <c r="G146" s="430"/>
      <c r="H146" s="430"/>
      <c r="I146" s="430"/>
      <c r="J146" s="430"/>
      <c r="K146" s="430"/>
      <c r="L146" s="43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</row>
    <row r="147" spans="1:78" ht="15" thickBot="1">
      <c r="A147" s="431" t="s">
        <v>51</v>
      </c>
      <c r="B147" s="432">
        <v>2000</v>
      </c>
      <c r="C147" s="432">
        <v>2015</v>
      </c>
      <c r="D147" s="432">
        <v>2020</v>
      </c>
      <c r="E147" s="432">
        <v>2025</v>
      </c>
      <c r="F147" s="432">
        <v>2030</v>
      </c>
      <c r="G147" s="432">
        <v>2050</v>
      </c>
      <c r="H147" s="452" t="s">
        <v>98</v>
      </c>
      <c r="I147" s="453" t="s">
        <v>99</v>
      </c>
      <c r="J147" s="453" t="s">
        <v>100</v>
      </c>
      <c r="K147" s="453" t="s">
        <v>101</v>
      </c>
      <c r="L147" s="454" t="s">
        <v>384</v>
      </c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</row>
    <row r="148" spans="1:78">
      <c r="A148" s="435" t="s">
        <v>103</v>
      </c>
      <c r="B148" s="455">
        <v>7.42</v>
      </c>
      <c r="C148" s="455">
        <v>5.2900999999999998</v>
      </c>
      <c r="D148" s="455">
        <v>4.2248000000000001</v>
      </c>
      <c r="E148" s="455">
        <v>3.6564000000000001</v>
      </c>
      <c r="F148" s="455">
        <v>3.2021000000000002</v>
      </c>
      <c r="G148" s="455">
        <v>2.3736000000000002</v>
      </c>
      <c r="H148" s="456">
        <v>-2.2303639699071901E-2</v>
      </c>
      <c r="I148" s="457">
        <v>-4.3976749265529899E-2</v>
      </c>
      <c r="J148" s="457">
        <v>-2.8485002797911701E-2</v>
      </c>
      <c r="K148" s="457">
        <v>-2.61854972954489E-2</v>
      </c>
      <c r="L148" s="458">
        <v>-1.4858460026491599E-2</v>
      </c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</row>
    <row r="149" spans="1:78">
      <c r="A149" s="435" t="s">
        <v>54</v>
      </c>
      <c r="B149" s="455">
        <v>12.598000000000001</v>
      </c>
      <c r="C149" s="455">
        <v>11.803000000000001</v>
      </c>
      <c r="D149" s="455">
        <v>9.6600999999999999</v>
      </c>
      <c r="E149" s="455">
        <v>8.9097000000000008</v>
      </c>
      <c r="F149" s="455">
        <v>8.3757000000000001</v>
      </c>
      <c r="G149" s="455">
        <v>7.4927999999999999</v>
      </c>
      <c r="H149" s="461">
        <v>-4.3361937627828303E-3</v>
      </c>
      <c r="I149" s="462">
        <v>-3.9277763087819002E-2</v>
      </c>
      <c r="J149" s="462">
        <v>-1.6042610135881E-2</v>
      </c>
      <c r="K149" s="462">
        <v>-1.22850973186632E-2</v>
      </c>
      <c r="L149" s="463">
        <v>-5.5541233492533201E-3</v>
      </c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</row>
    <row r="150" spans="1:78">
      <c r="A150" s="435" t="s">
        <v>42</v>
      </c>
      <c r="B150" s="455">
        <v>0.06</v>
      </c>
      <c r="C150" s="455">
        <v>8.1900000000000001E-2</v>
      </c>
      <c r="D150" s="455">
        <v>1.0500000000000001E-2</v>
      </c>
      <c r="E150" s="455">
        <v>1.2E-2</v>
      </c>
      <c r="F150" s="455">
        <v>8.8000000000000005E-3</v>
      </c>
      <c r="G150" s="455">
        <v>7.1000000000000004E-3</v>
      </c>
      <c r="H150" s="461">
        <v>2.0960273043430001E-2</v>
      </c>
      <c r="I150" s="462">
        <v>-0.33689686759559401</v>
      </c>
      <c r="J150" s="462">
        <v>2.7066087089351799E-2</v>
      </c>
      <c r="K150" s="462">
        <v>-6.0146235650011301E-2</v>
      </c>
      <c r="L150" s="463">
        <v>-1.0675455379070199E-2</v>
      </c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</row>
    <row r="151" spans="1:78">
      <c r="A151" s="435" t="s">
        <v>104</v>
      </c>
      <c r="B151" s="455">
        <v>3.2040000000000002</v>
      </c>
      <c r="C151" s="455">
        <v>2.6758000000000002</v>
      </c>
      <c r="D151" s="455">
        <v>2.1305000000000001</v>
      </c>
      <c r="E151" s="455">
        <v>1.9403999999999999</v>
      </c>
      <c r="F151" s="455">
        <v>1.8198000000000001</v>
      </c>
      <c r="G151" s="455">
        <v>1.5403</v>
      </c>
      <c r="H151" s="461">
        <v>-1.1938275053230101E-2</v>
      </c>
      <c r="I151" s="462">
        <v>-4.4555251258347403E-2</v>
      </c>
      <c r="J151" s="462">
        <v>-1.85188898144911E-2</v>
      </c>
      <c r="K151" s="462">
        <v>-1.27515081953163E-2</v>
      </c>
      <c r="L151" s="463">
        <v>-8.3028098039769106E-3</v>
      </c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</row>
    <row r="152" spans="1:78">
      <c r="A152" s="435" t="s">
        <v>105</v>
      </c>
      <c r="B152" s="455">
        <v>1.4530000000000001</v>
      </c>
      <c r="C152" s="455">
        <v>1.0764</v>
      </c>
      <c r="D152" s="455">
        <v>1.1569</v>
      </c>
      <c r="E152" s="455">
        <v>1.1224000000000001</v>
      </c>
      <c r="F152" s="455">
        <v>1.0828</v>
      </c>
      <c r="G152" s="455">
        <v>0.96579999999999999</v>
      </c>
      <c r="H152" s="461">
        <v>-1.9801865457175799E-2</v>
      </c>
      <c r="I152" s="462">
        <v>1.45289081355604E-2</v>
      </c>
      <c r="J152" s="462">
        <v>-6.0366585646151102E-3</v>
      </c>
      <c r="K152" s="462">
        <v>-7.1580524380782098E-3</v>
      </c>
      <c r="L152" s="463">
        <v>-5.7011257646408797E-3</v>
      </c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</row>
    <row r="153" spans="1:78">
      <c r="A153" s="435" t="s">
        <v>134</v>
      </c>
      <c r="B153" s="455">
        <v>6.1870000000000003</v>
      </c>
      <c r="C153" s="455">
        <v>6.6993999999999998</v>
      </c>
      <c r="D153" s="455">
        <v>7.1783999999999999</v>
      </c>
      <c r="E153" s="455">
        <v>7.2217000000000002</v>
      </c>
      <c r="F153" s="455">
        <v>7.2374000000000001</v>
      </c>
      <c r="G153" s="455">
        <v>6.9071999999999996</v>
      </c>
      <c r="H153" s="461">
        <v>5.3186040636485901E-3</v>
      </c>
      <c r="I153" s="462">
        <v>1.3907531676985699E-2</v>
      </c>
      <c r="J153" s="462">
        <v>1.20349667180797E-3</v>
      </c>
      <c r="K153" s="462">
        <v>4.3442305940599702E-4</v>
      </c>
      <c r="L153" s="463">
        <v>-2.3321602815591399E-3</v>
      </c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</row>
    <row r="154" spans="1:78">
      <c r="A154" s="435" t="s">
        <v>136</v>
      </c>
      <c r="B154" s="455">
        <v>0</v>
      </c>
      <c r="C154" s="455">
        <v>0.39732030967656001</v>
      </c>
      <c r="D154" s="455">
        <v>0.55132859667578105</v>
      </c>
      <c r="E154" s="455">
        <v>0.67354164624156099</v>
      </c>
      <c r="F154" s="455">
        <v>0.77448297998092896</v>
      </c>
      <c r="G154" s="455">
        <v>0.92065433093745397</v>
      </c>
      <c r="H154" s="461"/>
      <c r="I154" s="462"/>
      <c r="J154" s="462"/>
      <c r="K154" s="462"/>
      <c r="L154" s="463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</row>
    <row r="155" spans="1:78">
      <c r="A155" s="435"/>
      <c r="B155" s="436"/>
      <c r="C155" s="436"/>
      <c r="D155" s="436"/>
      <c r="E155" s="436"/>
      <c r="F155" s="436"/>
      <c r="G155" s="491"/>
      <c r="H155" s="461"/>
      <c r="I155" s="462"/>
      <c r="J155" s="462"/>
      <c r="K155" s="462"/>
      <c r="L155" s="463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</row>
    <row r="156" spans="1:78" ht="15" thickBot="1">
      <c r="A156" s="489" t="s">
        <v>10</v>
      </c>
      <c r="B156" s="490">
        <v>30.922000000000001</v>
      </c>
      <c r="C156" s="490">
        <v>28.023920309676601</v>
      </c>
      <c r="D156" s="490">
        <v>24.912528596675799</v>
      </c>
      <c r="E156" s="490">
        <v>23.5361416462416</v>
      </c>
      <c r="F156" s="490">
        <v>22.5010829799809</v>
      </c>
      <c r="G156" s="490">
        <v>20.207454330937399</v>
      </c>
      <c r="H156" s="466">
        <v>-6.5391568771049303E-3</v>
      </c>
      <c r="I156" s="467">
        <v>-2.32626749266578E-2</v>
      </c>
      <c r="J156" s="467">
        <v>-1.1302373056406001E-2</v>
      </c>
      <c r="K156" s="467">
        <v>-8.9544165915632599E-3</v>
      </c>
      <c r="L156" s="468">
        <v>-5.3611712440481104E-3</v>
      </c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</row>
    <row r="157" spans="1:78">
      <c r="A157" s="449"/>
      <c r="B157" s="427"/>
      <c r="C157" s="256"/>
      <c r="D157" s="427"/>
      <c r="E157" s="427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</row>
    <row r="158" spans="1:78">
      <c r="A158" s="449"/>
      <c r="B158" s="427"/>
      <c r="C158" s="427"/>
      <c r="D158" s="427"/>
      <c r="E158" s="427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</row>
    <row r="159" spans="1:78" ht="16" thickBot="1">
      <c r="A159" s="428" t="s">
        <v>146</v>
      </c>
      <c r="B159" s="430"/>
      <c r="C159" s="430"/>
      <c r="D159" s="430"/>
      <c r="E159" s="430"/>
      <c r="F159" s="430"/>
      <c r="G159" s="430"/>
      <c r="H159" s="430"/>
      <c r="I159" s="430"/>
      <c r="J159" s="430"/>
      <c r="K159" s="430"/>
      <c r="L159" s="430"/>
      <c r="M159" s="256"/>
      <c r="N159" s="256"/>
      <c r="O159" s="256"/>
      <c r="P159" s="256"/>
      <c r="Q159" s="256"/>
      <c r="R159" s="256"/>
      <c r="S159" s="256"/>
      <c r="T159" s="256"/>
      <c r="U159" s="256"/>
      <c r="V159" s="256"/>
      <c r="W159" s="256"/>
      <c r="X159" s="256"/>
      <c r="Y159" s="256"/>
      <c r="Z159" s="256"/>
      <c r="AA159" s="256"/>
      <c r="AB159" s="256"/>
      <c r="AC159" s="256"/>
      <c r="AD159" s="256"/>
      <c r="AE159" s="256"/>
      <c r="AF159" s="256"/>
      <c r="AG159" s="256"/>
      <c r="AH159" s="256"/>
      <c r="AI159" s="256"/>
      <c r="AJ159" s="256"/>
      <c r="AK159" s="256"/>
      <c r="AL159" s="256"/>
      <c r="AM159" s="256"/>
      <c r="AN159" s="256"/>
      <c r="AO159" s="256"/>
      <c r="AP159" s="256"/>
      <c r="AQ159" s="256"/>
      <c r="AR159" s="256"/>
      <c r="AS159" s="256"/>
      <c r="AT159" s="256"/>
      <c r="AU159" s="256"/>
      <c r="AV159" s="256"/>
      <c r="AW159" s="256"/>
      <c r="AX159" s="256"/>
      <c r="AY159" s="256"/>
      <c r="AZ159" s="256"/>
      <c r="BA159" s="256"/>
      <c r="BB159" s="256"/>
      <c r="BC159" s="256"/>
      <c r="BD159" s="256"/>
      <c r="BE159" s="256"/>
      <c r="BF159" s="256"/>
      <c r="BG159" s="256"/>
      <c r="BH159" s="256"/>
      <c r="BI159" s="256"/>
      <c r="BJ159" s="256"/>
      <c r="BK159" s="256"/>
      <c r="BL159" s="256"/>
      <c r="BM159" s="256"/>
      <c r="BN159" s="256"/>
      <c r="BO159" s="256"/>
      <c r="BP159" s="256"/>
      <c r="BQ159" s="256"/>
      <c r="BR159" s="256"/>
      <c r="BS159" s="256"/>
      <c r="BT159" s="256"/>
      <c r="BU159" s="256"/>
      <c r="BV159" s="256"/>
      <c r="BW159" s="256"/>
      <c r="BX159" s="256"/>
      <c r="BY159" s="256"/>
      <c r="BZ159" s="256"/>
    </row>
    <row r="160" spans="1:78" ht="15" thickBot="1">
      <c r="A160" s="492" t="s">
        <v>51</v>
      </c>
      <c r="B160" s="432">
        <v>2000</v>
      </c>
      <c r="C160" s="432">
        <v>2015</v>
      </c>
      <c r="D160" s="432">
        <v>2020</v>
      </c>
      <c r="E160" s="432">
        <v>2025</v>
      </c>
      <c r="F160" s="432">
        <v>2030</v>
      </c>
      <c r="G160" s="432">
        <v>2050</v>
      </c>
      <c r="H160" s="452" t="s">
        <v>98</v>
      </c>
      <c r="I160" s="453" t="s">
        <v>99</v>
      </c>
      <c r="J160" s="453" t="s">
        <v>100</v>
      </c>
      <c r="K160" s="453" t="s">
        <v>101</v>
      </c>
      <c r="L160" s="454" t="s">
        <v>384</v>
      </c>
      <c r="M160" s="256"/>
      <c r="N160" s="256"/>
      <c r="O160" s="256"/>
      <c r="P160" s="256"/>
      <c r="Q160" s="256"/>
      <c r="R160" s="256"/>
      <c r="S160" s="256"/>
      <c r="T160" s="256"/>
      <c r="U160" s="256"/>
      <c r="V160" s="256"/>
      <c r="W160" s="256"/>
      <c r="X160" s="256"/>
      <c r="Y160" s="256"/>
      <c r="Z160" s="256"/>
      <c r="AA160" s="256"/>
      <c r="AB160" s="256"/>
      <c r="AC160" s="256"/>
      <c r="AD160" s="256"/>
      <c r="AE160" s="256"/>
      <c r="AF160" s="256"/>
      <c r="AG160" s="256"/>
      <c r="AH160" s="256"/>
      <c r="AI160" s="256"/>
      <c r="AJ160" s="256"/>
      <c r="AK160" s="256"/>
      <c r="AL160" s="256"/>
      <c r="AM160" s="256"/>
      <c r="AN160" s="256"/>
      <c r="AO160" s="256"/>
      <c r="AP160" s="256"/>
      <c r="AQ160" s="256"/>
      <c r="AR160" s="256"/>
      <c r="AS160" s="256"/>
      <c r="AT160" s="256"/>
      <c r="AU160" s="256"/>
      <c r="AV160" s="256"/>
      <c r="AW160" s="256"/>
      <c r="AX160" s="256"/>
      <c r="AY160" s="256"/>
      <c r="AZ160" s="256"/>
      <c r="BA160" s="256"/>
      <c r="BB160" s="256"/>
      <c r="BC160" s="256"/>
      <c r="BD160" s="256"/>
      <c r="BE160" s="256"/>
      <c r="BF160" s="256"/>
      <c r="BG160" s="256"/>
      <c r="BH160" s="256"/>
      <c r="BI160" s="256"/>
      <c r="BJ160" s="256"/>
      <c r="BK160" s="256"/>
      <c r="BL160" s="256"/>
      <c r="BM160" s="256"/>
      <c r="BN160" s="256"/>
      <c r="BO160" s="256"/>
      <c r="BP160" s="256"/>
      <c r="BQ160" s="256"/>
      <c r="BR160" s="256"/>
      <c r="BS160" s="256"/>
      <c r="BT160" s="256"/>
      <c r="BU160" s="256"/>
      <c r="BV160" s="256"/>
      <c r="BW160" s="256"/>
      <c r="BX160" s="256"/>
      <c r="BY160" s="256"/>
      <c r="BZ160" s="256"/>
    </row>
    <row r="161" spans="1:78">
      <c r="A161" s="435" t="s">
        <v>103</v>
      </c>
      <c r="B161" s="455">
        <v>0.97709999999999997</v>
      </c>
      <c r="C161" s="455">
        <v>0.61350000000000005</v>
      </c>
      <c r="D161" s="455">
        <v>0.37669999999999998</v>
      </c>
      <c r="E161" s="455">
        <v>0.2039</v>
      </c>
      <c r="F161" s="455">
        <v>4.2200000000000001E-2</v>
      </c>
      <c r="G161" s="455">
        <v>3.9600000000000003E-2</v>
      </c>
      <c r="H161" s="456">
        <v>-3.0550843920237099E-2</v>
      </c>
      <c r="I161" s="457">
        <v>-9.2939592716890201E-2</v>
      </c>
      <c r="J161" s="457">
        <v>-0.115527527017108</v>
      </c>
      <c r="K161" s="457">
        <v>-0.27024169690088501</v>
      </c>
      <c r="L161" s="458">
        <v>-3.1745057067026298E-3</v>
      </c>
      <c r="M161" s="256"/>
      <c r="N161" s="493"/>
      <c r="O161" s="493"/>
      <c r="P161" s="493"/>
      <c r="Q161" s="493"/>
      <c r="R161" s="493"/>
      <c r="S161" s="256"/>
      <c r="T161" s="256"/>
      <c r="U161" s="256"/>
      <c r="V161" s="256"/>
      <c r="W161" s="256"/>
      <c r="X161" s="256"/>
      <c r="Y161" s="256"/>
      <c r="Z161" s="256"/>
      <c r="AA161" s="256"/>
      <c r="AB161" s="256"/>
      <c r="AC161" s="256"/>
      <c r="AD161" s="256"/>
      <c r="AE161" s="256"/>
      <c r="AF161" s="256"/>
      <c r="AG161" s="256"/>
      <c r="AH161" s="256"/>
      <c r="AI161" s="256"/>
      <c r="AJ161" s="256"/>
      <c r="AK161" s="256"/>
      <c r="AL161" s="256"/>
      <c r="AM161" s="256"/>
      <c r="AN161" s="256"/>
      <c r="AO161" s="256"/>
      <c r="AP161" s="256"/>
      <c r="AQ161" s="256"/>
      <c r="AR161" s="256"/>
      <c r="AS161" s="256"/>
      <c r="AT161" s="256"/>
      <c r="AU161" s="256"/>
      <c r="AV161" s="256"/>
      <c r="AW161" s="256"/>
      <c r="AX161" s="256"/>
      <c r="AY161" s="256"/>
      <c r="AZ161" s="256"/>
      <c r="BA161" s="256"/>
      <c r="BB161" s="256"/>
      <c r="BC161" s="256"/>
      <c r="BD161" s="256"/>
      <c r="BE161" s="256"/>
      <c r="BF161" s="256"/>
      <c r="BG161" s="256"/>
      <c r="BH161" s="256"/>
      <c r="BI161" s="256"/>
      <c r="BJ161" s="256"/>
      <c r="BK161" s="256"/>
      <c r="BL161" s="256"/>
      <c r="BM161" s="256"/>
      <c r="BN161" s="256"/>
      <c r="BO161" s="256"/>
      <c r="BP161" s="256"/>
      <c r="BQ161" s="256"/>
      <c r="BR161" s="256"/>
      <c r="BS161" s="256"/>
      <c r="BT161" s="256"/>
      <c r="BU161" s="256"/>
      <c r="BV161" s="256"/>
      <c r="BW161" s="256"/>
      <c r="BX161" s="256"/>
      <c r="BY161" s="256"/>
      <c r="BZ161" s="256"/>
    </row>
    <row r="162" spans="1:78">
      <c r="A162" s="435" t="s">
        <v>54</v>
      </c>
      <c r="B162" s="455">
        <v>1.4520999999999999</v>
      </c>
      <c r="C162" s="455">
        <v>1.4991000000000001</v>
      </c>
      <c r="D162" s="455">
        <v>1.5206</v>
      </c>
      <c r="E162" s="455">
        <v>1.5376000000000001</v>
      </c>
      <c r="F162" s="455">
        <v>1.5640000000000001</v>
      </c>
      <c r="G162" s="455">
        <v>1.3273999999999999</v>
      </c>
      <c r="H162" s="461">
        <v>2.1258660212259998E-3</v>
      </c>
      <c r="I162" s="462">
        <v>2.8520725975464999E-3</v>
      </c>
      <c r="J162" s="462">
        <v>2.2260270117944198E-3</v>
      </c>
      <c r="K162" s="462">
        <v>3.41057941353551E-3</v>
      </c>
      <c r="L162" s="463">
        <v>-8.1676867214299804E-3</v>
      </c>
      <c r="M162" s="256"/>
      <c r="N162" s="493"/>
      <c r="O162" s="493"/>
      <c r="P162" s="493"/>
      <c r="Q162" s="493"/>
      <c r="R162" s="493"/>
      <c r="S162" s="256"/>
      <c r="T162" s="256"/>
      <c r="U162" s="256"/>
      <c r="V162" s="256"/>
      <c r="W162" s="256"/>
      <c r="X162" s="256"/>
      <c r="Y162" s="256"/>
      <c r="Z162" s="256"/>
      <c r="AA162" s="256"/>
      <c r="AB162" s="256"/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6"/>
      <c r="AP162" s="256"/>
      <c r="AQ162" s="256"/>
      <c r="AR162" s="256"/>
      <c r="AS162" s="256"/>
      <c r="AT162" s="256"/>
      <c r="AU162" s="256"/>
      <c r="AV162" s="256"/>
      <c r="AW162" s="256"/>
      <c r="AX162" s="256"/>
      <c r="AY162" s="256"/>
      <c r="AZ162" s="256"/>
      <c r="BA162" s="256"/>
      <c r="BB162" s="256"/>
      <c r="BC162" s="256"/>
      <c r="BD162" s="256"/>
      <c r="BE162" s="256"/>
      <c r="BF162" s="256"/>
      <c r="BG162" s="256"/>
      <c r="BH162" s="256"/>
      <c r="BI162" s="256"/>
      <c r="BJ162" s="256"/>
      <c r="BK162" s="256"/>
      <c r="BL162" s="256"/>
      <c r="BM162" s="256"/>
      <c r="BN162" s="256"/>
      <c r="BO162" s="256"/>
      <c r="BP162" s="256"/>
      <c r="BQ162" s="256"/>
      <c r="BR162" s="256"/>
      <c r="BS162" s="256"/>
      <c r="BT162" s="256"/>
      <c r="BU162" s="256"/>
      <c r="BV162" s="256"/>
      <c r="BW162" s="256"/>
      <c r="BX162" s="256"/>
      <c r="BY162" s="256"/>
      <c r="BZ162" s="256"/>
    </row>
    <row r="163" spans="1:78">
      <c r="A163" s="435" t="s">
        <v>42</v>
      </c>
      <c r="B163" s="455">
        <v>0</v>
      </c>
      <c r="C163" s="455">
        <v>0</v>
      </c>
      <c r="D163" s="455">
        <v>0</v>
      </c>
      <c r="E163" s="455">
        <v>0</v>
      </c>
      <c r="F163" s="455">
        <v>0</v>
      </c>
      <c r="G163" s="455">
        <v>0</v>
      </c>
      <c r="H163" s="461" t="e">
        <f>#DIV/0!</f>
        <v>#DIV/0!</v>
      </c>
      <c r="I163" s="462" t="e">
        <f>#DIV/0!</f>
        <v>#DIV/0!</v>
      </c>
      <c r="J163" s="462" t="e">
        <f>#DIV/0!</f>
        <v>#DIV/0!</v>
      </c>
      <c r="K163" s="462" t="e">
        <f>#DIV/0!</f>
        <v>#DIV/0!</v>
      </c>
      <c r="L163" s="463" t="e">
        <f>#DIV/0!</f>
        <v>#DIV/0!</v>
      </c>
      <c r="M163" s="256"/>
      <c r="N163" s="493"/>
      <c r="O163" s="493"/>
      <c r="P163" s="493"/>
      <c r="Q163" s="493"/>
      <c r="R163" s="493"/>
      <c r="S163" s="256"/>
      <c r="T163" s="256"/>
      <c r="U163" s="256"/>
      <c r="V163" s="256"/>
      <c r="W163" s="256"/>
      <c r="X163" s="256"/>
      <c r="Y163" s="256"/>
      <c r="Z163" s="256"/>
      <c r="AA163" s="256"/>
      <c r="AB163" s="256"/>
      <c r="AC163" s="256"/>
      <c r="AD163" s="256"/>
      <c r="AE163" s="256"/>
      <c r="AF163" s="256"/>
      <c r="AG163" s="256"/>
      <c r="AH163" s="256"/>
      <c r="AI163" s="256"/>
      <c r="AJ163" s="256"/>
      <c r="AK163" s="256"/>
      <c r="AL163" s="256"/>
      <c r="AM163" s="256"/>
      <c r="AN163" s="256"/>
      <c r="AO163" s="256"/>
      <c r="AP163" s="256"/>
      <c r="AQ163" s="256"/>
      <c r="AR163" s="256"/>
      <c r="AS163" s="256"/>
      <c r="AT163" s="256"/>
      <c r="AU163" s="256"/>
      <c r="AV163" s="256"/>
      <c r="AW163" s="256"/>
      <c r="AX163" s="256"/>
      <c r="AY163" s="256"/>
      <c r="AZ163" s="256"/>
      <c r="BA163" s="256"/>
      <c r="BB163" s="256"/>
      <c r="BC163" s="256"/>
      <c r="BD163" s="256"/>
      <c r="BE163" s="256"/>
      <c r="BF163" s="256"/>
      <c r="BG163" s="256"/>
      <c r="BH163" s="256"/>
      <c r="BI163" s="256"/>
      <c r="BJ163" s="256"/>
      <c r="BK163" s="256"/>
      <c r="BL163" s="256"/>
      <c r="BM163" s="256"/>
      <c r="BN163" s="256"/>
      <c r="BO163" s="256"/>
      <c r="BP163" s="256"/>
      <c r="BQ163" s="256"/>
      <c r="BR163" s="256"/>
      <c r="BS163" s="256"/>
      <c r="BT163" s="256"/>
      <c r="BU163" s="256"/>
      <c r="BV163" s="256"/>
      <c r="BW163" s="256"/>
      <c r="BX163" s="256"/>
      <c r="BY163" s="256"/>
      <c r="BZ163" s="256"/>
    </row>
    <row r="164" spans="1:78">
      <c r="A164" s="435" t="s">
        <v>104</v>
      </c>
      <c r="B164" s="455">
        <v>1.5710999999999999</v>
      </c>
      <c r="C164" s="455">
        <v>2.1585999999999999</v>
      </c>
      <c r="D164" s="455">
        <v>2.02</v>
      </c>
      <c r="E164" s="455">
        <v>1.9784999999999999</v>
      </c>
      <c r="F164" s="455">
        <v>1.9629000000000001</v>
      </c>
      <c r="G164" s="455">
        <v>1.7719</v>
      </c>
      <c r="H164" s="461">
        <v>2.1404788604523901E-2</v>
      </c>
      <c r="I164" s="462">
        <v>-1.31847795507305E-2</v>
      </c>
      <c r="J164" s="462">
        <v>-4.1430994975125701E-3</v>
      </c>
      <c r="K164" s="462">
        <v>-1.58194945308821E-3</v>
      </c>
      <c r="L164" s="463">
        <v>-5.1054503777423496E-3</v>
      </c>
      <c r="M164" s="256"/>
      <c r="N164" s="493"/>
      <c r="O164" s="493"/>
      <c r="P164" s="493"/>
      <c r="Q164" s="493"/>
      <c r="R164" s="493"/>
      <c r="S164" s="256"/>
      <c r="T164" s="256"/>
      <c r="U164" s="256"/>
      <c r="V164" s="256"/>
      <c r="W164" s="256"/>
      <c r="X164" s="256"/>
      <c r="Y164" s="256"/>
      <c r="Z164" s="256"/>
      <c r="AA164" s="256"/>
      <c r="AB164" s="256"/>
      <c r="AC164" s="256"/>
      <c r="AD164" s="256"/>
      <c r="AE164" s="256"/>
      <c r="AF164" s="256"/>
      <c r="AG164" s="256"/>
      <c r="AH164" s="256"/>
      <c r="AI164" s="256"/>
      <c r="AJ164" s="256"/>
      <c r="AK164" s="256"/>
      <c r="AL164" s="256"/>
      <c r="AM164" s="256"/>
      <c r="AN164" s="256"/>
      <c r="AO164" s="256"/>
      <c r="AP164" s="256"/>
      <c r="AQ164" s="256"/>
      <c r="AR164" s="256"/>
      <c r="AS164" s="256"/>
      <c r="AT164" s="256"/>
      <c r="AU164" s="256"/>
      <c r="AV164" s="256"/>
      <c r="AW164" s="256"/>
      <c r="AX164" s="256"/>
      <c r="AY164" s="256"/>
      <c r="AZ164" s="256"/>
      <c r="BA164" s="256"/>
      <c r="BB164" s="256"/>
      <c r="BC164" s="256"/>
      <c r="BD164" s="256"/>
      <c r="BE164" s="256"/>
      <c r="BF164" s="256"/>
      <c r="BG164" s="256"/>
      <c r="BH164" s="256"/>
      <c r="BI164" s="256"/>
      <c r="BJ164" s="256"/>
      <c r="BK164" s="256"/>
      <c r="BL164" s="256"/>
      <c r="BM164" s="256"/>
      <c r="BN164" s="256"/>
      <c r="BO164" s="256"/>
      <c r="BP164" s="256"/>
      <c r="BQ164" s="256"/>
      <c r="BR164" s="256"/>
      <c r="BS164" s="256"/>
      <c r="BT164" s="256"/>
      <c r="BU164" s="256"/>
      <c r="BV164" s="256"/>
      <c r="BW164" s="256"/>
      <c r="BX164" s="256"/>
      <c r="BY164" s="256"/>
      <c r="BZ164" s="256"/>
    </row>
    <row r="165" spans="1:78">
      <c r="A165" s="435" t="s">
        <v>105</v>
      </c>
      <c r="B165" s="455">
        <v>0.29899999999999999</v>
      </c>
      <c r="C165" s="455">
        <v>0.24890000000000001</v>
      </c>
      <c r="D165" s="455">
        <v>0.2848</v>
      </c>
      <c r="E165" s="455">
        <v>0.2913</v>
      </c>
      <c r="F165" s="455">
        <v>0.29289999999999999</v>
      </c>
      <c r="G165" s="455">
        <v>0.29310000000000003</v>
      </c>
      <c r="H165" s="461">
        <v>-1.2151721799731299E-2</v>
      </c>
      <c r="I165" s="462">
        <v>2.7313553045417601E-2</v>
      </c>
      <c r="J165" s="462">
        <v>4.5234971497356601E-3</v>
      </c>
      <c r="K165" s="462">
        <v>1.0961182726678699E-3</v>
      </c>
      <c r="L165" s="463">
        <v>3.4130276582500203E-5</v>
      </c>
      <c r="M165" s="256"/>
      <c r="N165" s="493"/>
      <c r="O165" s="493"/>
      <c r="P165" s="493"/>
      <c r="Q165" s="493"/>
      <c r="R165" s="493"/>
      <c r="S165" s="256"/>
      <c r="T165" s="256"/>
      <c r="U165" s="256"/>
      <c r="V165" s="256"/>
      <c r="W165" s="256"/>
      <c r="X165" s="256"/>
      <c r="Y165" s="256"/>
      <c r="Z165" s="256"/>
      <c r="AA165" s="256"/>
      <c r="AB165" s="256"/>
      <c r="AC165" s="256"/>
      <c r="AD165" s="256"/>
      <c r="AE165" s="256"/>
      <c r="AF165" s="256"/>
      <c r="AG165" s="256"/>
      <c r="AH165" s="256"/>
      <c r="AI165" s="256"/>
      <c r="AJ165" s="256"/>
      <c r="AK165" s="256"/>
      <c r="AL165" s="256"/>
      <c r="AM165" s="256"/>
      <c r="AN165" s="256"/>
      <c r="AO165" s="256"/>
      <c r="AP165" s="256"/>
      <c r="AQ165" s="256"/>
      <c r="AR165" s="256"/>
      <c r="AS165" s="256"/>
      <c r="AT165" s="256"/>
      <c r="AU165" s="256"/>
      <c r="AV165" s="256"/>
      <c r="AW165" s="256"/>
      <c r="AX165" s="256"/>
      <c r="AY165" s="256"/>
      <c r="AZ165" s="256"/>
      <c r="BA165" s="256"/>
      <c r="BB165" s="256"/>
      <c r="BC165" s="256"/>
      <c r="BD165" s="256"/>
      <c r="BE165" s="256"/>
      <c r="BF165" s="256"/>
      <c r="BG165" s="256"/>
      <c r="BH165" s="256"/>
      <c r="BI165" s="256"/>
      <c r="BJ165" s="256"/>
      <c r="BK165" s="256"/>
      <c r="BL165" s="256"/>
      <c r="BM165" s="256"/>
      <c r="BN165" s="256"/>
      <c r="BO165" s="256"/>
      <c r="BP165" s="256"/>
      <c r="BQ165" s="256"/>
      <c r="BR165" s="256"/>
      <c r="BS165" s="256"/>
      <c r="BT165" s="256"/>
      <c r="BU165" s="256"/>
      <c r="BV165" s="256"/>
      <c r="BW165" s="256"/>
      <c r="BX165" s="256"/>
      <c r="BY165" s="256"/>
      <c r="BZ165" s="256"/>
    </row>
    <row r="166" spans="1:78">
      <c r="A166" s="435" t="s">
        <v>134</v>
      </c>
      <c r="B166" s="455">
        <v>0.109</v>
      </c>
      <c r="C166" s="455">
        <v>6.8500000000000005E-2</v>
      </c>
      <c r="D166" s="455">
        <v>4.1200000000000001E-2</v>
      </c>
      <c r="E166" s="455">
        <v>2.2200000000000001E-2</v>
      </c>
      <c r="F166" s="455">
        <v>4.5999999999999999E-3</v>
      </c>
      <c r="G166" s="455">
        <v>4.1999999999999997E-3</v>
      </c>
      <c r="H166" s="461"/>
      <c r="I166" s="462"/>
      <c r="J166" s="462"/>
      <c r="K166" s="462"/>
      <c r="L166" s="463"/>
      <c r="M166" s="256"/>
      <c r="N166" s="493"/>
      <c r="O166" s="493"/>
      <c r="P166" s="493"/>
      <c r="Q166" s="493"/>
      <c r="R166" s="493"/>
      <c r="S166" s="256"/>
      <c r="T166" s="256"/>
      <c r="U166" s="256"/>
      <c r="V166" s="256"/>
      <c r="W166" s="256"/>
      <c r="X166" s="256"/>
      <c r="Y166" s="256"/>
      <c r="Z166" s="256"/>
      <c r="AA166" s="256"/>
      <c r="AB166" s="256"/>
      <c r="AC166" s="256"/>
      <c r="AD166" s="256"/>
      <c r="AE166" s="256"/>
      <c r="AF166" s="256"/>
      <c r="AG166" s="256"/>
      <c r="AH166" s="256"/>
      <c r="AI166" s="256"/>
      <c r="AJ166" s="256"/>
      <c r="AK166" s="256"/>
      <c r="AL166" s="256"/>
      <c r="AM166" s="256"/>
      <c r="AN166" s="256"/>
      <c r="AO166" s="256"/>
      <c r="AP166" s="256"/>
      <c r="AQ166" s="256"/>
      <c r="AR166" s="256"/>
      <c r="AS166" s="256"/>
      <c r="AT166" s="256"/>
      <c r="AU166" s="256"/>
      <c r="AV166" s="256"/>
      <c r="AW166" s="256"/>
      <c r="AX166" s="256"/>
      <c r="AY166" s="256"/>
      <c r="AZ166" s="256"/>
      <c r="BA166" s="256"/>
      <c r="BB166" s="256"/>
      <c r="BC166" s="256"/>
      <c r="BD166" s="256"/>
      <c r="BE166" s="256"/>
      <c r="BF166" s="256"/>
      <c r="BG166" s="256"/>
      <c r="BH166" s="256"/>
      <c r="BI166" s="256"/>
      <c r="BJ166" s="256"/>
      <c r="BK166" s="256"/>
      <c r="BL166" s="256"/>
      <c r="BM166" s="256"/>
      <c r="BN166" s="256"/>
      <c r="BO166" s="256"/>
      <c r="BP166" s="256"/>
      <c r="BQ166" s="256"/>
      <c r="BR166" s="256"/>
      <c r="BS166" s="256"/>
      <c r="BT166" s="256"/>
      <c r="BU166" s="256"/>
      <c r="BV166" s="256"/>
      <c r="BW166" s="256"/>
      <c r="BX166" s="256"/>
      <c r="BY166" s="256"/>
      <c r="BZ166" s="256"/>
    </row>
    <row r="167" spans="1:78">
      <c r="A167" s="435" t="s">
        <v>135</v>
      </c>
      <c r="B167" s="455">
        <v>2.0799999999999999E-2</v>
      </c>
      <c r="C167" s="455">
        <v>8.5300000000000001E-2</v>
      </c>
      <c r="D167" s="494">
        <v>0.1007</v>
      </c>
      <c r="E167" s="494">
        <v>0.1164</v>
      </c>
      <c r="F167" s="494">
        <v>0.1183</v>
      </c>
      <c r="G167" s="494">
        <v>0.12470000000000001</v>
      </c>
      <c r="H167" s="461">
        <v>9.8649206582596793E-2</v>
      </c>
      <c r="I167" s="462">
        <v>3.3751345622512897E-2</v>
      </c>
      <c r="J167" s="462">
        <v>2.94012753018515E-2</v>
      </c>
      <c r="K167" s="462">
        <v>3.2434959237554999E-3</v>
      </c>
      <c r="L167" s="463">
        <v>2.6378270448042E-3</v>
      </c>
      <c r="M167" s="256"/>
      <c r="N167" s="493"/>
      <c r="O167" s="493"/>
      <c r="P167" s="493"/>
      <c r="Q167" s="493"/>
      <c r="R167" s="493"/>
      <c r="S167" s="256"/>
      <c r="T167" s="256"/>
      <c r="U167" s="256"/>
      <c r="V167" s="256"/>
      <c r="W167" s="256"/>
      <c r="X167" s="256"/>
      <c r="Y167" s="256"/>
      <c r="Z167" s="256"/>
      <c r="AA167" s="256"/>
      <c r="AB167" s="256"/>
      <c r="AC167" s="256"/>
      <c r="AD167" s="256"/>
      <c r="AE167" s="256"/>
      <c r="AF167" s="256"/>
      <c r="AG167" s="256"/>
      <c r="AH167" s="256"/>
      <c r="AI167" s="256"/>
      <c r="AJ167" s="256"/>
      <c r="AK167" s="256"/>
      <c r="AL167" s="256"/>
      <c r="AM167" s="256"/>
      <c r="AN167" s="256"/>
      <c r="AO167" s="256"/>
      <c r="AP167" s="256"/>
      <c r="AQ167" s="256"/>
      <c r="AR167" s="256"/>
      <c r="AS167" s="256"/>
      <c r="AT167" s="256"/>
      <c r="AU167" s="256"/>
      <c r="AV167" s="256"/>
      <c r="AW167" s="256"/>
      <c r="AX167" s="256"/>
      <c r="AY167" s="256"/>
      <c r="AZ167" s="256"/>
      <c r="BA167" s="256"/>
      <c r="BB167" s="256"/>
      <c r="BC167" s="256"/>
      <c r="BD167" s="256"/>
      <c r="BE167" s="256"/>
      <c r="BF167" s="256"/>
      <c r="BG167" s="256"/>
      <c r="BH167" s="256"/>
      <c r="BI167" s="256"/>
      <c r="BJ167" s="256"/>
      <c r="BK167" s="256"/>
      <c r="BL167" s="256"/>
      <c r="BM167" s="256"/>
      <c r="BN167" s="256"/>
      <c r="BO167" s="256"/>
      <c r="BP167" s="256"/>
      <c r="BQ167" s="256"/>
      <c r="BR167" s="256"/>
      <c r="BS167" s="256"/>
      <c r="BT167" s="256"/>
      <c r="BU167" s="256"/>
      <c r="BV167" s="256"/>
      <c r="BW167" s="256"/>
      <c r="BX167" s="256"/>
      <c r="BY167" s="256"/>
      <c r="BZ167" s="256"/>
    </row>
    <row r="168" spans="1:78">
      <c r="A168" s="435" t="s">
        <v>136</v>
      </c>
      <c r="B168" s="455">
        <v>0</v>
      </c>
      <c r="C168" s="455">
        <v>2.3367794316644101E-2</v>
      </c>
      <c r="D168" s="455">
        <v>0.103957409050577</v>
      </c>
      <c r="E168" s="455">
        <v>0.179628109995635</v>
      </c>
      <c r="F168" s="455">
        <v>0.25246302250803898</v>
      </c>
      <c r="G168" s="455">
        <v>0.53545767925808696</v>
      </c>
      <c r="H168" s="461"/>
      <c r="I168" s="462"/>
      <c r="J168" s="462"/>
      <c r="K168" s="462"/>
      <c r="L168" s="463"/>
      <c r="M168" s="256"/>
      <c r="N168" s="493"/>
      <c r="O168" s="493"/>
      <c r="P168" s="493"/>
      <c r="Q168" s="493"/>
      <c r="R168" s="493"/>
      <c r="S168" s="256"/>
      <c r="T168" s="256"/>
      <c r="U168" s="256"/>
      <c r="V168" s="256"/>
      <c r="W168" s="256"/>
      <c r="X168" s="256"/>
      <c r="Y168" s="256"/>
      <c r="Z168" s="256"/>
      <c r="AA168" s="256"/>
      <c r="AB168" s="256"/>
      <c r="AC168" s="256"/>
      <c r="AD168" s="256"/>
      <c r="AE168" s="256"/>
      <c r="AF168" s="256"/>
      <c r="AG168" s="256"/>
      <c r="AH168" s="256"/>
      <c r="AI168" s="256"/>
      <c r="AJ168" s="256"/>
      <c r="AK168" s="256"/>
      <c r="AL168" s="256"/>
      <c r="AM168" s="256"/>
      <c r="AN168" s="256"/>
      <c r="AO168" s="256"/>
      <c r="AP168" s="256"/>
      <c r="AQ168" s="256"/>
      <c r="AR168" s="256"/>
      <c r="AS168" s="256"/>
      <c r="AT168" s="256"/>
      <c r="AU168" s="256"/>
      <c r="AV168" s="256"/>
      <c r="AW168" s="256"/>
      <c r="AX168" s="256"/>
      <c r="AY168" s="256"/>
      <c r="AZ168" s="256"/>
      <c r="BA168" s="256"/>
      <c r="BB168" s="256"/>
      <c r="BC168" s="256"/>
      <c r="BD168" s="256"/>
      <c r="BE168" s="256"/>
      <c r="BF168" s="256"/>
      <c r="BG168" s="256"/>
      <c r="BH168" s="256"/>
      <c r="BI168" s="256"/>
      <c r="BJ168" s="256"/>
      <c r="BK168" s="256"/>
      <c r="BL168" s="256"/>
      <c r="BM168" s="256"/>
      <c r="BN168" s="256"/>
      <c r="BO168" s="256"/>
      <c r="BP168" s="256"/>
      <c r="BQ168" s="256"/>
      <c r="BR168" s="256"/>
      <c r="BS168" s="256"/>
      <c r="BT168" s="256"/>
      <c r="BU168" s="256"/>
      <c r="BV168" s="256"/>
      <c r="BW168" s="256"/>
      <c r="BX168" s="256"/>
      <c r="BY168" s="256"/>
      <c r="BZ168" s="256"/>
    </row>
    <row r="169" spans="1:78">
      <c r="A169" s="435"/>
      <c r="B169" s="436"/>
      <c r="C169" s="436"/>
      <c r="D169" s="436"/>
      <c r="E169" s="436"/>
      <c r="F169" s="436"/>
      <c r="G169" s="436"/>
      <c r="H169" s="461"/>
      <c r="I169" s="462"/>
      <c r="J169" s="462"/>
      <c r="K169" s="462"/>
      <c r="L169" s="463"/>
      <c r="M169" s="256"/>
      <c r="N169" s="256"/>
      <c r="O169" s="256"/>
      <c r="P169" s="256"/>
      <c r="Q169" s="256"/>
      <c r="R169" s="256"/>
      <c r="S169" s="256"/>
      <c r="T169" s="256"/>
      <c r="U169" s="256"/>
      <c r="V169" s="256"/>
      <c r="W169" s="256"/>
      <c r="X169" s="256"/>
      <c r="Y169" s="256"/>
      <c r="Z169" s="256"/>
      <c r="AA169" s="256"/>
      <c r="AB169" s="256"/>
      <c r="AC169" s="256"/>
      <c r="AD169" s="256"/>
      <c r="AE169" s="256"/>
      <c r="AF169" s="256"/>
      <c r="AG169" s="256"/>
      <c r="AH169" s="256"/>
      <c r="AI169" s="256"/>
      <c r="AJ169" s="256"/>
      <c r="AK169" s="256"/>
      <c r="AL169" s="256"/>
      <c r="AM169" s="256"/>
      <c r="AN169" s="256"/>
      <c r="AO169" s="256"/>
      <c r="AP169" s="256"/>
      <c r="AQ169" s="256"/>
      <c r="AR169" s="256"/>
      <c r="AS169" s="256"/>
      <c r="AT169" s="256"/>
      <c r="AU169" s="256"/>
      <c r="AV169" s="256"/>
      <c r="AW169" s="256"/>
      <c r="AX169" s="256"/>
      <c r="AY169" s="256"/>
      <c r="AZ169" s="256"/>
      <c r="BA169" s="256"/>
      <c r="BB169" s="256"/>
      <c r="BC169" s="256"/>
      <c r="BD169" s="256"/>
      <c r="BE169" s="256"/>
      <c r="BF169" s="256"/>
      <c r="BG169" s="256"/>
      <c r="BH169" s="256"/>
      <c r="BI169" s="256"/>
      <c r="BJ169" s="256"/>
      <c r="BK169" s="256"/>
      <c r="BL169" s="256"/>
      <c r="BM169" s="256"/>
      <c r="BN169" s="256"/>
      <c r="BO169" s="256"/>
      <c r="BP169" s="256"/>
      <c r="BQ169" s="256"/>
      <c r="BR169" s="256"/>
      <c r="BS169" s="256"/>
      <c r="BT169" s="256"/>
      <c r="BU169" s="256"/>
      <c r="BV169" s="256"/>
      <c r="BW169" s="256"/>
      <c r="BX169" s="256"/>
      <c r="BY169" s="256"/>
      <c r="BZ169" s="256"/>
    </row>
    <row r="170" spans="1:78" ht="15" thickBot="1">
      <c r="A170" s="489" t="s">
        <v>10</v>
      </c>
      <c r="B170" s="490">
        <v>4.4291</v>
      </c>
      <c r="C170" s="490">
        <v>4.6972677943166401</v>
      </c>
      <c r="D170" s="490">
        <v>4.4479574090505798</v>
      </c>
      <c r="E170" s="490">
        <v>4.3295281099956302</v>
      </c>
      <c r="F170" s="490">
        <v>4.2373630225080401</v>
      </c>
      <c r="G170" s="490">
        <v>4.09635767925809</v>
      </c>
      <c r="H170" s="466">
        <v>3.9266636335164602E-3</v>
      </c>
      <c r="I170" s="467">
        <v>-1.0847939635284E-2</v>
      </c>
      <c r="J170" s="467">
        <v>-5.3827462339912603E-3</v>
      </c>
      <c r="K170" s="467">
        <v>-4.2942347802371597E-3</v>
      </c>
      <c r="L170" s="468">
        <v>-1.69071608403115E-3</v>
      </c>
      <c r="M170" s="256"/>
      <c r="N170" s="256"/>
      <c r="O170" s="256"/>
      <c r="P170" s="256"/>
      <c r="Q170" s="256"/>
      <c r="R170" s="256"/>
      <c r="S170" s="256"/>
      <c r="T170" s="256"/>
      <c r="U170" s="256"/>
      <c r="V170" s="256"/>
      <c r="W170" s="256"/>
      <c r="X170" s="256"/>
      <c r="Y170" s="256"/>
      <c r="Z170" s="256"/>
      <c r="AA170" s="256"/>
      <c r="AB170" s="256"/>
      <c r="AC170" s="256"/>
      <c r="AD170" s="256"/>
      <c r="AE170" s="256"/>
      <c r="AF170" s="256"/>
      <c r="AG170" s="256"/>
      <c r="AH170" s="256"/>
      <c r="AI170" s="256"/>
      <c r="AJ170" s="256"/>
      <c r="AK170" s="256"/>
      <c r="AL170" s="256"/>
      <c r="AM170" s="256"/>
      <c r="AN170" s="256"/>
      <c r="AO170" s="256"/>
      <c r="AP170" s="256"/>
      <c r="AQ170" s="256"/>
      <c r="AR170" s="256"/>
      <c r="AS170" s="256"/>
      <c r="AT170" s="256"/>
      <c r="AU170" s="256"/>
      <c r="AV170" s="256"/>
      <c r="AW170" s="256"/>
      <c r="AX170" s="256"/>
      <c r="AY170" s="256"/>
      <c r="AZ170" s="256"/>
      <c r="BA170" s="256"/>
      <c r="BB170" s="256"/>
      <c r="BC170" s="256"/>
      <c r="BD170" s="256"/>
      <c r="BE170" s="256"/>
      <c r="BF170" s="256"/>
      <c r="BG170" s="256"/>
      <c r="BH170" s="256"/>
      <c r="BI170" s="256"/>
      <c r="BJ170" s="256"/>
      <c r="BK170" s="256"/>
      <c r="BL170" s="256"/>
      <c r="BM170" s="256"/>
      <c r="BN170" s="256"/>
      <c r="BO170" s="256"/>
      <c r="BP170" s="256"/>
      <c r="BQ170" s="256"/>
      <c r="BR170" s="256"/>
      <c r="BS170" s="256"/>
      <c r="BT170" s="256"/>
      <c r="BU170" s="256"/>
      <c r="BV170" s="256"/>
      <c r="BW170" s="256"/>
      <c r="BX170" s="256"/>
      <c r="BY170" s="256"/>
      <c r="BZ170" s="256"/>
    </row>
    <row r="171" spans="1:78">
      <c r="A171" s="449"/>
      <c r="B171" s="427"/>
      <c r="C171" s="427"/>
      <c r="D171" s="427"/>
      <c r="E171" s="427"/>
      <c r="F171" s="256"/>
      <c r="G171" s="256"/>
      <c r="H171" s="256"/>
      <c r="I171" s="256"/>
      <c r="J171" s="256"/>
      <c r="K171" s="256"/>
      <c r="L171" s="256"/>
      <c r="M171" s="256"/>
      <c r="N171" s="256"/>
      <c r="O171" s="256"/>
      <c r="P171" s="256"/>
      <c r="Q171" s="256"/>
      <c r="R171" s="256"/>
      <c r="S171" s="256"/>
      <c r="T171" s="256"/>
      <c r="U171" s="256"/>
      <c r="V171" s="256"/>
      <c r="W171" s="256"/>
      <c r="X171" s="256"/>
      <c r="Y171" s="256"/>
      <c r="Z171" s="256"/>
      <c r="AA171" s="256"/>
      <c r="AB171" s="256"/>
      <c r="AC171" s="256"/>
      <c r="AD171" s="256"/>
      <c r="AE171" s="256"/>
      <c r="AF171" s="256"/>
      <c r="AG171" s="256"/>
      <c r="AH171" s="256"/>
      <c r="AI171" s="256"/>
      <c r="AJ171" s="256"/>
      <c r="AK171" s="256"/>
      <c r="AL171" s="256"/>
      <c r="AM171" s="256"/>
      <c r="AN171" s="256"/>
      <c r="AO171" s="256"/>
      <c r="AP171" s="256"/>
      <c r="AQ171" s="256"/>
      <c r="AR171" s="256"/>
      <c r="AS171" s="256"/>
      <c r="AT171" s="256"/>
      <c r="AU171" s="256"/>
      <c r="AV171" s="256"/>
      <c r="AW171" s="256"/>
      <c r="AX171" s="256"/>
      <c r="AY171" s="256"/>
      <c r="AZ171" s="256"/>
      <c r="BA171" s="256"/>
      <c r="BB171" s="256"/>
      <c r="BC171" s="256"/>
      <c r="BD171" s="256"/>
      <c r="BE171" s="256"/>
      <c r="BF171" s="256"/>
      <c r="BG171" s="256"/>
      <c r="BH171" s="256"/>
      <c r="BI171" s="256"/>
      <c r="BJ171" s="256"/>
      <c r="BK171" s="256"/>
      <c r="BL171" s="256"/>
      <c r="BM171" s="256"/>
      <c r="BN171" s="256"/>
      <c r="BO171" s="256"/>
      <c r="BP171" s="256"/>
      <c r="BQ171" s="256"/>
      <c r="BR171" s="256"/>
      <c r="BS171" s="256"/>
      <c r="BT171" s="256"/>
      <c r="BU171" s="256"/>
      <c r="BV171" s="256"/>
      <c r="BW171" s="256"/>
      <c r="BX171" s="256"/>
      <c r="BY171" s="256"/>
      <c r="BZ171" s="256"/>
    </row>
    <row r="172" spans="1:78">
      <c r="A172" s="256"/>
      <c r="B172" s="427"/>
      <c r="C172" s="427"/>
      <c r="D172" s="427"/>
      <c r="E172" s="427"/>
      <c r="F172" s="256"/>
      <c r="G172" s="256"/>
      <c r="H172" s="256"/>
      <c r="I172" s="256"/>
      <c r="J172" s="256"/>
      <c r="K172" s="256"/>
      <c r="L172" s="256"/>
      <c r="M172" s="256"/>
      <c r="N172" s="256"/>
      <c r="O172" s="256"/>
      <c r="P172" s="256"/>
      <c r="Q172" s="256"/>
      <c r="R172" s="256"/>
      <c r="S172" s="256"/>
      <c r="T172" s="256"/>
      <c r="U172" s="256"/>
      <c r="V172" s="256"/>
      <c r="W172" s="256"/>
      <c r="X172" s="256"/>
      <c r="Y172" s="256"/>
      <c r="Z172" s="256"/>
      <c r="AA172" s="256"/>
      <c r="AB172" s="256"/>
      <c r="AC172" s="256"/>
      <c r="AD172" s="256"/>
      <c r="AE172" s="256"/>
      <c r="AF172" s="256"/>
      <c r="AG172" s="256"/>
      <c r="AH172" s="256"/>
      <c r="AI172" s="256"/>
      <c r="AJ172" s="256"/>
      <c r="AK172" s="256"/>
      <c r="AL172" s="256"/>
      <c r="AM172" s="256"/>
      <c r="AN172" s="256"/>
      <c r="AO172" s="256"/>
      <c r="AP172" s="256"/>
      <c r="AQ172" s="256"/>
      <c r="AR172" s="256"/>
      <c r="AS172" s="256"/>
      <c r="AT172" s="256"/>
      <c r="AU172" s="256"/>
      <c r="AV172" s="256"/>
      <c r="AW172" s="256"/>
      <c r="AX172" s="256"/>
      <c r="AY172" s="256"/>
      <c r="AZ172" s="256"/>
      <c r="BA172" s="256"/>
      <c r="BB172" s="256"/>
      <c r="BC172" s="256"/>
      <c r="BD172" s="256"/>
      <c r="BE172" s="256"/>
      <c r="BF172" s="256"/>
      <c r="BG172" s="256"/>
      <c r="BH172" s="256"/>
      <c r="BI172" s="256"/>
      <c r="BJ172" s="256"/>
      <c r="BK172" s="256"/>
      <c r="BL172" s="256"/>
      <c r="BM172" s="256"/>
      <c r="BN172" s="256"/>
      <c r="BO172" s="256"/>
      <c r="BP172" s="256"/>
      <c r="BQ172" s="256"/>
      <c r="BR172" s="256"/>
      <c r="BS172" s="256"/>
      <c r="BT172" s="256"/>
      <c r="BU172" s="256"/>
      <c r="BV172" s="256"/>
      <c r="BW172" s="256"/>
      <c r="BX172" s="256"/>
      <c r="BY172" s="256"/>
      <c r="BZ172" s="256"/>
    </row>
    <row r="173" spans="1:78" ht="16" thickBot="1">
      <c r="A173" s="428" t="s">
        <v>394</v>
      </c>
      <c r="B173" s="430"/>
      <c r="C173" s="430"/>
      <c r="D173" s="430"/>
      <c r="E173" s="430"/>
      <c r="F173" s="430"/>
      <c r="G173" s="430"/>
      <c r="H173" s="430"/>
      <c r="I173" s="430"/>
      <c r="J173" s="430"/>
      <c r="K173" s="430"/>
      <c r="L173" s="430"/>
      <c r="M173" s="256"/>
      <c r="N173" s="256"/>
      <c r="O173" s="256"/>
      <c r="P173" s="256"/>
      <c r="Q173" s="256"/>
      <c r="R173" s="256"/>
      <c r="S173" s="256"/>
      <c r="T173" s="256"/>
      <c r="U173" s="256"/>
      <c r="V173" s="256"/>
      <c r="W173" s="256"/>
      <c r="X173" s="256"/>
      <c r="Y173" s="256"/>
      <c r="Z173" s="256"/>
      <c r="AA173" s="256"/>
      <c r="AB173" s="256"/>
      <c r="AC173" s="256"/>
      <c r="AD173" s="256"/>
      <c r="AE173" s="256"/>
      <c r="AF173" s="256"/>
      <c r="AG173" s="256"/>
      <c r="AH173" s="256"/>
      <c r="AI173" s="256"/>
      <c r="AJ173" s="256"/>
      <c r="AK173" s="256"/>
      <c r="AL173" s="256"/>
      <c r="AM173" s="256"/>
      <c r="AN173" s="256"/>
      <c r="AO173" s="256"/>
      <c r="AP173" s="256"/>
      <c r="AQ173" s="256"/>
      <c r="AR173" s="256"/>
      <c r="AS173" s="256"/>
      <c r="AT173" s="256"/>
      <c r="AU173" s="256"/>
      <c r="AV173" s="256"/>
      <c r="AW173" s="256"/>
      <c r="AX173" s="256"/>
      <c r="AY173" s="256"/>
      <c r="AZ173" s="256"/>
      <c r="BA173" s="256"/>
      <c r="BB173" s="256"/>
      <c r="BC173" s="256"/>
      <c r="BD173" s="256"/>
      <c r="BE173" s="256"/>
      <c r="BF173" s="256"/>
      <c r="BG173" s="256"/>
      <c r="BH173" s="256"/>
      <c r="BI173" s="256"/>
      <c r="BJ173" s="256"/>
      <c r="BK173" s="256"/>
      <c r="BL173" s="256"/>
      <c r="BM173" s="256"/>
      <c r="BN173" s="256"/>
      <c r="BO173" s="256"/>
      <c r="BP173" s="256"/>
      <c r="BQ173" s="256"/>
      <c r="BR173" s="256"/>
      <c r="BS173" s="256"/>
      <c r="BT173" s="256"/>
      <c r="BU173" s="256"/>
      <c r="BV173" s="256"/>
      <c r="BW173" s="256"/>
      <c r="BX173" s="256"/>
      <c r="BY173" s="256"/>
      <c r="BZ173" s="256"/>
    </row>
    <row r="174" spans="1:78" ht="15" thickBot="1">
      <c r="A174" s="431"/>
      <c r="B174" s="432">
        <v>2000</v>
      </c>
      <c r="C174" s="432">
        <v>2015</v>
      </c>
      <c r="D174" s="432">
        <v>2020</v>
      </c>
      <c r="E174" s="432">
        <v>2025</v>
      </c>
      <c r="F174" s="432">
        <v>2030</v>
      </c>
      <c r="G174" s="432">
        <v>2050</v>
      </c>
      <c r="H174" s="452" t="s">
        <v>98</v>
      </c>
      <c r="I174" s="453" t="s">
        <v>99</v>
      </c>
      <c r="J174" s="453" t="s">
        <v>100</v>
      </c>
      <c r="K174" s="453" t="s">
        <v>101</v>
      </c>
      <c r="L174" s="454" t="s">
        <v>384</v>
      </c>
      <c r="M174" s="256"/>
      <c r="N174" s="256"/>
      <c r="O174" s="256"/>
      <c r="P174" s="256"/>
      <c r="Q174" s="256"/>
      <c r="R174" s="256"/>
      <c r="S174" s="256"/>
      <c r="T174" s="256"/>
      <c r="U174" s="256"/>
      <c r="V174" s="256"/>
      <c r="W174" s="256"/>
      <c r="X174" s="256"/>
      <c r="Y174" s="256"/>
      <c r="Z174" s="256"/>
      <c r="AA174" s="256"/>
      <c r="AB174" s="256"/>
      <c r="AC174" s="256"/>
      <c r="AD174" s="256"/>
      <c r="AE174" s="256"/>
      <c r="AF174" s="256"/>
      <c r="AG174" s="256"/>
      <c r="AH174" s="256"/>
      <c r="AI174" s="256"/>
      <c r="AJ174" s="256"/>
      <c r="AK174" s="256"/>
      <c r="AL174" s="256"/>
      <c r="AM174" s="256"/>
      <c r="AN174" s="256"/>
      <c r="AO174" s="256"/>
      <c r="AP174" s="256"/>
      <c r="AQ174" s="256"/>
      <c r="AR174" s="256"/>
      <c r="AS174" s="256"/>
      <c r="AT174" s="256"/>
      <c r="AU174" s="256"/>
      <c r="AV174" s="256"/>
      <c r="AW174" s="256"/>
      <c r="AX174" s="256"/>
      <c r="AY174" s="256"/>
      <c r="AZ174" s="256"/>
      <c r="BA174" s="256"/>
      <c r="BB174" s="256"/>
      <c r="BC174" s="256"/>
      <c r="BD174" s="256"/>
      <c r="BE174" s="256"/>
      <c r="BF174" s="256"/>
      <c r="BG174" s="256"/>
      <c r="BH174" s="256"/>
      <c r="BI174" s="256"/>
      <c r="BJ174" s="256"/>
      <c r="BK174" s="256"/>
      <c r="BL174" s="256"/>
      <c r="BM174" s="256"/>
      <c r="BN174" s="256"/>
      <c r="BO174" s="256"/>
      <c r="BP174" s="256"/>
      <c r="BQ174" s="256"/>
      <c r="BR174" s="256"/>
      <c r="BS174" s="256"/>
      <c r="BT174" s="256"/>
      <c r="BU174" s="256"/>
      <c r="BV174" s="256"/>
      <c r="BW174" s="256"/>
      <c r="BX174" s="256"/>
      <c r="BY174" s="256"/>
      <c r="BZ174" s="256"/>
    </row>
    <row r="175" spans="1:78">
      <c r="A175" s="435" t="s">
        <v>149</v>
      </c>
      <c r="B175" s="495">
        <v>24.333600000000001</v>
      </c>
      <c r="C175" s="495">
        <v>28.339300000000001</v>
      </c>
      <c r="D175" s="495">
        <v>29.486799999999999</v>
      </c>
      <c r="E175" s="495">
        <v>30.563199999999998</v>
      </c>
      <c r="F175" s="495">
        <v>31.6767</v>
      </c>
      <c r="G175" s="495">
        <v>34.886899999999997</v>
      </c>
      <c r="H175" s="461">
        <v>1.02112103718381E-2</v>
      </c>
      <c r="I175" s="462">
        <v>7.9702288465317607E-3</v>
      </c>
      <c r="J175" s="462">
        <v>7.1965647566061301E-3</v>
      </c>
      <c r="K175" s="462">
        <v>7.1826169366853198E-3</v>
      </c>
      <c r="L175" s="463">
        <v>4.8381666003032304E-3</v>
      </c>
      <c r="M175" s="256"/>
      <c r="N175" s="256"/>
      <c r="O175" s="256"/>
      <c r="P175" s="256"/>
      <c r="Q175" s="256"/>
      <c r="R175" s="256"/>
      <c r="S175" s="256"/>
      <c r="T175" s="256"/>
      <c r="U175" s="256"/>
      <c r="V175" s="256"/>
      <c r="W175" s="256"/>
      <c r="X175" s="256"/>
      <c r="Y175" s="256"/>
      <c r="Z175" s="256"/>
      <c r="AA175" s="256"/>
      <c r="AB175" s="256"/>
      <c r="AC175" s="256"/>
      <c r="AD175" s="256"/>
      <c r="AE175" s="256"/>
      <c r="AF175" s="256"/>
      <c r="AG175" s="256"/>
      <c r="AH175" s="256"/>
      <c r="AI175" s="256"/>
      <c r="AJ175" s="256"/>
      <c r="AK175" s="256"/>
      <c r="AL175" s="256"/>
      <c r="AM175" s="256"/>
      <c r="AN175" s="256"/>
      <c r="AO175" s="256"/>
      <c r="AP175" s="256"/>
      <c r="AQ175" s="256"/>
      <c r="AR175" s="256"/>
      <c r="AS175" s="256"/>
      <c r="AT175" s="256"/>
      <c r="AU175" s="256"/>
      <c r="AV175" s="256"/>
      <c r="AW175" s="256"/>
      <c r="AX175" s="256"/>
      <c r="AY175" s="256"/>
      <c r="AZ175" s="256"/>
      <c r="BA175" s="256"/>
      <c r="BB175" s="256"/>
      <c r="BC175" s="256"/>
      <c r="BD175" s="256"/>
      <c r="BE175" s="256"/>
      <c r="BF175" s="256"/>
      <c r="BG175" s="256"/>
      <c r="BH175" s="256"/>
      <c r="BI175" s="256"/>
      <c r="BJ175" s="256"/>
      <c r="BK175" s="256"/>
      <c r="BL175" s="256"/>
      <c r="BM175" s="256"/>
      <c r="BN175" s="256"/>
      <c r="BO175" s="256"/>
      <c r="BP175" s="256"/>
      <c r="BQ175" s="256"/>
      <c r="BR175" s="256"/>
      <c r="BS175" s="256"/>
      <c r="BT175" s="256"/>
      <c r="BU175" s="256"/>
      <c r="BV175" s="256"/>
      <c r="BW175" s="256"/>
      <c r="BX175" s="256"/>
      <c r="BY175" s="256"/>
      <c r="BZ175" s="256"/>
    </row>
    <row r="176" spans="1:78">
      <c r="A176" s="435" t="s">
        <v>150</v>
      </c>
      <c r="B176" s="496">
        <v>0.72678820211356199</v>
      </c>
      <c r="C176" s="496">
        <v>0.64822353265087995</v>
      </c>
      <c r="D176" s="496">
        <v>0.583033656203088</v>
      </c>
      <c r="E176" s="496">
        <v>0.54665582556994197</v>
      </c>
      <c r="F176" s="496">
        <v>0.51786525125971505</v>
      </c>
      <c r="G176" s="496">
        <v>0.46291147275682398</v>
      </c>
      <c r="H176" s="461">
        <v>-7.5976249600224798E-3</v>
      </c>
      <c r="I176" s="462">
        <v>-2.0975034865257002E-2</v>
      </c>
      <c r="J176" s="462">
        <v>-1.28024451307539E-2</v>
      </c>
      <c r="K176" s="462">
        <v>-1.0762530034204E-2</v>
      </c>
      <c r="L176" s="463">
        <v>-5.5932613135782896E-3</v>
      </c>
      <c r="M176" s="256"/>
      <c r="N176" s="256"/>
      <c r="O176" s="256"/>
      <c r="P176" s="256"/>
      <c r="Q176" s="256"/>
      <c r="R176" s="256"/>
      <c r="S176" s="256"/>
      <c r="T176" s="256"/>
      <c r="U176" s="256"/>
      <c r="V176" s="256"/>
      <c r="W176" s="256"/>
      <c r="X176" s="256"/>
      <c r="Y176" s="256"/>
      <c r="Z176" s="256"/>
      <c r="AA176" s="256"/>
      <c r="AB176" s="256"/>
      <c r="AC176" s="256"/>
      <c r="AD176" s="256"/>
      <c r="AE176" s="256"/>
      <c r="AF176" s="256"/>
      <c r="AG176" s="256"/>
      <c r="AH176" s="256"/>
      <c r="AI176" s="256"/>
      <c r="AJ176" s="256"/>
      <c r="AK176" s="256"/>
      <c r="AL176" s="256"/>
      <c r="AM176" s="256"/>
      <c r="AN176" s="256"/>
      <c r="AO176" s="256"/>
      <c r="AP176" s="256"/>
      <c r="AQ176" s="256"/>
      <c r="AR176" s="256"/>
      <c r="AS176" s="256"/>
      <c r="AT176" s="256"/>
      <c r="AU176" s="256"/>
      <c r="AV176" s="256"/>
      <c r="AW176" s="256"/>
      <c r="AX176" s="256"/>
      <c r="AY176" s="256"/>
      <c r="AZ176" s="256"/>
      <c r="BA176" s="256"/>
      <c r="BB176" s="256"/>
      <c r="BC176" s="256"/>
      <c r="BD176" s="256"/>
      <c r="BE176" s="256"/>
      <c r="BF176" s="256"/>
      <c r="BG176" s="256"/>
      <c r="BH176" s="256"/>
      <c r="BI176" s="256"/>
      <c r="BJ176" s="256"/>
      <c r="BK176" s="256"/>
      <c r="BL176" s="256"/>
      <c r="BM176" s="256"/>
      <c r="BN176" s="256"/>
      <c r="BO176" s="256"/>
      <c r="BP176" s="256"/>
      <c r="BQ176" s="256"/>
      <c r="BR176" s="256"/>
      <c r="BS176" s="256"/>
      <c r="BT176" s="256"/>
      <c r="BU176" s="256"/>
      <c r="BV176" s="256"/>
      <c r="BW176" s="256"/>
      <c r="BX176" s="256"/>
      <c r="BY176" s="256"/>
      <c r="BZ176" s="256"/>
    </row>
    <row r="177" spans="1:78">
      <c r="A177" s="435" t="s">
        <v>151</v>
      </c>
      <c r="B177" s="497">
        <v>2087.9582554622998</v>
      </c>
      <c r="C177" s="497">
        <v>2286.9352613330402</v>
      </c>
      <c r="D177" s="497">
        <v>2178.91852842035</v>
      </c>
      <c r="E177" s="497">
        <v>2118.52449485023</v>
      </c>
      <c r="F177" s="497">
        <v>2079.48900164729</v>
      </c>
      <c r="G177" s="497">
        <v>2047.55886353649</v>
      </c>
      <c r="H177" s="461">
        <v>6.0868453574838303E-3</v>
      </c>
      <c r="I177" s="462">
        <v>-9.6301188556817702E-3</v>
      </c>
      <c r="J177" s="462">
        <v>-5.6059899545614104E-3</v>
      </c>
      <c r="K177" s="462">
        <v>-3.7126235333300199E-3</v>
      </c>
      <c r="L177" s="463">
        <v>-7.7339607167248303E-4</v>
      </c>
      <c r="M177" s="256"/>
      <c r="N177" s="256"/>
      <c r="O177" s="256"/>
      <c r="P177" s="256"/>
      <c r="Q177" s="256"/>
      <c r="R177" s="256"/>
      <c r="S177" s="256"/>
      <c r="T177" s="256"/>
      <c r="U177" s="256"/>
      <c r="V177" s="256"/>
      <c r="W177" s="256"/>
      <c r="X177" s="256"/>
      <c r="Y177" s="256"/>
      <c r="Z177" s="256"/>
      <c r="AA177" s="256"/>
      <c r="AB177" s="256"/>
      <c r="AC177" s="256"/>
      <c r="AD177" s="256"/>
      <c r="AE177" s="256"/>
      <c r="AF177" s="256"/>
      <c r="AG177" s="256"/>
      <c r="AH177" s="256"/>
      <c r="AI177" s="256"/>
      <c r="AJ177" s="256"/>
      <c r="AK177" s="256"/>
      <c r="AL177" s="256"/>
      <c r="AM177" s="256"/>
      <c r="AN177" s="256"/>
      <c r="AO177" s="256"/>
      <c r="AP177" s="256"/>
      <c r="AQ177" s="256"/>
      <c r="AR177" s="256"/>
      <c r="AS177" s="256"/>
      <c r="AT177" s="256"/>
      <c r="AU177" s="256"/>
      <c r="AV177" s="256"/>
      <c r="AW177" s="256"/>
      <c r="AX177" s="256"/>
      <c r="AY177" s="256"/>
      <c r="AZ177" s="256"/>
      <c r="BA177" s="256"/>
      <c r="BB177" s="256"/>
      <c r="BC177" s="256"/>
      <c r="BD177" s="256"/>
      <c r="BE177" s="256"/>
      <c r="BF177" s="256"/>
      <c r="BG177" s="256"/>
      <c r="BH177" s="256"/>
      <c r="BI177" s="256"/>
      <c r="BJ177" s="256"/>
      <c r="BK177" s="256"/>
      <c r="BL177" s="256"/>
      <c r="BM177" s="256"/>
      <c r="BN177" s="256"/>
      <c r="BO177" s="256"/>
      <c r="BP177" s="256"/>
      <c r="BQ177" s="256"/>
      <c r="BR177" s="256"/>
      <c r="BS177" s="256"/>
      <c r="BT177" s="256"/>
      <c r="BU177" s="256"/>
      <c r="BV177" s="256"/>
      <c r="BW177" s="256"/>
      <c r="BX177" s="256"/>
      <c r="BY177" s="256"/>
      <c r="BZ177" s="256"/>
    </row>
    <row r="178" spans="1:78" ht="15" thickBot="1">
      <c r="A178" s="444" t="s">
        <v>152</v>
      </c>
      <c r="B178" s="498">
        <v>4.7056641153043199E-2</v>
      </c>
      <c r="C178" s="498">
        <v>3.7830929395763602E-2</v>
      </c>
      <c r="D178" s="498">
        <v>3.2334851141514999E-2</v>
      </c>
      <c r="E178" s="498">
        <v>2.9127896511607802E-2</v>
      </c>
      <c r="F178" s="498">
        <v>2.63301368687969E-2</v>
      </c>
      <c r="G178" s="498">
        <v>1.7949265120470299E-2</v>
      </c>
      <c r="H178" s="466">
        <v>-1.4443017738933899E-2</v>
      </c>
      <c r="I178" s="467">
        <v>-3.0908529703838599E-2</v>
      </c>
      <c r="J178" s="467">
        <v>-2.0673173078978799E-2</v>
      </c>
      <c r="K178" s="467">
        <v>-1.9993855320703E-2</v>
      </c>
      <c r="L178" s="468">
        <v>-1.8975897006451602E-2</v>
      </c>
      <c r="M178" s="256"/>
      <c r="N178" s="256"/>
      <c r="O178" s="256"/>
      <c r="P178" s="256"/>
      <c r="Q178" s="256"/>
      <c r="R178" s="256"/>
      <c r="S178" s="256"/>
      <c r="T178" s="256"/>
      <c r="U178" s="256"/>
      <c r="V178" s="256"/>
      <c r="W178" s="256"/>
      <c r="X178" s="256"/>
      <c r="Y178" s="256"/>
      <c r="Z178" s="256"/>
      <c r="AA178" s="256"/>
      <c r="AB178" s="256"/>
      <c r="AC178" s="256"/>
      <c r="AD178" s="256"/>
      <c r="AE178" s="256"/>
      <c r="AF178" s="256"/>
      <c r="AG178" s="256"/>
      <c r="AH178" s="256"/>
      <c r="AI178" s="256"/>
      <c r="AJ178" s="256"/>
      <c r="AK178" s="256"/>
      <c r="AL178" s="256"/>
      <c r="AM178" s="256"/>
      <c r="AN178" s="256"/>
      <c r="AO178" s="256"/>
      <c r="AP178" s="256"/>
      <c r="AQ178" s="256"/>
      <c r="AR178" s="256"/>
      <c r="AS178" s="256"/>
      <c r="AT178" s="256"/>
      <c r="AU178" s="256"/>
      <c r="AV178" s="256"/>
      <c r="AW178" s="256"/>
      <c r="AX178" s="256"/>
      <c r="AY178" s="256"/>
      <c r="AZ178" s="256"/>
      <c r="BA178" s="256"/>
      <c r="BB178" s="256"/>
      <c r="BC178" s="256"/>
      <c r="BD178" s="256"/>
      <c r="BE178" s="256"/>
      <c r="BF178" s="256"/>
      <c r="BG178" s="256"/>
      <c r="BH178" s="256"/>
      <c r="BI178" s="256"/>
      <c r="BJ178" s="256"/>
      <c r="BK178" s="256"/>
      <c r="BL178" s="256"/>
      <c r="BM178" s="256"/>
      <c r="BN178" s="256"/>
      <c r="BO178" s="256"/>
      <c r="BP178" s="256"/>
      <c r="BQ178" s="256"/>
      <c r="BR178" s="256"/>
      <c r="BS178" s="256"/>
      <c r="BT178" s="256"/>
      <c r="BU178" s="256"/>
      <c r="BV178" s="256"/>
      <c r="BW178" s="256"/>
      <c r="BX178" s="256"/>
      <c r="BY178" s="256"/>
      <c r="BZ178" s="256"/>
    </row>
    <row r="179" spans="1:78">
      <c r="A179" s="486"/>
      <c r="B179" s="256"/>
      <c r="C179" s="256"/>
      <c r="D179" s="256"/>
      <c r="E179" s="256"/>
      <c r="F179" s="451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  <c r="S179" s="256"/>
      <c r="T179" s="256"/>
      <c r="U179" s="256"/>
      <c r="V179" s="256"/>
      <c r="W179" s="256"/>
      <c r="X179" s="256"/>
      <c r="Y179" s="256"/>
      <c r="Z179" s="256"/>
      <c r="AA179" s="256"/>
      <c r="AB179" s="256"/>
      <c r="AC179" s="256"/>
      <c r="AD179" s="256"/>
      <c r="AE179" s="256"/>
      <c r="AF179" s="256"/>
      <c r="AG179" s="256"/>
      <c r="AH179" s="256"/>
      <c r="AI179" s="256"/>
      <c r="AJ179" s="256"/>
      <c r="AK179" s="256"/>
      <c r="AL179" s="256"/>
      <c r="AM179" s="256"/>
      <c r="AN179" s="256"/>
      <c r="AO179" s="256"/>
      <c r="AP179" s="256"/>
      <c r="AQ179" s="256"/>
      <c r="AR179" s="256"/>
      <c r="AS179" s="256"/>
      <c r="AT179" s="256"/>
      <c r="AU179" s="256"/>
      <c r="AV179" s="256"/>
      <c r="AW179" s="256"/>
      <c r="AX179" s="256"/>
      <c r="AY179" s="256"/>
      <c r="AZ179" s="256"/>
      <c r="BA179" s="256"/>
      <c r="BB179" s="256"/>
      <c r="BC179" s="256"/>
      <c r="BD179" s="256"/>
      <c r="BE179" s="256"/>
      <c r="BF179" s="256"/>
      <c r="BG179" s="256"/>
      <c r="BH179" s="256"/>
      <c r="BI179" s="256"/>
      <c r="BJ179" s="256"/>
      <c r="BK179" s="256"/>
      <c r="BL179" s="256"/>
      <c r="BM179" s="256"/>
      <c r="BN179" s="256"/>
      <c r="BO179" s="256"/>
      <c r="BP179" s="256"/>
      <c r="BQ179" s="256"/>
      <c r="BR179" s="256"/>
      <c r="BS179" s="256"/>
      <c r="BT179" s="256"/>
      <c r="BU179" s="256"/>
      <c r="BV179" s="256"/>
      <c r="BW179" s="256"/>
      <c r="BX179" s="256"/>
      <c r="BY179" s="256"/>
      <c r="BZ179" s="256"/>
    </row>
    <row r="180" spans="1:78">
      <c r="A180" s="256"/>
      <c r="B180" s="256"/>
      <c r="C180" s="256"/>
      <c r="D180" s="256"/>
      <c r="E180" s="256"/>
      <c r="F180" s="451"/>
      <c r="G180" s="256"/>
      <c r="H180" s="256"/>
      <c r="I180" s="256"/>
      <c r="J180" s="256"/>
      <c r="K180" s="256"/>
      <c r="L180" s="256"/>
      <c r="M180" s="256"/>
      <c r="N180" s="256"/>
      <c r="O180" s="256"/>
      <c r="P180" s="256"/>
      <c r="Q180" s="256"/>
      <c r="R180" s="256"/>
      <c r="S180" s="256"/>
      <c r="T180" s="256"/>
      <c r="U180" s="256"/>
      <c r="V180" s="256"/>
      <c r="W180" s="256"/>
      <c r="X180" s="256"/>
      <c r="Y180" s="256"/>
      <c r="Z180" s="256"/>
      <c r="AA180" s="256"/>
      <c r="AB180" s="256"/>
      <c r="AC180" s="256"/>
      <c r="AD180" s="256"/>
      <c r="AE180" s="256"/>
      <c r="AF180" s="256"/>
      <c r="AG180" s="256"/>
      <c r="AH180" s="256"/>
      <c r="AI180" s="256"/>
      <c r="AJ180" s="256"/>
      <c r="AK180" s="256"/>
      <c r="AL180" s="256"/>
      <c r="AM180" s="256"/>
      <c r="AN180" s="256"/>
      <c r="AO180" s="256"/>
      <c r="AP180" s="256"/>
      <c r="AQ180" s="256"/>
      <c r="AR180" s="256"/>
      <c r="AS180" s="256"/>
      <c r="AT180" s="256"/>
      <c r="AU180" s="256"/>
      <c r="AV180" s="256"/>
      <c r="AW180" s="256"/>
      <c r="AX180" s="256"/>
      <c r="AY180" s="256"/>
      <c r="AZ180" s="256"/>
      <c r="BA180" s="256"/>
      <c r="BB180" s="256"/>
      <c r="BC180" s="256"/>
      <c r="BD180" s="256"/>
      <c r="BE180" s="256"/>
      <c r="BF180" s="256"/>
      <c r="BG180" s="256"/>
      <c r="BH180" s="256"/>
      <c r="BI180" s="256"/>
      <c r="BJ180" s="256"/>
      <c r="BK180" s="256"/>
      <c r="BL180" s="256"/>
      <c r="BM180" s="256"/>
      <c r="BN180" s="256"/>
      <c r="BO180" s="256"/>
      <c r="BP180" s="256"/>
      <c r="BQ180" s="256"/>
      <c r="BR180" s="256"/>
      <c r="BS180" s="256"/>
      <c r="BT180" s="256"/>
      <c r="BU180" s="256"/>
      <c r="BV180" s="256"/>
      <c r="BW180" s="256"/>
      <c r="BX180" s="256"/>
      <c r="BY180" s="256"/>
      <c r="BZ180" s="256"/>
    </row>
    <row r="181" spans="1:78" ht="21">
      <c r="A181" s="425" t="s">
        <v>153</v>
      </c>
      <c r="B181" s="415"/>
      <c r="C181" s="415"/>
      <c r="D181" s="415"/>
      <c r="E181" s="415"/>
      <c r="F181" s="415"/>
      <c r="G181" s="487"/>
      <c r="H181" s="487"/>
      <c r="I181" s="487"/>
      <c r="J181" s="487"/>
      <c r="K181" s="487"/>
      <c r="L181" s="487"/>
      <c r="M181" s="256"/>
      <c r="N181" s="256"/>
      <c r="O181" s="256"/>
      <c r="P181" s="256"/>
      <c r="Q181" s="256"/>
      <c r="R181" s="256"/>
      <c r="S181" s="256"/>
      <c r="T181" s="256"/>
      <c r="U181" s="256"/>
      <c r="V181" s="256"/>
      <c r="W181" s="256"/>
      <c r="X181" s="256"/>
      <c r="Y181" s="256"/>
      <c r="Z181" s="256"/>
      <c r="AA181" s="256"/>
      <c r="AB181" s="256"/>
      <c r="AC181" s="256"/>
      <c r="AD181" s="256"/>
      <c r="AE181" s="256"/>
      <c r="AF181" s="256"/>
      <c r="AG181" s="256"/>
      <c r="AH181" s="256"/>
      <c r="AI181" s="256"/>
      <c r="AJ181" s="256"/>
      <c r="AK181" s="256"/>
      <c r="AL181" s="256"/>
      <c r="AM181" s="256"/>
      <c r="AN181" s="256"/>
      <c r="AO181" s="256"/>
      <c r="AP181" s="256"/>
      <c r="AQ181" s="256"/>
      <c r="AR181" s="256"/>
      <c r="AS181" s="256"/>
      <c r="AT181" s="256"/>
      <c r="AU181" s="256"/>
      <c r="AV181" s="256"/>
      <c r="AW181" s="256"/>
      <c r="AX181" s="256"/>
      <c r="AY181" s="256"/>
      <c r="AZ181" s="256"/>
      <c r="BA181" s="256"/>
      <c r="BB181" s="256"/>
      <c r="BC181" s="256"/>
      <c r="BD181" s="256"/>
      <c r="BE181" s="256"/>
      <c r="BF181" s="256"/>
      <c r="BG181" s="256"/>
      <c r="BH181" s="256"/>
      <c r="BI181" s="256"/>
      <c r="BJ181" s="256"/>
      <c r="BK181" s="256"/>
      <c r="BL181" s="256"/>
      <c r="BM181" s="256"/>
      <c r="BN181" s="256"/>
      <c r="BO181" s="256"/>
      <c r="BP181" s="256"/>
      <c r="BQ181" s="256"/>
      <c r="BR181" s="256"/>
      <c r="BS181" s="256"/>
      <c r="BT181" s="256"/>
      <c r="BU181" s="256"/>
      <c r="BV181" s="256"/>
      <c r="BW181" s="256"/>
      <c r="BX181" s="256"/>
      <c r="BY181" s="256"/>
      <c r="BZ181" s="256"/>
    </row>
    <row r="182" spans="1:78">
      <c r="A182" s="256"/>
      <c r="B182" s="256"/>
      <c r="C182" s="256"/>
      <c r="D182" s="256"/>
      <c r="E182" s="256"/>
      <c r="F182" s="451"/>
      <c r="G182" s="256"/>
      <c r="H182" s="256"/>
      <c r="I182" s="256"/>
      <c r="J182" s="256"/>
      <c r="K182" s="256"/>
      <c r="L182" s="256"/>
      <c r="M182" s="256"/>
      <c r="N182" s="256"/>
      <c r="O182" s="256"/>
      <c r="P182" s="256"/>
      <c r="Q182" s="256"/>
      <c r="R182" s="256"/>
      <c r="S182" s="256"/>
      <c r="T182" s="256"/>
      <c r="U182" s="256"/>
      <c r="V182" s="256"/>
      <c r="W182" s="256"/>
      <c r="X182" s="256"/>
      <c r="Y182" s="256"/>
      <c r="Z182" s="256"/>
      <c r="AA182" s="256"/>
      <c r="AB182" s="256"/>
      <c r="AC182" s="256"/>
      <c r="AD182" s="256"/>
      <c r="AE182" s="256"/>
      <c r="AF182" s="256"/>
      <c r="AG182" s="256"/>
      <c r="AH182" s="256"/>
      <c r="AI182" s="256"/>
      <c r="AJ182" s="256"/>
      <c r="AK182" s="256"/>
      <c r="AL182" s="256"/>
      <c r="AM182" s="256"/>
      <c r="AN182" s="256"/>
      <c r="AO182" s="256"/>
      <c r="AP182" s="256"/>
      <c r="AQ182" s="256"/>
      <c r="AR182" s="256"/>
      <c r="AS182" s="256"/>
      <c r="AT182" s="256"/>
      <c r="AU182" s="256"/>
      <c r="AV182" s="256"/>
      <c r="AW182" s="256"/>
      <c r="AX182" s="256"/>
      <c r="AY182" s="256"/>
      <c r="AZ182" s="256"/>
      <c r="BA182" s="256"/>
      <c r="BB182" s="256"/>
      <c r="BC182" s="256"/>
      <c r="BD182" s="256"/>
      <c r="BE182" s="256"/>
      <c r="BF182" s="256"/>
      <c r="BG182" s="256"/>
      <c r="BH182" s="256"/>
      <c r="BI182" s="256"/>
      <c r="BJ182" s="256"/>
      <c r="BK182" s="256"/>
      <c r="BL182" s="256"/>
      <c r="BM182" s="256"/>
      <c r="BN182" s="256"/>
      <c r="BO182" s="256"/>
      <c r="BP182" s="256"/>
      <c r="BQ182" s="256"/>
      <c r="BR182" s="256"/>
      <c r="BS182" s="256"/>
      <c r="BT182" s="256"/>
      <c r="BU182" s="256"/>
      <c r="BV182" s="256"/>
      <c r="BW182" s="256"/>
      <c r="BX182" s="256"/>
      <c r="BY182" s="256"/>
      <c r="BZ182" s="256"/>
    </row>
    <row r="183" spans="1:78" ht="16" thickBot="1">
      <c r="A183" s="428" t="s">
        <v>154</v>
      </c>
      <c r="B183" s="430"/>
      <c r="C183" s="430"/>
      <c r="D183" s="430"/>
      <c r="E183" s="430"/>
      <c r="F183" s="430"/>
      <c r="G183" s="430"/>
      <c r="H183" s="430"/>
      <c r="I183" s="430"/>
      <c r="J183" s="430"/>
      <c r="K183" s="430"/>
      <c r="L183" s="430"/>
      <c r="M183" s="256"/>
      <c r="N183" s="256"/>
      <c r="O183" s="256"/>
      <c r="P183" s="256"/>
      <c r="Q183" s="256"/>
      <c r="R183" s="256"/>
      <c r="S183" s="256"/>
      <c r="T183" s="256"/>
      <c r="U183" s="256"/>
      <c r="V183" s="256"/>
      <c r="W183" s="256"/>
      <c r="X183" s="256"/>
      <c r="Y183" s="256"/>
      <c r="Z183" s="256"/>
      <c r="AA183" s="256"/>
      <c r="AB183" s="256"/>
      <c r="AC183" s="256"/>
      <c r="AD183" s="256"/>
      <c r="AE183" s="256"/>
      <c r="AF183" s="256"/>
      <c r="AG183" s="256"/>
      <c r="AH183" s="256"/>
      <c r="AI183" s="256"/>
      <c r="AJ183" s="256"/>
      <c r="AK183" s="256"/>
      <c r="AL183" s="256"/>
      <c r="AM183" s="256"/>
      <c r="AN183" s="256"/>
      <c r="AO183" s="256"/>
      <c r="AP183" s="256"/>
      <c r="AQ183" s="256"/>
      <c r="AR183" s="256"/>
      <c r="AS183" s="256"/>
      <c r="AT183" s="256"/>
      <c r="AU183" s="256"/>
      <c r="AV183" s="256"/>
      <c r="AW183" s="256"/>
      <c r="AX183" s="256"/>
      <c r="AY183" s="256"/>
      <c r="AZ183" s="256"/>
      <c r="BA183" s="256"/>
      <c r="BB183" s="256"/>
      <c r="BC183" s="256"/>
      <c r="BD183" s="256"/>
      <c r="BE183" s="256"/>
      <c r="BF183" s="256"/>
      <c r="BG183" s="256"/>
      <c r="BH183" s="256"/>
      <c r="BI183" s="256"/>
      <c r="BJ183" s="256"/>
      <c r="BK183" s="256"/>
      <c r="BL183" s="256"/>
      <c r="BM183" s="256"/>
      <c r="BN183" s="256"/>
      <c r="BO183" s="256"/>
      <c r="BP183" s="256"/>
      <c r="BQ183" s="256"/>
      <c r="BR183" s="256"/>
      <c r="BS183" s="256"/>
      <c r="BT183" s="256"/>
      <c r="BU183" s="256"/>
      <c r="BV183" s="256"/>
      <c r="BW183" s="256"/>
      <c r="BX183" s="256"/>
      <c r="BY183" s="256"/>
      <c r="BZ183" s="256"/>
    </row>
    <row r="184" spans="1:78" ht="15" thickBot="1">
      <c r="A184" s="483" t="s">
        <v>51</v>
      </c>
      <c r="B184" s="432">
        <v>2000</v>
      </c>
      <c r="C184" s="432">
        <v>2015</v>
      </c>
      <c r="D184" s="432">
        <v>2020</v>
      </c>
      <c r="E184" s="432">
        <v>2025</v>
      </c>
      <c r="F184" s="432">
        <v>2030</v>
      </c>
      <c r="G184" s="432">
        <v>2050</v>
      </c>
      <c r="H184" s="452" t="s">
        <v>98</v>
      </c>
      <c r="I184" s="453" t="s">
        <v>99</v>
      </c>
      <c r="J184" s="453" t="s">
        <v>100</v>
      </c>
      <c r="K184" s="453" t="s">
        <v>101</v>
      </c>
      <c r="L184" s="454" t="s">
        <v>384</v>
      </c>
      <c r="M184" s="256"/>
      <c r="N184" s="256"/>
      <c r="O184" s="256"/>
      <c r="P184" s="256"/>
      <c r="Q184" s="256"/>
      <c r="R184" s="256"/>
      <c r="S184" s="256"/>
      <c r="T184" s="256"/>
      <c r="U184" s="256"/>
      <c r="V184" s="256"/>
      <c r="W184" s="256"/>
      <c r="X184" s="256"/>
      <c r="Y184" s="256"/>
      <c r="Z184" s="256"/>
      <c r="AA184" s="256"/>
      <c r="AB184" s="256"/>
      <c r="AC184" s="256"/>
      <c r="AD184" s="256"/>
      <c r="AE184" s="256"/>
      <c r="AF184" s="256"/>
      <c r="AG184" s="256"/>
      <c r="AH184" s="256"/>
      <c r="AI184" s="256"/>
      <c r="AJ184" s="256"/>
      <c r="AK184" s="256"/>
      <c r="AL184" s="256"/>
      <c r="AM184" s="256"/>
      <c r="AN184" s="256"/>
      <c r="AO184" s="256"/>
      <c r="AP184" s="256"/>
      <c r="AQ184" s="256"/>
      <c r="AR184" s="256"/>
      <c r="AS184" s="256"/>
      <c r="AT184" s="256"/>
      <c r="AU184" s="256"/>
      <c r="AV184" s="256"/>
      <c r="AW184" s="256"/>
      <c r="AX184" s="256"/>
      <c r="AY184" s="256"/>
      <c r="AZ184" s="256"/>
      <c r="BA184" s="256"/>
      <c r="BB184" s="256"/>
      <c r="BC184" s="256"/>
      <c r="BD184" s="256"/>
      <c r="BE184" s="256"/>
      <c r="BF184" s="256"/>
      <c r="BG184" s="256"/>
      <c r="BH184" s="256"/>
      <c r="BI184" s="256"/>
      <c r="BJ184" s="256"/>
      <c r="BK184" s="256"/>
      <c r="BL184" s="256"/>
      <c r="BM184" s="256"/>
      <c r="BN184" s="256"/>
      <c r="BO184" s="256"/>
      <c r="BP184" s="256"/>
      <c r="BQ184" s="256"/>
      <c r="BR184" s="256"/>
      <c r="BS184" s="256"/>
      <c r="BT184" s="256"/>
      <c r="BU184" s="256"/>
      <c r="BV184" s="256"/>
      <c r="BW184" s="256"/>
      <c r="BX184" s="256"/>
      <c r="BY184" s="256"/>
      <c r="BZ184" s="256"/>
    </row>
    <row r="185" spans="1:78">
      <c r="A185" s="435" t="s">
        <v>103</v>
      </c>
      <c r="B185" s="455">
        <v>3.7561</v>
      </c>
      <c r="C185" s="455">
        <v>2.3746</v>
      </c>
      <c r="D185" s="455">
        <v>1.9155</v>
      </c>
      <c r="E185" s="455">
        <v>1.4925999999999999</v>
      </c>
      <c r="F185" s="455">
        <v>1.1229</v>
      </c>
      <c r="G185" s="455">
        <v>0.74460000000000004</v>
      </c>
      <c r="H185" s="456">
        <v>-3.0107603926098101E-2</v>
      </c>
      <c r="I185" s="457">
        <v>-4.2059932911037302E-2</v>
      </c>
      <c r="J185" s="457">
        <v>-4.86676696332956E-2</v>
      </c>
      <c r="K185" s="457">
        <v>-5.5331293629666801E-2</v>
      </c>
      <c r="L185" s="458">
        <v>-2.03316050780015E-2</v>
      </c>
      <c r="M185" s="256"/>
      <c r="N185" s="256"/>
      <c r="O185" s="256"/>
      <c r="P185" s="256"/>
      <c r="Q185" s="256"/>
      <c r="R185" s="256"/>
      <c r="S185" s="256"/>
      <c r="T185" s="256"/>
      <c r="U185" s="256"/>
      <c r="V185" s="256"/>
      <c r="W185" s="256"/>
      <c r="X185" s="256"/>
      <c r="Y185" s="256"/>
      <c r="Z185" s="256"/>
      <c r="AA185" s="256"/>
      <c r="AB185" s="256"/>
      <c r="AC185" s="256"/>
      <c r="AD185" s="256"/>
      <c r="AE185" s="256"/>
      <c r="AF185" s="256"/>
      <c r="AG185" s="256"/>
      <c r="AH185" s="256"/>
      <c r="AI185" s="256"/>
      <c r="AJ185" s="256"/>
      <c r="AK185" s="256"/>
      <c r="AL185" s="256"/>
      <c r="AM185" s="256"/>
      <c r="AN185" s="256"/>
      <c r="AO185" s="256"/>
      <c r="AP185" s="256"/>
      <c r="AQ185" s="256"/>
      <c r="AR185" s="256"/>
      <c r="AS185" s="256"/>
      <c r="AT185" s="256"/>
      <c r="AU185" s="256"/>
      <c r="AV185" s="256"/>
      <c r="AW185" s="256"/>
      <c r="AX185" s="256"/>
      <c r="AY185" s="256"/>
      <c r="AZ185" s="256"/>
      <c r="BA185" s="256"/>
      <c r="BB185" s="256"/>
      <c r="BC185" s="256"/>
      <c r="BD185" s="256"/>
      <c r="BE185" s="256"/>
      <c r="BF185" s="256"/>
      <c r="BG185" s="256"/>
      <c r="BH185" s="256"/>
      <c r="BI185" s="256"/>
      <c r="BJ185" s="256"/>
      <c r="BK185" s="256"/>
      <c r="BL185" s="256"/>
      <c r="BM185" s="256"/>
      <c r="BN185" s="256"/>
      <c r="BO185" s="256"/>
      <c r="BP185" s="256"/>
      <c r="BQ185" s="256"/>
      <c r="BR185" s="256"/>
      <c r="BS185" s="256"/>
      <c r="BT185" s="256"/>
      <c r="BU185" s="256"/>
      <c r="BV185" s="256"/>
      <c r="BW185" s="256"/>
      <c r="BX185" s="256"/>
      <c r="BY185" s="256"/>
      <c r="BZ185" s="256"/>
    </row>
    <row r="186" spans="1:78">
      <c r="A186" s="435" t="s">
        <v>54</v>
      </c>
      <c r="B186" s="455">
        <v>5.5961999999999996</v>
      </c>
      <c r="C186" s="455">
        <v>6.1024000000000003</v>
      </c>
      <c r="D186" s="455">
        <v>5.7868000000000004</v>
      </c>
      <c r="E186" s="455">
        <v>5.2241999999999997</v>
      </c>
      <c r="F186" s="455">
        <v>4.3676000000000004</v>
      </c>
      <c r="G186" s="455">
        <v>2.6025</v>
      </c>
      <c r="H186" s="461">
        <v>5.7896516525792804E-3</v>
      </c>
      <c r="I186" s="462">
        <v>-1.05643361785912E-2</v>
      </c>
      <c r="J186" s="462">
        <v>-2.0247761500076299E-2</v>
      </c>
      <c r="K186" s="462">
        <v>-3.5183743345156303E-2</v>
      </c>
      <c r="L186" s="463">
        <v>-2.5554859734163798E-2</v>
      </c>
      <c r="M186" s="256"/>
      <c r="N186" s="256"/>
      <c r="O186" s="256"/>
      <c r="P186" s="256"/>
      <c r="Q186" s="256"/>
      <c r="R186" s="256"/>
      <c r="S186" s="256"/>
      <c r="T186" s="256"/>
      <c r="U186" s="256"/>
      <c r="V186" s="256"/>
      <c r="W186" s="256"/>
      <c r="X186" s="256"/>
      <c r="Y186" s="256"/>
      <c r="Z186" s="256"/>
      <c r="AA186" s="256"/>
      <c r="AB186" s="256"/>
      <c r="AC186" s="256"/>
      <c r="AD186" s="256"/>
      <c r="AE186" s="256"/>
      <c r="AF186" s="256"/>
      <c r="AG186" s="256"/>
      <c r="AH186" s="256"/>
      <c r="AI186" s="256"/>
      <c r="AJ186" s="256"/>
      <c r="AK186" s="256"/>
      <c r="AL186" s="256"/>
      <c r="AM186" s="256"/>
      <c r="AN186" s="256"/>
      <c r="AO186" s="256"/>
      <c r="AP186" s="256"/>
      <c r="AQ186" s="256"/>
      <c r="AR186" s="256"/>
      <c r="AS186" s="256"/>
      <c r="AT186" s="256"/>
      <c r="AU186" s="256"/>
      <c r="AV186" s="256"/>
      <c r="AW186" s="256"/>
      <c r="AX186" s="256"/>
      <c r="AY186" s="256"/>
      <c r="AZ186" s="256"/>
      <c r="BA186" s="256"/>
      <c r="BB186" s="256"/>
      <c r="BC186" s="256"/>
      <c r="BD186" s="256"/>
      <c r="BE186" s="256"/>
      <c r="BF186" s="256"/>
      <c r="BG186" s="256"/>
      <c r="BH186" s="256"/>
      <c r="BI186" s="256"/>
      <c r="BJ186" s="256"/>
      <c r="BK186" s="256"/>
      <c r="BL186" s="256"/>
      <c r="BM186" s="256"/>
      <c r="BN186" s="256"/>
      <c r="BO186" s="256"/>
      <c r="BP186" s="256"/>
      <c r="BQ186" s="256"/>
      <c r="BR186" s="256"/>
      <c r="BS186" s="256"/>
      <c r="BT186" s="256"/>
      <c r="BU186" s="256"/>
      <c r="BV186" s="256"/>
      <c r="BW186" s="256"/>
      <c r="BX186" s="256"/>
      <c r="BY186" s="256"/>
      <c r="BZ186" s="256"/>
    </row>
    <row r="187" spans="1:78">
      <c r="A187" s="435" t="s">
        <v>42</v>
      </c>
      <c r="B187" s="455">
        <v>0.15870000000000001</v>
      </c>
      <c r="C187" s="455">
        <v>6.5500000000000003E-2</v>
      </c>
      <c r="D187" s="455">
        <v>0</v>
      </c>
      <c r="E187" s="455">
        <v>0</v>
      </c>
      <c r="F187" s="455">
        <v>0</v>
      </c>
      <c r="G187" s="455">
        <v>0</v>
      </c>
      <c r="H187" s="461">
        <v>-5.7291061665288301E-2</v>
      </c>
      <c r="I187" s="462">
        <v>-1</v>
      </c>
      <c r="J187" s="462" t="e">
        <f>#DIV/0!</f>
        <v>#DIV/0!</v>
      </c>
      <c r="K187" s="462" t="e">
        <f>#DIV/0!</f>
        <v>#DIV/0!</v>
      </c>
      <c r="L187" s="463" t="e">
        <f>#DIV/0!</f>
        <v>#DIV/0!</v>
      </c>
      <c r="M187" s="256"/>
      <c r="N187" s="256"/>
      <c r="O187" s="256"/>
      <c r="P187" s="256"/>
      <c r="Q187" s="256"/>
      <c r="R187" s="256"/>
      <c r="S187" s="256"/>
      <c r="T187" s="256"/>
      <c r="U187" s="256"/>
      <c r="V187" s="256"/>
      <c r="W187" s="256"/>
      <c r="X187" s="256"/>
      <c r="Y187" s="256"/>
      <c r="Z187" s="256"/>
      <c r="AA187" s="256"/>
      <c r="AB187" s="256"/>
      <c r="AC187" s="256"/>
      <c r="AD187" s="256"/>
      <c r="AE187" s="256"/>
      <c r="AF187" s="256"/>
      <c r="AG187" s="256"/>
      <c r="AH187" s="256"/>
      <c r="AI187" s="256"/>
      <c r="AJ187" s="256"/>
      <c r="AK187" s="256"/>
      <c r="AL187" s="256"/>
      <c r="AM187" s="256"/>
      <c r="AN187" s="256"/>
      <c r="AO187" s="256"/>
      <c r="AP187" s="256"/>
      <c r="AQ187" s="256"/>
      <c r="AR187" s="256"/>
      <c r="AS187" s="256"/>
      <c r="AT187" s="256"/>
      <c r="AU187" s="256"/>
      <c r="AV187" s="256"/>
      <c r="AW187" s="256"/>
      <c r="AX187" s="256"/>
      <c r="AY187" s="256"/>
      <c r="AZ187" s="256"/>
      <c r="BA187" s="256"/>
      <c r="BB187" s="256"/>
      <c r="BC187" s="256"/>
      <c r="BD187" s="256"/>
      <c r="BE187" s="256"/>
      <c r="BF187" s="256"/>
      <c r="BG187" s="256"/>
      <c r="BH187" s="256"/>
      <c r="BI187" s="256"/>
      <c r="BJ187" s="256"/>
      <c r="BK187" s="256"/>
      <c r="BL187" s="256"/>
      <c r="BM187" s="256"/>
      <c r="BN187" s="256"/>
      <c r="BO187" s="256"/>
      <c r="BP187" s="256"/>
      <c r="BQ187" s="256"/>
      <c r="BR187" s="256"/>
      <c r="BS187" s="256"/>
      <c r="BT187" s="256"/>
      <c r="BU187" s="256"/>
      <c r="BV187" s="256"/>
      <c r="BW187" s="256"/>
      <c r="BX187" s="256"/>
      <c r="BY187" s="256"/>
      <c r="BZ187" s="256"/>
    </row>
    <row r="188" spans="1:78">
      <c r="A188" s="435" t="s">
        <v>104</v>
      </c>
      <c r="B188" s="455">
        <v>9.33</v>
      </c>
      <c r="C188" s="455">
        <v>12.408300000000001</v>
      </c>
      <c r="D188" s="455">
        <v>12.885300000000001</v>
      </c>
      <c r="E188" s="455">
        <v>13.4857</v>
      </c>
      <c r="F188" s="455">
        <v>14.125299999999999</v>
      </c>
      <c r="G188" s="455">
        <v>17.1599</v>
      </c>
      <c r="H188" s="461">
        <v>1.9190521561260901E-2</v>
      </c>
      <c r="I188" s="462">
        <v>7.5728346050991701E-3</v>
      </c>
      <c r="J188" s="462">
        <v>9.1501566671643407E-3</v>
      </c>
      <c r="K188" s="462">
        <v>9.3106067204133895E-3</v>
      </c>
      <c r="L188" s="463">
        <v>9.7778816809108698E-3</v>
      </c>
      <c r="M188" s="256"/>
      <c r="N188" s="256"/>
      <c r="O188" s="256"/>
      <c r="P188" s="256"/>
      <c r="Q188" s="256"/>
      <c r="R188" s="256"/>
      <c r="S188" s="256"/>
      <c r="T188" s="256"/>
      <c r="U188" s="256"/>
      <c r="V188" s="256"/>
      <c r="W188" s="256"/>
      <c r="X188" s="256"/>
      <c r="Y188" s="256"/>
      <c r="Z188" s="256"/>
      <c r="AA188" s="256"/>
      <c r="AB188" s="256"/>
      <c r="AC188" s="256"/>
      <c r="AD188" s="256"/>
      <c r="AE188" s="256"/>
      <c r="AF188" s="256"/>
      <c r="AG188" s="256"/>
      <c r="AH188" s="256"/>
      <c r="AI188" s="256"/>
      <c r="AJ188" s="256"/>
      <c r="AK188" s="256"/>
      <c r="AL188" s="256"/>
      <c r="AM188" s="256"/>
      <c r="AN188" s="256"/>
      <c r="AO188" s="256"/>
      <c r="AP188" s="256"/>
      <c r="AQ188" s="256"/>
      <c r="AR188" s="256"/>
      <c r="AS188" s="256"/>
      <c r="AT188" s="256"/>
      <c r="AU188" s="256"/>
      <c r="AV188" s="256"/>
      <c r="AW188" s="256"/>
      <c r="AX188" s="256"/>
      <c r="AY188" s="256"/>
      <c r="AZ188" s="256"/>
      <c r="BA188" s="256"/>
      <c r="BB188" s="256"/>
      <c r="BC188" s="256"/>
      <c r="BD188" s="256"/>
      <c r="BE188" s="256"/>
      <c r="BF188" s="256"/>
      <c r="BG188" s="256"/>
      <c r="BH188" s="256"/>
      <c r="BI188" s="256"/>
      <c r="BJ188" s="256"/>
      <c r="BK188" s="256"/>
      <c r="BL188" s="256"/>
      <c r="BM188" s="256"/>
      <c r="BN188" s="256"/>
      <c r="BO188" s="256"/>
      <c r="BP188" s="256"/>
      <c r="BQ188" s="256"/>
      <c r="BR188" s="256"/>
      <c r="BS188" s="256"/>
      <c r="BT188" s="256"/>
      <c r="BU188" s="256"/>
      <c r="BV188" s="256"/>
      <c r="BW188" s="256"/>
      <c r="BX188" s="256"/>
      <c r="BY188" s="256"/>
      <c r="BZ188" s="256"/>
    </row>
    <row r="189" spans="1:78">
      <c r="A189" s="435" t="s">
        <v>105</v>
      </c>
      <c r="B189" s="455">
        <v>0.85540000000000005</v>
      </c>
      <c r="C189" s="455">
        <v>0.81569999999999998</v>
      </c>
      <c r="D189" s="455">
        <v>0.73019999999999996</v>
      </c>
      <c r="E189" s="455">
        <v>0.69030000000000002</v>
      </c>
      <c r="F189" s="455">
        <v>0.70609999999999995</v>
      </c>
      <c r="G189" s="455">
        <v>0.83020000000000005</v>
      </c>
      <c r="H189" s="461">
        <v>-3.1631570098044101E-3</v>
      </c>
      <c r="I189" s="462">
        <v>-2.19022198260551E-2</v>
      </c>
      <c r="J189" s="462">
        <v>-1.11755213831751E-2</v>
      </c>
      <c r="K189" s="462">
        <v>4.5363753009275403E-3</v>
      </c>
      <c r="L189" s="463">
        <v>8.1283453247007493E-3</v>
      </c>
      <c r="M189" s="256"/>
      <c r="N189" s="256"/>
      <c r="O189" s="256"/>
      <c r="P189" s="256"/>
      <c r="Q189" s="256"/>
      <c r="R189" s="256"/>
      <c r="S189" s="256"/>
      <c r="T189" s="256"/>
      <c r="U189" s="256"/>
      <c r="V189" s="256"/>
      <c r="W189" s="256"/>
      <c r="X189" s="256"/>
      <c r="Y189" s="256"/>
      <c r="Z189" s="256"/>
      <c r="AA189" s="256"/>
      <c r="AB189" s="256"/>
      <c r="AC189" s="256"/>
      <c r="AD189" s="256"/>
      <c r="AE189" s="256"/>
      <c r="AF189" s="256"/>
      <c r="AG189" s="256"/>
      <c r="AH189" s="256"/>
      <c r="AI189" s="256"/>
      <c r="AJ189" s="256"/>
      <c r="AK189" s="256"/>
      <c r="AL189" s="256"/>
      <c r="AM189" s="256"/>
      <c r="AN189" s="256"/>
      <c r="AO189" s="256"/>
      <c r="AP189" s="256"/>
      <c r="AQ189" s="256"/>
      <c r="AR189" s="256"/>
      <c r="AS189" s="256"/>
      <c r="AT189" s="256"/>
      <c r="AU189" s="256"/>
      <c r="AV189" s="256"/>
      <c r="AW189" s="256"/>
      <c r="AX189" s="256"/>
      <c r="AY189" s="256"/>
      <c r="AZ189" s="256"/>
      <c r="BA189" s="256"/>
      <c r="BB189" s="256"/>
      <c r="BC189" s="256"/>
      <c r="BD189" s="256"/>
      <c r="BE189" s="256"/>
      <c r="BF189" s="256"/>
      <c r="BG189" s="256"/>
      <c r="BH189" s="256"/>
      <c r="BI189" s="256"/>
      <c r="BJ189" s="256"/>
      <c r="BK189" s="256"/>
      <c r="BL189" s="256"/>
      <c r="BM189" s="256"/>
      <c r="BN189" s="256"/>
      <c r="BO189" s="256"/>
      <c r="BP189" s="256"/>
      <c r="BQ189" s="256"/>
      <c r="BR189" s="256"/>
      <c r="BS189" s="256"/>
      <c r="BT189" s="256"/>
      <c r="BU189" s="256"/>
      <c r="BV189" s="256"/>
      <c r="BW189" s="256"/>
      <c r="BX189" s="256"/>
      <c r="BY189" s="256"/>
      <c r="BZ189" s="256"/>
    </row>
    <row r="190" spans="1:78">
      <c r="A190" s="435" t="s">
        <v>134</v>
      </c>
      <c r="B190" s="436">
        <v>0.32079999999999997</v>
      </c>
      <c r="C190" s="436">
        <v>0.43919999999999998</v>
      </c>
      <c r="D190" s="436">
        <v>0.28920000000000001</v>
      </c>
      <c r="E190" s="436">
        <v>0.1908</v>
      </c>
      <c r="F190" s="436">
        <v>0.1142</v>
      </c>
      <c r="G190" s="436">
        <v>4.9099999999999998E-2</v>
      </c>
      <c r="H190" s="461">
        <v>2.11632999858604E-2</v>
      </c>
      <c r="I190" s="462">
        <v>-8.0170801502706598E-2</v>
      </c>
      <c r="J190" s="462">
        <v>-7.9813163360698103E-2</v>
      </c>
      <c r="K190" s="462">
        <v>-9.7561641878772601E-2</v>
      </c>
      <c r="L190" s="463">
        <v>-4.1326396695113801E-2</v>
      </c>
      <c r="M190" s="256"/>
      <c r="N190" s="256"/>
      <c r="O190" s="256"/>
      <c r="P190" s="256"/>
      <c r="Q190" s="256"/>
      <c r="R190" s="256"/>
      <c r="S190" s="256"/>
      <c r="T190" s="256"/>
      <c r="U190" s="256"/>
      <c r="V190" s="256"/>
      <c r="W190" s="256"/>
      <c r="X190" s="256"/>
      <c r="Y190" s="256"/>
      <c r="Z190" s="256"/>
      <c r="AA190" s="256"/>
      <c r="AB190" s="256"/>
      <c r="AC190" s="256"/>
      <c r="AD190" s="256"/>
      <c r="AE190" s="256"/>
      <c r="AF190" s="256"/>
      <c r="AG190" s="256"/>
      <c r="AH190" s="256"/>
      <c r="AI190" s="256"/>
      <c r="AJ190" s="256"/>
      <c r="AK190" s="256"/>
      <c r="AL190" s="256"/>
      <c r="AM190" s="256"/>
      <c r="AN190" s="256"/>
      <c r="AO190" s="256"/>
      <c r="AP190" s="256"/>
      <c r="AQ190" s="256"/>
      <c r="AR190" s="256"/>
      <c r="AS190" s="256"/>
      <c r="AT190" s="256"/>
      <c r="AU190" s="256"/>
      <c r="AV190" s="256"/>
      <c r="AW190" s="256"/>
      <c r="AX190" s="256"/>
      <c r="AY190" s="256"/>
      <c r="AZ190" s="256"/>
      <c r="BA190" s="256"/>
      <c r="BB190" s="256"/>
      <c r="BC190" s="256"/>
      <c r="BD190" s="256"/>
      <c r="BE190" s="256"/>
      <c r="BF190" s="256"/>
      <c r="BG190" s="256"/>
      <c r="BH190" s="256"/>
      <c r="BI190" s="256"/>
      <c r="BJ190" s="256"/>
      <c r="BK190" s="256"/>
      <c r="BL190" s="256"/>
      <c r="BM190" s="256"/>
      <c r="BN190" s="256"/>
      <c r="BO190" s="256"/>
      <c r="BP190" s="256"/>
      <c r="BQ190" s="256"/>
      <c r="BR190" s="256"/>
      <c r="BS190" s="256"/>
      <c r="BT190" s="256"/>
      <c r="BU190" s="256"/>
      <c r="BV190" s="256"/>
      <c r="BW190" s="256"/>
      <c r="BX190" s="256"/>
      <c r="BY190" s="256"/>
      <c r="BZ190" s="256"/>
    </row>
    <row r="191" spans="1:78">
      <c r="A191" s="435" t="s">
        <v>135</v>
      </c>
      <c r="B191" s="436">
        <v>0</v>
      </c>
      <c r="C191" s="436">
        <v>8.9099999999999999E-2</v>
      </c>
      <c r="D191" s="436">
        <v>7.9899999999999999E-2</v>
      </c>
      <c r="E191" s="436">
        <v>6.5100000000000005E-2</v>
      </c>
      <c r="F191" s="436">
        <v>5.2400000000000002E-2</v>
      </c>
      <c r="G191" s="436">
        <v>3.4099999999999998E-2</v>
      </c>
      <c r="H191" s="461"/>
      <c r="I191" s="462"/>
      <c r="J191" s="462"/>
      <c r="K191" s="462"/>
      <c r="L191" s="463"/>
      <c r="M191" s="256"/>
      <c r="N191" s="256"/>
      <c r="O191" s="256"/>
      <c r="P191" s="256"/>
      <c r="Q191" s="256"/>
      <c r="R191" s="256"/>
      <c r="S191" s="256"/>
      <c r="T191" s="256"/>
      <c r="U191" s="256"/>
      <c r="V191" s="256"/>
      <c r="W191" s="256"/>
      <c r="X191" s="256"/>
      <c r="Y191" s="256"/>
      <c r="Z191" s="256"/>
      <c r="AA191" s="256"/>
      <c r="AB191" s="256"/>
      <c r="AC191" s="256"/>
      <c r="AD191" s="256"/>
      <c r="AE191" s="256"/>
      <c r="AF191" s="256"/>
      <c r="AG191" s="256"/>
      <c r="AH191" s="256"/>
      <c r="AI191" s="256"/>
      <c r="AJ191" s="256"/>
      <c r="AK191" s="256"/>
      <c r="AL191" s="256"/>
      <c r="AM191" s="256"/>
      <c r="AN191" s="256"/>
      <c r="AO191" s="256"/>
      <c r="AP191" s="256"/>
      <c r="AQ191" s="256"/>
      <c r="AR191" s="256"/>
      <c r="AS191" s="256"/>
      <c r="AT191" s="256"/>
      <c r="AU191" s="256"/>
      <c r="AV191" s="256"/>
      <c r="AW191" s="256"/>
      <c r="AX191" s="256"/>
      <c r="AY191" s="256"/>
      <c r="AZ191" s="256"/>
      <c r="BA191" s="256"/>
      <c r="BB191" s="256"/>
      <c r="BC191" s="256"/>
      <c r="BD191" s="256"/>
      <c r="BE191" s="256"/>
      <c r="BF191" s="256"/>
      <c r="BG191" s="256"/>
      <c r="BH191" s="256"/>
      <c r="BI191" s="256"/>
      <c r="BJ191" s="256"/>
      <c r="BK191" s="256"/>
      <c r="BL191" s="256"/>
      <c r="BM191" s="256"/>
      <c r="BN191" s="256"/>
      <c r="BO191" s="256"/>
      <c r="BP191" s="256"/>
      <c r="BQ191" s="256"/>
      <c r="BR191" s="256"/>
      <c r="BS191" s="256"/>
      <c r="BT191" s="256"/>
      <c r="BU191" s="256"/>
      <c r="BV191" s="256"/>
      <c r="BW191" s="256"/>
      <c r="BX191" s="256"/>
      <c r="BY191" s="256"/>
      <c r="BZ191" s="256"/>
    </row>
    <row r="192" spans="1:78">
      <c r="A192" s="435" t="s">
        <v>136</v>
      </c>
      <c r="B192" s="436">
        <v>0</v>
      </c>
      <c r="C192" s="436">
        <v>0.70541508524818897</v>
      </c>
      <c r="D192" s="436">
        <v>0.84021412129145101</v>
      </c>
      <c r="E192" s="436">
        <v>0.92974017049510504</v>
      </c>
      <c r="F192" s="436">
        <v>0.95436496257908998</v>
      </c>
      <c r="G192" s="436">
        <v>1.2473564476953301</v>
      </c>
      <c r="H192" s="461"/>
      <c r="I192" s="462"/>
      <c r="J192" s="462"/>
      <c r="K192" s="462"/>
      <c r="L192" s="463"/>
      <c r="M192" s="256"/>
      <c r="N192" s="256"/>
      <c r="O192" s="256"/>
      <c r="P192" s="256"/>
      <c r="Q192" s="256"/>
      <c r="R192" s="256"/>
      <c r="S192" s="256"/>
      <c r="T192" s="256"/>
      <c r="U192" s="256"/>
      <c r="V192" s="256"/>
      <c r="W192" s="256"/>
      <c r="X192" s="256"/>
      <c r="Y192" s="256"/>
      <c r="Z192" s="256"/>
      <c r="AA192" s="256"/>
      <c r="AB192" s="256"/>
      <c r="AC192" s="256"/>
      <c r="AD192" s="256"/>
      <c r="AE192" s="256"/>
      <c r="AF192" s="256"/>
      <c r="AG192" s="256"/>
      <c r="AH192" s="256"/>
      <c r="AI192" s="256"/>
      <c r="AJ192" s="256"/>
      <c r="AK192" s="256"/>
      <c r="AL192" s="256"/>
      <c r="AM192" s="256"/>
      <c r="AN192" s="256"/>
      <c r="AO192" s="256"/>
      <c r="AP192" s="256"/>
      <c r="AQ192" s="256"/>
      <c r="AR192" s="256"/>
      <c r="AS192" s="256"/>
      <c r="AT192" s="256"/>
      <c r="AU192" s="256"/>
      <c r="AV192" s="256"/>
      <c r="AW192" s="256"/>
      <c r="AX192" s="256"/>
      <c r="AY192" s="256"/>
      <c r="AZ192" s="256"/>
      <c r="BA192" s="256"/>
      <c r="BB192" s="256"/>
      <c r="BC192" s="256"/>
      <c r="BD192" s="256"/>
      <c r="BE192" s="256"/>
      <c r="BF192" s="256"/>
      <c r="BG192" s="256"/>
      <c r="BH192" s="256"/>
      <c r="BI192" s="256"/>
      <c r="BJ192" s="256"/>
      <c r="BK192" s="256"/>
      <c r="BL192" s="256"/>
      <c r="BM192" s="256"/>
      <c r="BN192" s="256"/>
      <c r="BO192" s="256"/>
      <c r="BP192" s="256"/>
      <c r="BQ192" s="256"/>
      <c r="BR192" s="256"/>
      <c r="BS192" s="256"/>
      <c r="BT192" s="256"/>
      <c r="BU192" s="256"/>
      <c r="BV192" s="256"/>
      <c r="BW192" s="256"/>
      <c r="BX192" s="256"/>
      <c r="BY192" s="256"/>
      <c r="BZ192" s="256"/>
    </row>
    <row r="193" spans="1:78">
      <c r="A193" s="435"/>
      <c r="B193" s="436"/>
      <c r="C193" s="436"/>
      <c r="D193" s="436"/>
      <c r="E193" s="436"/>
      <c r="F193" s="436"/>
      <c r="G193" s="436"/>
      <c r="H193" s="461"/>
      <c r="I193" s="462"/>
      <c r="J193" s="462"/>
      <c r="K193" s="462"/>
      <c r="L193" s="463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6"/>
      <c r="Z193" s="256"/>
      <c r="AA193" s="256"/>
      <c r="AB193" s="256"/>
      <c r="AC193" s="256"/>
      <c r="AD193" s="256"/>
      <c r="AE193" s="256"/>
      <c r="AF193" s="256"/>
      <c r="AG193" s="256"/>
      <c r="AH193" s="256"/>
      <c r="AI193" s="256"/>
      <c r="AJ193" s="256"/>
      <c r="AK193" s="256"/>
      <c r="AL193" s="256"/>
      <c r="AM193" s="256"/>
      <c r="AN193" s="256"/>
      <c r="AO193" s="256"/>
      <c r="AP193" s="256"/>
      <c r="AQ193" s="256"/>
      <c r="AR193" s="256"/>
      <c r="AS193" s="256"/>
      <c r="AT193" s="256"/>
      <c r="AU193" s="256"/>
      <c r="AV193" s="256"/>
      <c r="AW193" s="256"/>
      <c r="AX193" s="256"/>
      <c r="AY193" s="256"/>
      <c r="AZ193" s="256"/>
      <c r="BA193" s="256"/>
      <c r="BB193" s="256"/>
      <c r="BC193" s="256"/>
      <c r="BD193" s="256"/>
      <c r="BE193" s="256"/>
      <c r="BF193" s="256"/>
      <c r="BG193" s="256"/>
      <c r="BH193" s="256"/>
      <c r="BI193" s="256"/>
      <c r="BJ193" s="256"/>
      <c r="BK193" s="256"/>
      <c r="BL193" s="256"/>
      <c r="BM193" s="256"/>
      <c r="BN193" s="256"/>
      <c r="BO193" s="256"/>
      <c r="BP193" s="256"/>
      <c r="BQ193" s="256"/>
      <c r="BR193" s="256"/>
      <c r="BS193" s="256"/>
      <c r="BT193" s="256"/>
      <c r="BU193" s="256"/>
      <c r="BV193" s="256"/>
      <c r="BW193" s="256"/>
      <c r="BX193" s="256"/>
      <c r="BY193" s="256"/>
      <c r="BZ193" s="256"/>
    </row>
    <row r="194" spans="1:78" ht="15" thickBot="1">
      <c r="A194" s="444" t="s">
        <v>10</v>
      </c>
      <c r="B194" s="464">
        <v>20.017199999999999</v>
      </c>
      <c r="C194" s="464">
        <v>23.0002150852482</v>
      </c>
      <c r="D194" s="464">
        <v>22.5271141212915</v>
      </c>
      <c r="E194" s="464">
        <v>22.078440170495099</v>
      </c>
      <c r="F194" s="464">
        <v>21.442864962579101</v>
      </c>
      <c r="G194" s="464">
        <v>22.6677564476953</v>
      </c>
      <c r="H194" s="466">
        <v>9.3037912415132595E-3</v>
      </c>
      <c r="I194" s="467">
        <v>-4.1481548719571899E-3</v>
      </c>
      <c r="J194" s="467">
        <v>-4.0155323599075903E-3</v>
      </c>
      <c r="K194" s="467">
        <v>-5.8248931822137999E-3</v>
      </c>
      <c r="L194" s="468">
        <v>2.7814380241897299E-3</v>
      </c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6"/>
      <c r="Z194" s="256"/>
      <c r="AA194" s="256"/>
      <c r="AB194" s="256"/>
      <c r="AC194" s="256"/>
      <c r="AD194" s="256"/>
      <c r="AE194" s="256"/>
      <c r="AF194" s="256"/>
      <c r="AG194" s="256"/>
      <c r="AH194" s="256"/>
      <c r="AI194" s="256"/>
      <c r="AJ194" s="256"/>
      <c r="AK194" s="256"/>
      <c r="AL194" s="256"/>
      <c r="AM194" s="256"/>
      <c r="AN194" s="256"/>
      <c r="AO194" s="256"/>
      <c r="AP194" s="256"/>
      <c r="AQ194" s="256"/>
      <c r="AR194" s="256"/>
      <c r="AS194" s="256"/>
      <c r="AT194" s="256"/>
      <c r="AU194" s="256"/>
      <c r="AV194" s="256"/>
      <c r="AW194" s="256"/>
      <c r="AX194" s="256"/>
      <c r="AY194" s="256"/>
      <c r="AZ194" s="256"/>
      <c r="BA194" s="256"/>
      <c r="BB194" s="256"/>
      <c r="BC194" s="256"/>
      <c r="BD194" s="256"/>
      <c r="BE194" s="256"/>
      <c r="BF194" s="256"/>
      <c r="BG194" s="256"/>
      <c r="BH194" s="256"/>
      <c r="BI194" s="256"/>
      <c r="BJ194" s="256"/>
      <c r="BK194" s="256"/>
      <c r="BL194" s="256"/>
      <c r="BM194" s="256"/>
      <c r="BN194" s="256"/>
      <c r="BO194" s="256"/>
      <c r="BP194" s="256"/>
      <c r="BQ194" s="256"/>
      <c r="BR194" s="256"/>
      <c r="BS194" s="256"/>
      <c r="BT194" s="256"/>
      <c r="BU194" s="256"/>
      <c r="BV194" s="256"/>
      <c r="BW194" s="256"/>
      <c r="BX194" s="256"/>
      <c r="BY194" s="256"/>
      <c r="BZ194" s="256"/>
    </row>
    <row r="195" spans="1:78">
      <c r="A195" s="449"/>
      <c r="B195" s="427"/>
      <c r="C195" s="427"/>
      <c r="D195" s="427"/>
      <c r="E195" s="427"/>
      <c r="F195" s="256"/>
      <c r="G195" s="256"/>
      <c r="H195" s="256"/>
      <c r="I195" s="256"/>
      <c r="J195" s="256"/>
      <c r="K195" s="256"/>
      <c r="L195" s="256"/>
      <c r="M195" s="256"/>
      <c r="N195" s="256"/>
      <c r="O195" s="256"/>
      <c r="P195" s="256"/>
      <c r="Q195" s="256"/>
      <c r="R195" s="256"/>
      <c r="S195" s="256"/>
      <c r="T195" s="256"/>
      <c r="U195" s="256"/>
      <c r="V195" s="256"/>
      <c r="W195" s="256"/>
      <c r="X195" s="256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256"/>
      <c r="AJ195" s="256"/>
      <c r="AK195" s="256"/>
      <c r="AL195" s="256"/>
      <c r="AM195" s="256"/>
      <c r="AN195" s="256"/>
      <c r="AO195" s="256"/>
      <c r="AP195" s="256"/>
      <c r="AQ195" s="256"/>
      <c r="AR195" s="256"/>
      <c r="AS195" s="256"/>
      <c r="AT195" s="256"/>
      <c r="AU195" s="256"/>
      <c r="AV195" s="256"/>
      <c r="AW195" s="256"/>
      <c r="AX195" s="256"/>
      <c r="AY195" s="256"/>
      <c r="AZ195" s="256"/>
      <c r="BA195" s="256"/>
      <c r="BB195" s="256"/>
      <c r="BC195" s="256"/>
      <c r="BD195" s="256"/>
      <c r="BE195" s="256"/>
      <c r="BF195" s="256"/>
      <c r="BG195" s="256"/>
      <c r="BH195" s="256"/>
      <c r="BI195" s="256"/>
      <c r="BJ195" s="256"/>
      <c r="BK195" s="256"/>
      <c r="BL195" s="256"/>
      <c r="BM195" s="256"/>
      <c r="BN195" s="256"/>
      <c r="BO195" s="256"/>
      <c r="BP195" s="256"/>
      <c r="BQ195" s="256"/>
      <c r="BR195" s="256"/>
      <c r="BS195" s="256"/>
      <c r="BT195" s="256"/>
      <c r="BU195" s="256"/>
      <c r="BV195" s="256"/>
      <c r="BW195" s="256"/>
      <c r="BX195" s="256"/>
      <c r="BY195" s="256"/>
      <c r="BZ195" s="256"/>
    </row>
    <row r="196" spans="1:78">
      <c r="A196" s="449"/>
      <c r="B196" s="427"/>
      <c r="C196" s="427"/>
      <c r="D196" s="427"/>
      <c r="E196" s="427"/>
      <c r="F196" s="256"/>
      <c r="G196" s="256"/>
      <c r="H196" s="256"/>
      <c r="I196" s="256"/>
      <c r="J196" s="256"/>
      <c r="K196" s="256"/>
      <c r="L196" s="256"/>
      <c r="M196" s="256"/>
      <c r="N196" s="256"/>
      <c r="O196" s="256"/>
      <c r="P196" s="256"/>
      <c r="Q196" s="256"/>
      <c r="R196" s="256"/>
      <c r="S196" s="256"/>
      <c r="T196" s="256"/>
      <c r="U196" s="256"/>
      <c r="V196" s="256"/>
      <c r="W196" s="256"/>
      <c r="X196" s="256"/>
      <c r="Y196" s="256"/>
      <c r="Z196" s="256"/>
      <c r="AA196" s="256"/>
      <c r="AB196" s="256"/>
      <c r="AC196" s="256"/>
      <c r="AD196" s="256"/>
      <c r="AE196" s="256"/>
      <c r="AF196" s="256"/>
      <c r="AG196" s="256"/>
      <c r="AH196" s="256"/>
      <c r="AI196" s="256"/>
      <c r="AJ196" s="256"/>
      <c r="AK196" s="256"/>
      <c r="AL196" s="256"/>
      <c r="AM196" s="256"/>
      <c r="AN196" s="256"/>
      <c r="AO196" s="256"/>
      <c r="AP196" s="256"/>
      <c r="AQ196" s="256"/>
      <c r="AR196" s="256"/>
      <c r="AS196" s="256"/>
      <c r="AT196" s="256"/>
      <c r="AU196" s="256"/>
      <c r="AV196" s="256"/>
      <c r="AW196" s="256"/>
      <c r="AX196" s="256"/>
      <c r="AY196" s="256"/>
      <c r="AZ196" s="256"/>
      <c r="BA196" s="256"/>
      <c r="BB196" s="256"/>
      <c r="BC196" s="256"/>
      <c r="BD196" s="256"/>
      <c r="BE196" s="256"/>
      <c r="BF196" s="256"/>
      <c r="BG196" s="256"/>
      <c r="BH196" s="256"/>
      <c r="BI196" s="256"/>
      <c r="BJ196" s="256"/>
      <c r="BK196" s="256"/>
      <c r="BL196" s="256"/>
      <c r="BM196" s="256"/>
      <c r="BN196" s="256"/>
      <c r="BO196" s="256"/>
      <c r="BP196" s="256"/>
      <c r="BQ196" s="256"/>
      <c r="BR196" s="256"/>
      <c r="BS196" s="256"/>
      <c r="BT196" s="256"/>
      <c r="BU196" s="256"/>
      <c r="BV196" s="256"/>
      <c r="BW196" s="256"/>
      <c r="BX196" s="256"/>
      <c r="BY196" s="256"/>
      <c r="BZ196" s="256"/>
    </row>
    <row r="197" spans="1:78" ht="16" thickBot="1">
      <c r="A197" s="428" t="s">
        <v>155</v>
      </c>
      <c r="B197" s="430"/>
      <c r="C197" s="430"/>
      <c r="D197" s="430"/>
      <c r="E197" s="430"/>
      <c r="F197" s="430"/>
      <c r="G197" s="430"/>
      <c r="H197" s="430"/>
      <c r="I197" s="430"/>
      <c r="J197" s="430"/>
      <c r="K197" s="430"/>
      <c r="L197" s="430"/>
      <c r="M197" s="256"/>
      <c r="N197" s="256"/>
      <c r="O197" s="256"/>
      <c r="P197" s="256"/>
      <c r="Q197" s="256"/>
      <c r="R197" s="256"/>
      <c r="S197" s="256"/>
      <c r="T197" s="256"/>
      <c r="U197" s="256"/>
      <c r="V197" s="256"/>
      <c r="W197" s="256"/>
      <c r="X197" s="256"/>
      <c r="Y197" s="256"/>
      <c r="Z197" s="256"/>
      <c r="AA197" s="256"/>
      <c r="AB197" s="256"/>
      <c r="AC197" s="256"/>
      <c r="AD197" s="256"/>
      <c r="AE197" s="256"/>
      <c r="AF197" s="256"/>
      <c r="AG197" s="256"/>
      <c r="AH197" s="256"/>
      <c r="AI197" s="256"/>
      <c r="AJ197" s="256"/>
      <c r="AK197" s="256"/>
      <c r="AL197" s="256"/>
      <c r="AM197" s="256"/>
      <c r="AN197" s="256"/>
      <c r="AO197" s="256"/>
      <c r="AP197" s="256"/>
      <c r="AQ197" s="256"/>
      <c r="AR197" s="256"/>
      <c r="AS197" s="256"/>
      <c r="AT197" s="256"/>
      <c r="AU197" s="256"/>
      <c r="AV197" s="256"/>
      <c r="AW197" s="256"/>
      <c r="AX197" s="256"/>
      <c r="AY197" s="256"/>
      <c r="AZ197" s="256"/>
      <c r="BA197" s="256"/>
      <c r="BB197" s="256"/>
      <c r="BC197" s="256"/>
      <c r="BD197" s="256"/>
      <c r="BE197" s="256"/>
      <c r="BF197" s="256"/>
      <c r="BG197" s="256"/>
      <c r="BH197" s="256"/>
      <c r="BI197" s="256"/>
      <c r="BJ197" s="256"/>
      <c r="BK197" s="256"/>
      <c r="BL197" s="256"/>
      <c r="BM197" s="256"/>
      <c r="BN197" s="256"/>
      <c r="BO197" s="256"/>
      <c r="BP197" s="256"/>
      <c r="BQ197" s="256"/>
      <c r="BR197" s="256"/>
      <c r="BS197" s="256"/>
      <c r="BT197" s="256"/>
      <c r="BU197" s="256"/>
      <c r="BV197" s="256"/>
      <c r="BW197" s="256"/>
      <c r="BX197" s="256"/>
      <c r="BY197" s="256"/>
      <c r="BZ197" s="256"/>
    </row>
    <row r="198" spans="1:78" ht="15" thickBot="1">
      <c r="A198" s="483" t="s">
        <v>51</v>
      </c>
      <c r="B198" s="432">
        <v>2000</v>
      </c>
      <c r="C198" s="432">
        <v>2015</v>
      </c>
      <c r="D198" s="432">
        <v>2020</v>
      </c>
      <c r="E198" s="432">
        <v>2025</v>
      </c>
      <c r="F198" s="432">
        <v>2030</v>
      </c>
      <c r="G198" s="432">
        <v>2050</v>
      </c>
      <c r="H198" s="452" t="s">
        <v>98</v>
      </c>
      <c r="I198" s="453" t="s">
        <v>99</v>
      </c>
      <c r="J198" s="453" t="s">
        <v>100</v>
      </c>
      <c r="K198" s="453" t="s">
        <v>101</v>
      </c>
      <c r="L198" s="454" t="s">
        <v>384</v>
      </c>
      <c r="M198" s="256"/>
      <c r="N198" s="256"/>
      <c r="O198" s="256"/>
      <c r="P198" s="256"/>
      <c r="Q198" s="256"/>
      <c r="R198" s="256"/>
      <c r="S198" s="256"/>
      <c r="T198" s="256"/>
      <c r="U198" s="256"/>
      <c r="V198" s="256"/>
      <c r="W198" s="256"/>
      <c r="X198" s="256"/>
      <c r="Y198" s="256"/>
      <c r="Z198" s="256"/>
      <c r="AA198" s="256"/>
      <c r="AB198" s="256"/>
      <c r="AC198" s="256"/>
      <c r="AD198" s="256"/>
      <c r="AE198" s="256"/>
      <c r="AF198" s="256"/>
      <c r="AG198" s="256"/>
      <c r="AH198" s="256"/>
      <c r="AI198" s="256"/>
      <c r="AJ198" s="256"/>
      <c r="AK198" s="256"/>
      <c r="AL198" s="256"/>
      <c r="AM198" s="256"/>
      <c r="AN198" s="256"/>
      <c r="AO198" s="256"/>
      <c r="AP198" s="256"/>
      <c r="AQ198" s="256"/>
      <c r="AR198" s="256"/>
      <c r="AS198" s="256"/>
      <c r="AT198" s="256"/>
      <c r="AU198" s="256"/>
      <c r="AV198" s="256"/>
      <c r="AW198" s="256"/>
      <c r="AX198" s="256"/>
      <c r="AY198" s="256"/>
      <c r="AZ198" s="256"/>
      <c r="BA198" s="256"/>
      <c r="BB198" s="256"/>
      <c r="BC198" s="256"/>
      <c r="BD198" s="256"/>
      <c r="BE198" s="256"/>
      <c r="BF198" s="256"/>
      <c r="BG198" s="256"/>
      <c r="BH198" s="256"/>
      <c r="BI198" s="256"/>
      <c r="BJ198" s="256"/>
      <c r="BK198" s="256"/>
      <c r="BL198" s="256"/>
      <c r="BM198" s="256"/>
      <c r="BN198" s="256"/>
      <c r="BO198" s="256"/>
      <c r="BP198" s="256"/>
      <c r="BQ198" s="256"/>
      <c r="BR198" s="256"/>
      <c r="BS198" s="256"/>
      <c r="BT198" s="256"/>
      <c r="BU198" s="256"/>
      <c r="BV198" s="256"/>
      <c r="BW198" s="256"/>
      <c r="BX198" s="256"/>
      <c r="BY198" s="256"/>
      <c r="BZ198" s="256"/>
    </row>
    <row r="199" spans="1:78">
      <c r="A199" s="435" t="s">
        <v>138</v>
      </c>
      <c r="B199" s="455">
        <v>9.3125</v>
      </c>
      <c r="C199" s="455">
        <v>9.4195150852481895</v>
      </c>
      <c r="D199" s="455">
        <v>8.5917141212914494</v>
      </c>
      <c r="E199" s="455">
        <v>7.7719401704950997</v>
      </c>
      <c r="F199" s="455">
        <v>6.7008649625790904</v>
      </c>
      <c r="G199" s="455">
        <v>5.20145644769533</v>
      </c>
      <c r="H199" s="456">
        <v>7.6202528770386003E-4</v>
      </c>
      <c r="I199" s="457">
        <v>-1.8228876035648999E-2</v>
      </c>
      <c r="J199" s="457">
        <v>-1.9855908742122699E-2</v>
      </c>
      <c r="K199" s="457">
        <v>-2.9221200253626501E-2</v>
      </c>
      <c r="L199" s="458">
        <v>-1.25850349185209E-2</v>
      </c>
      <c r="M199" s="256"/>
      <c r="N199" s="256"/>
      <c r="O199" s="256"/>
      <c r="P199" s="256"/>
      <c r="Q199" s="256"/>
      <c r="R199" s="256"/>
      <c r="S199" s="256"/>
      <c r="T199" s="256"/>
      <c r="U199" s="256"/>
      <c r="V199" s="256"/>
      <c r="W199" s="256"/>
      <c r="X199" s="256"/>
      <c r="Y199" s="256"/>
      <c r="Z199" s="256"/>
      <c r="AA199" s="256"/>
      <c r="AB199" s="256"/>
      <c r="AC199" s="256"/>
      <c r="AD199" s="256"/>
      <c r="AE199" s="256"/>
      <c r="AF199" s="256"/>
      <c r="AG199" s="256"/>
      <c r="AH199" s="256"/>
      <c r="AI199" s="256"/>
      <c r="AJ199" s="256"/>
      <c r="AK199" s="256"/>
      <c r="AL199" s="256"/>
      <c r="AM199" s="256"/>
      <c r="AN199" s="256"/>
      <c r="AO199" s="256"/>
      <c r="AP199" s="256"/>
      <c r="AQ199" s="256"/>
      <c r="AR199" s="256"/>
      <c r="AS199" s="256"/>
      <c r="AT199" s="256"/>
      <c r="AU199" s="256"/>
      <c r="AV199" s="256"/>
      <c r="AW199" s="256"/>
      <c r="AX199" s="256"/>
      <c r="AY199" s="256"/>
      <c r="AZ199" s="256"/>
      <c r="BA199" s="256"/>
      <c r="BB199" s="256"/>
      <c r="BC199" s="256"/>
      <c r="BD199" s="256"/>
      <c r="BE199" s="256"/>
      <c r="BF199" s="256"/>
      <c r="BG199" s="256"/>
      <c r="BH199" s="256"/>
      <c r="BI199" s="256"/>
      <c r="BJ199" s="256"/>
      <c r="BK199" s="256"/>
      <c r="BL199" s="256"/>
      <c r="BM199" s="256"/>
      <c r="BN199" s="256"/>
      <c r="BO199" s="256"/>
      <c r="BP199" s="256"/>
      <c r="BQ199" s="256"/>
      <c r="BR199" s="256"/>
      <c r="BS199" s="256"/>
      <c r="BT199" s="256"/>
      <c r="BU199" s="256"/>
      <c r="BV199" s="256"/>
      <c r="BW199" s="256"/>
      <c r="BX199" s="256"/>
      <c r="BY199" s="256"/>
      <c r="BZ199" s="256"/>
    </row>
    <row r="200" spans="1:78">
      <c r="A200" s="435" t="s">
        <v>156</v>
      </c>
      <c r="B200" s="436">
        <v>3.78571461736888</v>
      </c>
      <c r="C200" s="436">
        <v>3.9586567497850398</v>
      </c>
      <c r="D200" s="436">
        <v>3.97265709372313</v>
      </c>
      <c r="E200" s="436">
        <v>3.9334647463456598</v>
      </c>
      <c r="F200" s="436">
        <v>3.8856425623387798</v>
      </c>
      <c r="G200" s="436">
        <v>4.0064719690455703</v>
      </c>
      <c r="H200" s="461">
        <v>2.9824447705471E-3</v>
      </c>
      <c r="I200" s="462">
        <v>7.0632949884630303E-4</v>
      </c>
      <c r="J200" s="462">
        <v>-1.9809376716346501E-3</v>
      </c>
      <c r="K200" s="462">
        <v>-2.4434671579897098E-3</v>
      </c>
      <c r="L200" s="463">
        <v>1.5323067835169E-3</v>
      </c>
      <c r="M200" s="256"/>
      <c r="N200" s="256"/>
      <c r="O200" s="459"/>
      <c r="P200" s="256"/>
      <c r="Q200" s="256"/>
      <c r="R200" s="256"/>
      <c r="S200" s="256"/>
      <c r="T200" s="256"/>
      <c r="U200" s="256"/>
      <c r="V200" s="256"/>
      <c r="W200" s="256"/>
      <c r="X200" s="256"/>
      <c r="Y200" s="256"/>
      <c r="Z200" s="256"/>
      <c r="AA200" s="256"/>
      <c r="AB200" s="256"/>
      <c r="AC200" s="256"/>
      <c r="AD200" s="256"/>
      <c r="AE200" s="256"/>
      <c r="AF200" s="256"/>
      <c r="AG200" s="256"/>
      <c r="AH200" s="256"/>
      <c r="AI200" s="256"/>
      <c r="AJ200" s="256"/>
      <c r="AK200" s="256"/>
      <c r="AL200" s="256"/>
      <c r="AM200" s="256"/>
      <c r="AN200" s="256"/>
      <c r="AO200" s="256"/>
      <c r="AP200" s="256"/>
      <c r="AQ200" s="256"/>
      <c r="AR200" s="256"/>
      <c r="AS200" s="256"/>
      <c r="AT200" s="256"/>
      <c r="AU200" s="256"/>
      <c r="AV200" s="256"/>
      <c r="AW200" s="256"/>
      <c r="AX200" s="256"/>
      <c r="AY200" s="256"/>
      <c r="AZ200" s="256"/>
      <c r="BA200" s="256"/>
      <c r="BB200" s="256"/>
      <c r="BC200" s="256"/>
      <c r="BD200" s="256"/>
      <c r="BE200" s="256"/>
      <c r="BF200" s="256"/>
      <c r="BG200" s="256"/>
      <c r="BH200" s="256"/>
      <c r="BI200" s="256"/>
      <c r="BJ200" s="256"/>
      <c r="BK200" s="256"/>
      <c r="BL200" s="256"/>
      <c r="BM200" s="256"/>
      <c r="BN200" s="256"/>
      <c r="BO200" s="256"/>
      <c r="BP200" s="256"/>
      <c r="BQ200" s="256"/>
      <c r="BR200" s="256"/>
      <c r="BS200" s="256"/>
      <c r="BT200" s="256"/>
      <c r="BU200" s="256"/>
      <c r="BV200" s="256"/>
      <c r="BW200" s="256"/>
      <c r="BX200" s="256"/>
      <c r="BY200" s="256"/>
      <c r="BZ200" s="256"/>
    </row>
    <row r="201" spans="1:78">
      <c r="A201" s="435" t="s">
        <v>143</v>
      </c>
      <c r="B201" s="455">
        <v>0.26721410146173702</v>
      </c>
      <c r="C201" s="455">
        <v>0.52036973344797899</v>
      </c>
      <c r="D201" s="455">
        <v>0.51314703353396396</v>
      </c>
      <c r="E201" s="455">
        <v>0.54453138435081705</v>
      </c>
      <c r="F201" s="455">
        <v>0.57324161650902805</v>
      </c>
      <c r="G201" s="455">
        <v>0.61307824591573501</v>
      </c>
      <c r="H201" s="461">
        <v>4.54345378075625E-2</v>
      </c>
      <c r="I201" s="462">
        <v>-2.7915295345626299E-3</v>
      </c>
      <c r="J201" s="462">
        <v>1.19433915277583E-2</v>
      </c>
      <c r="K201" s="462">
        <v>1.03293264690474E-2</v>
      </c>
      <c r="L201" s="463">
        <v>3.3649123941530399E-3</v>
      </c>
      <c r="M201" s="256"/>
      <c r="N201" s="256"/>
      <c r="O201" s="256"/>
      <c r="P201" s="256"/>
      <c r="Q201" s="256"/>
      <c r="R201" s="256"/>
      <c r="S201" s="256"/>
      <c r="T201" s="256"/>
      <c r="U201" s="256"/>
      <c r="V201" s="256"/>
      <c r="W201" s="256"/>
      <c r="X201" s="256"/>
      <c r="Y201" s="256"/>
      <c r="Z201" s="256"/>
      <c r="AA201" s="256"/>
      <c r="AB201" s="256"/>
      <c r="AC201" s="256"/>
      <c r="AD201" s="256"/>
      <c r="AE201" s="256"/>
      <c r="AF201" s="256"/>
      <c r="AG201" s="256"/>
      <c r="AH201" s="256"/>
      <c r="AI201" s="256"/>
      <c r="AJ201" s="256"/>
      <c r="AK201" s="256"/>
      <c r="AL201" s="256"/>
      <c r="AM201" s="256"/>
      <c r="AN201" s="256"/>
      <c r="AO201" s="256"/>
      <c r="AP201" s="256"/>
      <c r="AQ201" s="256"/>
      <c r="AR201" s="256"/>
      <c r="AS201" s="256"/>
      <c r="AT201" s="256"/>
      <c r="AU201" s="256"/>
      <c r="AV201" s="256"/>
      <c r="AW201" s="256"/>
      <c r="AX201" s="256"/>
      <c r="AY201" s="256"/>
      <c r="AZ201" s="256"/>
      <c r="BA201" s="256"/>
      <c r="BB201" s="256"/>
      <c r="BC201" s="256"/>
      <c r="BD201" s="256"/>
      <c r="BE201" s="256"/>
      <c r="BF201" s="256"/>
      <c r="BG201" s="256"/>
      <c r="BH201" s="256"/>
      <c r="BI201" s="256"/>
      <c r="BJ201" s="256"/>
      <c r="BK201" s="256"/>
      <c r="BL201" s="256"/>
      <c r="BM201" s="256"/>
      <c r="BN201" s="256"/>
      <c r="BO201" s="256"/>
      <c r="BP201" s="256"/>
      <c r="BQ201" s="256"/>
      <c r="BR201" s="256"/>
      <c r="BS201" s="256"/>
      <c r="BT201" s="256"/>
      <c r="BU201" s="256"/>
      <c r="BV201" s="256"/>
      <c r="BW201" s="256"/>
      <c r="BX201" s="256"/>
      <c r="BY201" s="256"/>
      <c r="BZ201" s="256"/>
    </row>
    <row r="202" spans="1:78">
      <c r="A202" s="435" t="s">
        <v>142</v>
      </c>
      <c r="B202" s="455">
        <v>6.6517712811693901</v>
      </c>
      <c r="C202" s="455">
        <v>9.1015735167669796</v>
      </c>
      <c r="D202" s="455">
        <v>9.4495958727429095</v>
      </c>
      <c r="E202" s="455">
        <v>9.82850386930353</v>
      </c>
      <c r="F202" s="455">
        <v>10.283215821152201</v>
      </c>
      <c r="G202" s="455">
        <v>12.8467497850387</v>
      </c>
      <c r="H202" s="461">
        <v>2.1124300532036101E-2</v>
      </c>
      <c r="I202" s="462">
        <v>7.5331652501646803E-3</v>
      </c>
      <c r="J202" s="462">
        <v>7.8939434265645793E-3</v>
      </c>
      <c r="K202" s="462">
        <v>9.0862944238156995E-3</v>
      </c>
      <c r="L202" s="463">
        <v>1.1191046973166001E-2</v>
      </c>
      <c r="M202" s="256"/>
      <c r="N202" s="256"/>
      <c r="O202" s="256"/>
      <c r="P202" s="256"/>
      <c r="Q202" s="256"/>
      <c r="R202" s="256"/>
      <c r="S202" s="256"/>
      <c r="T202" s="256"/>
      <c r="U202" s="256"/>
      <c r="V202" s="256"/>
      <c r="W202" s="256"/>
      <c r="X202" s="256"/>
      <c r="Y202" s="256"/>
      <c r="Z202" s="256"/>
      <c r="AA202" s="256"/>
      <c r="AB202" s="256"/>
      <c r="AC202" s="256"/>
      <c r="AD202" s="256"/>
      <c r="AE202" s="256"/>
      <c r="AF202" s="256"/>
      <c r="AG202" s="256"/>
      <c r="AH202" s="256"/>
      <c r="AI202" s="256"/>
      <c r="AJ202" s="256"/>
      <c r="AK202" s="256"/>
      <c r="AL202" s="256"/>
      <c r="AM202" s="256"/>
      <c r="AN202" s="256"/>
      <c r="AO202" s="256"/>
      <c r="AP202" s="256"/>
      <c r="AQ202" s="256"/>
      <c r="AR202" s="256"/>
      <c r="AS202" s="256"/>
      <c r="AT202" s="256"/>
      <c r="AU202" s="256"/>
      <c r="AV202" s="256"/>
      <c r="AW202" s="256"/>
      <c r="AX202" s="256"/>
      <c r="AY202" s="256"/>
      <c r="AZ202" s="256"/>
      <c r="BA202" s="256"/>
      <c r="BB202" s="256"/>
      <c r="BC202" s="256"/>
      <c r="BD202" s="256"/>
      <c r="BE202" s="256"/>
      <c r="BF202" s="256"/>
      <c r="BG202" s="256"/>
      <c r="BH202" s="256"/>
      <c r="BI202" s="256"/>
      <c r="BJ202" s="256"/>
      <c r="BK202" s="256"/>
      <c r="BL202" s="256"/>
      <c r="BM202" s="256"/>
      <c r="BN202" s="256"/>
      <c r="BO202" s="256"/>
      <c r="BP202" s="256"/>
      <c r="BQ202" s="256"/>
      <c r="BR202" s="256"/>
      <c r="BS202" s="256"/>
      <c r="BT202" s="256"/>
      <c r="BU202" s="256"/>
      <c r="BV202" s="256"/>
      <c r="BW202" s="256"/>
      <c r="BX202" s="256"/>
      <c r="BY202" s="256"/>
      <c r="BZ202" s="256"/>
    </row>
    <row r="203" spans="1:78">
      <c r="A203" s="435"/>
      <c r="B203" s="436"/>
      <c r="C203" s="436"/>
      <c r="D203" s="436"/>
      <c r="E203" s="436"/>
      <c r="F203" s="436"/>
      <c r="G203" s="436"/>
      <c r="H203" s="461"/>
      <c r="I203" s="462"/>
      <c r="J203" s="462"/>
      <c r="K203" s="462"/>
      <c r="L203" s="463"/>
      <c r="M203" s="256"/>
      <c r="N203" s="256"/>
      <c r="O203" s="256"/>
      <c r="P203" s="256"/>
      <c r="Q203" s="256"/>
      <c r="R203" s="256"/>
      <c r="S203" s="256"/>
      <c r="T203" s="256"/>
      <c r="U203" s="256"/>
      <c r="V203" s="256"/>
      <c r="W203" s="256"/>
      <c r="X203" s="256"/>
      <c r="Y203" s="256"/>
      <c r="Z203" s="256"/>
      <c r="AA203" s="256"/>
      <c r="AB203" s="256"/>
      <c r="AC203" s="256"/>
      <c r="AD203" s="256"/>
      <c r="AE203" s="256"/>
      <c r="AF203" s="256"/>
      <c r="AG203" s="256"/>
      <c r="AH203" s="256"/>
      <c r="AI203" s="256"/>
      <c r="AJ203" s="256"/>
      <c r="AK203" s="256"/>
      <c r="AL203" s="256"/>
      <c r="AM203" s="256"/>
      <c r="AN203" s="256"/>
      <c r="AO203" s="256"/>
      <c r="AP203" s="256"/>
      <c r="AQ203" s="256"/>
      <c r="AR203" s="256"/>
      <c r="AS203" s="256"/>
      <c r="AT203" s="256"/>
      <c r="AU203" s="256"/>
      <c r="AV203" s="256"/>
      <c r="AW203" s="256"/>
      <c r="AX203" s="256"/>
      <c r="AY203" s="256"/>
      <c r="AZ203" s="256"/>
      <c r="BA203" s="256"/>
      <c r="BB203" s="256"/>
      <c r="BC203" s="256"/>
      <c r="BD203" s="256"/>
      <c r="BE203" s="256"/>
      <c r="BF203" s="256"/>
      <c r="BG203" s="256"/>
      <c r="BH203" s="256"/>
      <c r="BI203" s="256"/>
      <c r="BJ203" s="256"/>
      <c r="BK203" s="256"/>
      <c r="BL203" s="256"/>
      <c r="BM203" s="256"/>
      <c r="BN203" s="256"/>
      <c r="BO203" s="256"/>
      <c r="BP203" s="256"/>
      <c r="BQ203" s="256"/>
      <c r="BR203" s="256"/>
      <c r="BS203" s="256"/>
      <c r="BT203" s="256"/>
      <c r="BU203" s="256"/>
      <c r="BV203" s="256"/>
      <c r="BW203" s="256"/>
      <c r="BX203" s="256"/>
      <c r="BY203" s="256"/>
      <c r="BZ203" s="256"/>
    </row>
    <row r="204" spans="1:78" ht="15" thickBot="1">
      <c r="A204" s="444" t="s">
        <v>10</v>
      </c>
      <c r="B204" s="464">
        <v>20.017199999999999</v>
      </c>
      <c r="C204" s="464">
        <v>23.000115085248201</v>
      </c>
      <c r="D204" s="464">
        <v>22.5271141212915</v>
      </c>
      <c r="E204" s="464">
        <v>22.078440170495099</v>
      </c>
      <c r="F204" s="464">
        <v>21.442964962579101</v>
      </c>
      <c r="G204" s="464">
        <v>22.6677564476953</v>
      </c>
      <c r="H204" s="466">
        <v>9.3034986918318907E-3</v>
      </c>
      <c r="I204" s="467">
        <v>-4.1472889196699798E-3</v>
      </c>
      <c r="J204" s="467">
        <v>-4.0155323599075903E-3</v>
      </c>
      <c r="K204" s="467">
        <v>-5.82396590570111E-3</v>
      </c>
      <c r="L204" s="468">
        <v>2.7812041983963399E-3</v>
      </c>
      <c r="M204" s="256"/>
      <c r="N204" s="256"/>
      <c r="O204" s="256"/>
      <c r="P204" s="256"/>
      <c r="Q204" s="256"/>
      <c r="R204" s="256"/>
      <c r="S204" s="256"/>
      <c r="T204" s="256"/>
      <c r="U204" s="256"/>
      <c r="V204" s="256"/>
      <c r="W204" s="256"/>
      <c r="X204" s="256"/>
      <c r="Y204" s="256"/>
      <c r="Z204" s="256"/>
      <c r="AA204" s="256"/>
      <c r="AB204" s="256"/>
      <c r="AC204" s="256"/>
      <c r="AD204" s="256"/>
      <c r="AE204" s="256"/>
      <c r="AF204" s="256"/>
      <c r="AG204" s="256"/>
      <c r="AH204" s="256"/>
      <c r="AI204" s="256"/>
      <c r="AJ204" s="256"/>
      <c r="AK204" s="256"/>
      <c r="AL204" s="256"/>
      <c r="AM204" s="256"/>
      <c r="AN204" s="256"/>
      <c r="AO204" s="256"/>
      <c r="AP204" s="256"/>
      <c r="AQ204" s="256"/>
      <c r="AR204" s="256"/>
      <c r="AS204" s="256"/>
      <c r="AT204" s="256"/>
      <c r="AU204" s="256"/>
      <c r="AV204" s="256"/>
      <c r="AW204" s="256"/>
      <c r="AX204" s="256"/>
      <c r="AY204" s="256"/>
      <c r="AZ204" s="256"/>
      <c r="BA204" s="256"/>
      <c r="BB204" s="256"/>
      <c r="BC204" s="256"/>
      <c r="BD204" s="256"/>
      <c r="BE204" s="256"/>
      <c r="BF204" s="256"/>
      <c r="BG204" s="256"/>
      <c r="BH204" s="256"/>
      <c r="BI204" s="256"/>
      <c r="BJ204" s="256"/>
      <c r="BK204" s="256"/>
      <c r="BL204" s="256"/>
      <c r="BM204" s="256"/>
      <c r="BN204" s="256"/>
      <c r="BO204" s="256"/>
      <c r="BP204" s="256"/>
      <c r="BQ204" s="256"/>
      <c r="BR204" s="256"/>
      <c r="BS204" s="256"/>
      <c r="BT204" s="256"/>
      <c r="BU204" s="256"/>
      <c r="BV204" s="256"/>
      <c r="BW204" s="256"/>
      <c r="BX204" s="256"/>
      <c r="BY204" s="256"/>
      <c r="BZ204" s="256"/>
    </row>
    <row r="205" spans="1:78">
      <c r="A205" s="449"/>
      <c r="B205" s="427"/>
      <c r="C205" s="499"/>
      <c r="D205" s="499"/>
      <c r="E205" s="499"/>
      <c r="F205" s="499"/>
      <c r="G205" s="499"/>
      <c r="H205" s="256"/>
      <c r="I205" s="256"/>
      <c r="J205" s="256"/>
      <c r="K205" s="256"/>
      <c r="L205" s="256"/>
      <c r="M205" s="256"/>
      <c r="N205" s="256"/>
      <c r="O205" s="256"/>
      <c r="P205" s="256"/>
      <c r="Q205" s="256"/>
      <c r="R205" s="256"/>
      <c r="S205" s="256"/>
      <c r="T205" s="256"/>
      <c r="U205" s="256"/>
      <c r="V205" s="256"/>
      <c r="W205" s="256"/>
      <c r="X205" s="256"/>
      <c r="Y205" s="256"/>
      <c r="Z205" s="256"/>
      <c r="AA205" s="256"/>
      <c r="AB205" s="256"/>
      <c r="AC205" s="256"/>
      <c r="AD205" s="256"/>
      <c r="AE205" s="256"/>
      <c r="AF205" s="256"/>
      <c r="AG205" s="256"/>
      <c r="AH205" s="256"/>
      <c r="AI205" s="256"/>
      <c r="AJ205" s="256"/>
      <c r="AK205" s="256"/>
      <c r="AL205" s="256"/>
      <c r="AM205" s="256"/>
      <c r="AN205" s="256"/>
      <c r="AO205" s="256"/>
      <c r="AP205" s="256"/>
      <c r="AQ205" s="256"/>
      <c r="AR205" s="256"/>
      <c r="AS205" s="256"/>
      <c r="AT205" s="256"/>
      <c r="AU205" s="256"/>
      <c r="AV205" s="256"/>
      <c r="AW205" s="256"/>
      <c r="AX205" s="256"/>
      <c r="AY205" s="256"/>
      <c r="AZ205" s="256"/>
      <c r="BA205" s="256"/>
      <c r="BB205" s="256"/>
      <c r="BC205" s="256"/>
      <c r="BD205" s="256"/>
      <c r="BE205" s="256"/>
      <c r="BF205" s="256"/>
      <c r="BG205" s="256"/>
      <c r="BH205" s="256"/>
      <c r="BI205" s="256"/>
      <c r="BJ205" s="256"/>
      <c r="BK205" s="256"/>
      <c r="BL205" s="256"/>
      <c r="BM205" s="256"/>
      <c r="BN205" s="256"/>
      <c r="BO205" s="256"/>
      <c r="BP205" s="256"/>
      <c r="BQ205" s="256"/>
      <c r="BR205" s="256"/>
      <c r="BS205" s="256"/>
      <c r="BT205" s="256"/>
      <c r="BU205" s="256"/>
      <c r="BV205" s="256"/>
      <c r="BW205" s="256"/>
      <c r="BX205" s="256"/>
      <c r="BY205" s="256"/>
      <c r="BZ205" s="256"/>
    </row>
    <row r="206" spans="1:78">
      <c r="A206" s="449"/>
      <c r="B206" s="427"/>
      <c r="C206" s="427"/>
      <c r="D206" s="427"/>
      <c r="E206" s="499"/>
      <c r="F206" s="500"/>
      <c r="G206" s="499"/>
      <c r="H206" s="256"/>
      <c r="I206" s="256"/>
      <c r="J206" s="256"/>
      <c r="K206" s="256"/>
      <c r="L206" s="256"/>
      <c r="M206" s="256"/>
      <c r="N206" s="256"/>
      <c r="O206" s="256"/>
      <c r="P206" s="256"/>
      <c r="Q206" s="256"/>
      <c r="R206" s="256"/>
      <c r="S206" s="256"/>
      <c r="T206" s="256"/>
      <c r="U206" s="256"/>
      <c r="V206" s="256"/>
      <c r="W206" s="256"/>
      <c r="X206" s="256"/>
      <c r="Y206" s="256"/>
      <c r="Z206" s="256"/>
      <c r="AA206" s="256"/>
      <c r="AB206" s="256"/>
      <c r="AC206" s="256"/>
      <c r="AD206" s="256"/>
      <c r="AE206" s="256"/>
      <c r="AF206" s="256"/>
      <c r="AG206" s="256"/>
      <c r="AH206" s="256"/>
      <c r="AI206" s="256"/>
      <c r="AJ206" s="256"/>
      <c r="AK206" s="256"/>
      <c r="AL206" s="256"/>
      <c r="AM206" s="256"/>
      <c r="AN206" s="256"/>
      <c r="AO206" s="256"/>
      <c r="AP206" s="256"/>
      <c r="AQ206" s="256"/>
      <c r="AR206" s="256"/>
      <c r="AS206" s="256"/>
      <c r="AT206" s="256"/>
      <c r="AU206" s="256"/>
      <c r="AV206" s="256"/>
      <c r="AW206" s="256"/>
      <c r="AX206" s="256"/>
      <c r="AY206" s="256"/>
      <c r="AZ206" s="256"/>
      <c r="BA206" s="256"/>
      <c r="BB206" s="256"/>
      <c r="BC206" s="256"/>
      <c r="BD206" s="256"/>
      <c r="BE206" s="256"/>
      <c r="BF206" s="256"/>
      <c r="BG206" s="256"/>
      <c r="BH206" s="256"/>
      <c r="BI206" s="256"/>
      <c r="BJ206" s="256"/>
      <c r="BK206" s="256"/>
      <c r="BL206" s="256"/>
      <c r="BM206" s="256"/>
      <c r="BN206" s="256"/>
      <c r="BO206" s="256"/>
      <c r="BP206" s="256"/>
      <c r="BQ206" s="256"/>
      <c r="BR206" s="256"/>
      <c r="BS206" s="256"/>
      <c r="BT206" s="256"/>
      <c r="BU206" s="256"/>
      <c r="BV206" s="256"/>
      <c r="BW206" s="256"/>
      <c r="BX206" s="256"/>
      <c r="BY206" s="256"/>
      <c r="BZ206" s="256"/>
    </row>
    <row r="207" spans="1:78" ht="16" thickBot="1">
      <c r="A207" s="428" t="s">
        <v>157</v>
      </c>
      <c r="B207" s="430"/>
      <c r="C207" s="430"/>
      <c r="D207" s="430"/>
      <c r="E207" s="501"/>
      <c r="F207" s="501"/>
      <c r="G207" s="501"/>
      <c r="H207" s="430"/>
      <c r="I207" s="430"/>
      <c r="J207" s="430"/>
      <c r="K207" s="430"/>
      <c r="L207" s="430"/>
      <c r="M207" s="256"/>
      <c r="N207" s="256"/>
      <c r="O207" s="256"/>
      <c r="P207" s="256"/>
      <c r="Q207" s="256"/>
      <c r="R207" s="256"/>
      <c r="S207" s="256"/>
      <c r="T207" s="256"/>
      <c r="U207" s="256"/>
      <c r="V207" s="256"/>
      <c r="W207" s="256"/>
      <c r="X207" s="256"/>
      <c r="Y207" s="256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56"/>
      <c r="AZ207" s="256"/>
      <c r="BA207" s="256"/>
      <c r="BB207" s="256"/>
      <c r="BC207" s="256"/>
      <c r="BD207" s="256"/>
      <c r="BE207" s="256"/>
      <c r="BF207" s="256"/>
      <c r="BG207" s="256"/>
      <c r="BH207" s="256"/>
      <c r="BI207" s="256"/>
      <c r="BJ207" s="256"/>
      <c r="BK207" s="256"/>
      <c r="BL207" s="256"/>
      <c r="BM207" s="256"/>
      <c r="BN207" s="256"/>
      <c r="BO207" s="256"/>
      <c r="BP207" s="256"/>
      <c r="BQ207" s="256"/>
      <c r="BR207" s="256"/>
      <c r="BS207" s="256"/>
      <c r="BT207" s="256"/>
      <c r="BU207" s="256"/>
      <c r="BV207" s="256"/>
      <c r="BW207" s="256"/>
      <c r="BX207" s="256"/>
      <c r="BY207" s="256"/>
      <c r="BZ207" s="256"/>
    </row>
    <row r="208" spans="1:78" ht="15" thickBot="1">
      <c r="A208" s="483" t="s">
        <v>51</v>
      </c>
      <c r="B208" s="432">
        <v>2000</v>
      </c>
      <c r="C208" s="432">
        <v>2015</v>
      </c>
      <c r="D208" s="432">
        <v>2020</v>
      </c>
      <c r="E208" s="432">
        <v>2025</v>
      </c>
      <c r="F208" s="432">
        <v>2030</v>
      </c>
      <c r="G208" s="432">
        <v>2050</v>
      </c>
      <c r="H208" s="452" t="s">
        <v>98</v>
      </c>
      <c r="I208" s="453" t="s">
        <v>99</v>
      </c>
      <c r="J208" s="453" t="s">
        <v>100</v>
      </c>
      <c r="K208" s="453" t="s">
        <v>101</v>
      </c>
      <c r="L208" s="454" t="s">
        <v>384</v>
      </c>
      <c r="M208" s="256"/>
      <c r="N208" s="256"/>
      <c r="O208" s="256"/>
      <c r="P208" s="256"/>
      <c r="Q208" s="256"/>
      <c r="R208" s="256"/>
      <c r="S208" s="256"/>
      <c r="T208" s="256"/>
      <c r="U208" s="256"/>
      <c r="V208" s="256"/>
      <c r="W208" s="256"/>
      <c r="X208" s="256"/>
      <c r="Y208" s="256"/>
      <c r="Z208" s="256"/>
      <c r="AA208" s="256"/>
      <c r="AB208" s="256"/>
      <c r="AC208" s="256"/>
      <c r="AD208" s="256"/>
      <c r="AE208" s="256"/>
      <c r="AF208" s="256"/>
      <c r="AG208" s="256"/>
      <c r="AH208" s="256"/>
      <c r="AI208" s="256"/>
      <c r="AJ208" s="256"/>
      <c r="AK208" s="256"/>
      <c r="AL208" s="256"/>
      <c r="AM208" s="256"/>
      <c r="AN208" s="256"/>
      <c r="AO208" s="256"/>
      <c r="AP208" s="256"/>
      <c r="AQ208" s="256"/>
      <c r="AR208" s="256"/>
      <c r="AS208" s="256"/>
      <c r="AT208" s="256"/>
      <c r="AU208" s="256"/>
      <c r="AV208" s="256"/>
      <c r="AW208" s="256"/>
      <c r="AX208" s="256"/>
      <c r="AY208" s="256"/>
      <c r="AZ208" s="256"/>
      <c r="BA208" s="256"/>
      <c r="BB208" s="256"/>
      <c r="BC208" s="256"/>
      <c r="BD208" s="256"/>
      <c r="BE208" s="256"/>
      <c r="BF208" s="256"/>
      <c r="BG208" s="256"/>
      <c r="BH208" s="256"/>
      <c r="BI208" s="256"/>
      <c r="BJ208" s="256"/>
      <c r="BK208" s="256"/>
      <c r="BL208" s="256"/>
      <c r="BM208" s="256"/>
      <c r="BN208" s="256"/>
      <c r="BO208" s="256"/>
      <c r="BP208" s="256"/>
      <c r="BQ208" s="256"/>
      <c r="BR208" s="256"/>
      <c r="BS208" s="256"/>
      <c r="BT208" s="256"/>
      <c r="BU208" s="256"/>
      <c r="BV208" s="256"/>
      <c r="BW208" s="256"/>
      <c r="BX208" s="256"/>
      <c r="BY208" s="256"/>
      <c r="BZ208" s="256"/>
    </row>
    <row r="209" spans="1:78">
      <c r="A209" s="435" t="s">
        <v>103</v>
      </c>
      <c r="B209" s="436">
        <v>3.7561</v>
      </c>
      <c r="C209" s="436">
        <v>2.3746</v>
      </c>
      <c r="D209" s="436">
        <v>1.9155</v>
      </c>
      <c r="E209" s="436">
        <v>1.4925999999999999</v>
      </c>
      <c r="F209" s="436">
        <v>1.1229</v>
      </c>
      <c r="G209" s="436">
        <v>0.74460000000000004</v>
      </c>
      <c r="H209" s="456">
        <v>-3.0107603926098101E-2</v>
      </c>
      <c r="I209" s="457">
        <v>-4.2059932911037302E-2</v>
      </c>
      <c r="J209" s="457">
        <v>-4.86676696332956E-2</v>
      </c>
      <c r="K209" s="457">
        <v>-5.5331293629666801E-2</v>
      </c>
      <c r="L209" s="458">
        <v>-2.03316050780015E-2</v>
      </c>
      <c r="M209" s="256"/>
      <c r="N209" s="256"/>
      <c r="O209" s="256"/>
      <c r="P209" s="256"/>
      <c r="Q209" s="256"/>
      <c r="R209" s="256"/>
      <c r="S209" s="256"/>
      <c r="T209" s="256"/>
      <c r="U209" s="256"/>
      <c r="V209" s="256"/>
      <c r="W209" s="256"/>
      <c r="X209" s="256"/>
      <c r="Y209" s="256"/>
      <c r="Z209" s="256"/>
      <c r="AA209" s="256"/>
      <c r="AB209" s="256"/>
      <c r="AC209" s="256"/>
      <c r="AD209" s="256"/>
      <c r="AE209" s="256"/>
      <c r="AF209" s="256"/>
      <c r="AG209" s="256"/>
      <c r="AH209" s="256"/>
      <c r="AI209" s="256"/>
      <c r="AJ209" s="256"/>
      <c r="AK209" s="256"/>
      <c r="AL209" s="256"/>
      <c r="AM209" s="256"/>
      <c r="AN209" s="256"/>
      <c r="AO209" s="256"/>
      <c r="AP209" s="256"/>
      <c r="AQ209" s="256"/>
      <c r="AR209" s="256"/>
      <c r="AS209" s="256"/>
      <c r="AT209" s="256"/>
      <c r="AU209" s="256"/>
      <c r="AV209" s="256"/>
      <c r="AW209" s="256"/>
      <c r="AX209" s="256"/>
      <c r="AY209" s="256"/>
      <c r="AZ209" s="256"/>
      <c r="BA209" s="256"/>
      <c r="BB209" s="256"/>
      <c r="BC209" s="256"/>
      <c r="BD209" s="256"/>
      <c r="BE209" s="256"/>
      <c r="BF209" s="256"/>
      <c r="BG209" s="256"/>
      <c r="BH209" s="256"/>
      <c r="BI209" s="256"/>
      <c r="BJ209" s="256"/>
      <c r="BK209" s="256"/>
      <c r="BL209" s="256"/>
      <c r="BM209" s="256"/>
      <c r="BN209" s="256"/>
      <c r="BO209" s="256"/>
      <c r="BP209" s="256"/>
      <c r="BQ209" s="256"/>
      <c r="BR209" s="256"/>
      <c r="BS209" s="256"/>
      <c r="BT209" s="256"/>
      <c r="BU209" s="256"/>
      <c r="BV209" s="256"/>
      <c r="BW209" s="256"/>
      <c r="BX209" s="256"/>
      <c r="BY209" s="256"/>
      <c r="BZ209" s="256"/>
    </row>
    <row r="210" spans="1:78">
      <c r="A210" s="435" t="s">
        <v>54</v>
      </c>
      <c r="B210" s="436">
        <v>5.5961999999999996</v>
      </c>
      <c r="C210" s="436">
        <v>6.1024000000000003</v>
      </c>
      <c r="D210" s="436">
        <v>5.7868000000000004</v>
      </c>
      <c r="E210" s="436">
        <v>5.2241999999999997</v>
      </c>
      <c r="F210" s="436">
        <v>4.3676000000000004</v>
      </c>
      <c r="G210" s="436">
        <v>2.6025</v>
      </c>
      <c r="H210" s="461">
        <v>5.7896516525792804E-3</v>
      </c>
      <c r="I210" s="462">
        <v>-1.05643361785912E-2</v>
      </c>
      <c r="J210" s="462">
        <v>-2.0247761500076299E-2</v>
      </c>
      <c r="K210" s="462">
        <v>-3.5183743345156303E-2</v>
      </c>
      <c r="L210" s="463">
        <v>-2.5554859734163798E-2</v>
      </c>
      <c r="M210" s="256"/>
      <c r="N210" s="256"/>
      <c r="O210" s="256"/>
      <c r="P210" s="256"/>
      <c r="Q210" s="256"/>
      <c r="R210" s="256"/>
      <c r="S210" s="256"/>
      <c r="T210" s="256"/>
      <c r="U210" s="256"/>
      <c r="V210" s="256"/>
      <c r="W210" s="256"/>
      <c r="X210" s="256"/>
      <c r="Y210" s="256"/>
      <c r="Z210" s="256"/>
      <c r="AA210" s="256"/>
      <c r="AB210" s="256"/>
      <c r="AC210" s="256"/>
      <c r="AD210" s="256"/>
      <c r="AE210" s="256"/>
      <c r="AF210" s="256"/>
      <c r="AG210" s="256"/>
      <c r="AH210" s="256"/>
      <c r="AI210" s="256"/>
      <c r="AJ210" s="256"/>
      <c r="AK210" s="256"/>
      <c r="AL210" s="256"/>
      <c r="AM210" s="256"/>
      <c r="AN210" s="256"/>
      <c r="AO210" s="256"/>
      <c r="AP210" s="256"/>
      <c r="AQ210" s="256"/>
      <c r="AR210" s="256"/>
      <c r="AS210" s="256"/>
      <c r="AT210" s="256"/>
      <c r="AU210" s="256"/>
      <c r="AV210" s="256"/>
      <c r="AW210" s="256"/>
      <c r="AX210" s="256"/>
      <c r="AY210" s="256"/>
      <c r="AZ210" s="256"/>
      <c r="BA210" s="256"/>
      <c r="BB210" s="256"/>
      <c r="BC210" s="256"/>
      <c r="BD210" s="256"/>
      <c r="BE210" s="256"/>
      <c r="BF210" s="256"/>
      <c r="BG210" s="256"/>
      <c r="BH210" s="256"/>
      <c r="BI210" s="256"/>
      <c r="BJ210" s="256"/>
      <c r="BK210" s="256"/>
      <c r="BL210" s="256"/>
      <c r="BM210" s="256"/>
      <c r="BN210" s="256"/>
      <c r="BO210" s="256"/>
      <c r="BP210" s="256"/>
      <c r="BQ210" s="256"/>
      <c r="BR210" s="256"/>
      <c r="BS210" s="256"/>
      <c r="BT210" s="256"/>
      <c r="BU210" s="256"/>
      <c r="BV210" s="256"/>
      <c r="BW210" s="256"/>
      <c r="BX210" s="256"/>
      <c r="BY210" s="256"/>
      <c r="BZ210" s="256"/>
    </row>
    <row r="211" spans="1:78">
      <c r="A211" s="435" t="s">
        <v>42</v>
      </c>
      <c r="B211" s="436">
        <v>0.15870000000000001</v>
      </c>
      <c r="C211" s="436">
        <v>6.5500000000000003E-2</v>
      </c>
      <c r="D211" s="436">
        <v>0</v>
      </c>
      <c r="E211" s="436">
        <v>0</v>
      </c>
      <c r="F211" s="436">
        <v>0</v>
      </c>
      <c r="G211" s="436">
        <v>0</v>
      </c>
      <c r="H211" s="461">
        <v>-5.7291061665288301E-2</v>
      </c>
      <c r="I211" s="462">
        <v>-1</v>
      </c>
      <c r="J211" s="462" t="e">
        <f>#DIV/0!</f>
        <v>#DIV/0!</v>
      </c>
      <c r="K211" s="462" t="e">
        <f>#DIV/0!</f>
        <v>#DIV/0!</v>
      </c>
      <c r="L211" s="463" t="e">
        <f>#DIV/0!</f>
        <v>#DIV/0!</v>
      </c>
      <c r="M211" s="256"/>
      <c r="N211" s="256"/>
      <c r="O211" s="256"/>
      <c r="P211" s="256"/>
      <c r="Q211" s="256"/>
      <c r="R211" s="256"/>
      <c r="S211" s="256"/>
      <c r="T211" s="256"/>
      <c r="U211" s="256"/>
      <c r="V211" s="256"/>
      <c r="W211" s="256"/>
      <c r="X211" s="256"/>
      <c r="Y211" s="256"/>
      <c r="Z211" s="256"/>
      <c r="AA211" s="256"/>
      <c r="AB211" s="256"/>
      <c r="AC211" s="256"/>
      <c r="AD211" s="256"/>
      <c r="AE211" s="256"/>
      <c r="AF211" s="256"/>
      <c r="AG211" s="256"/>
      <c r="AH211" s="256"/>
      <c r="AI211" s="256"/>
      <c r="AJ211" s="256"/>
      <c r="AK211" s="256"/>
      <c r="AL211" s="256"/>
      <c r="AM211" s="256"/>
      <c r="AN211" s="256"/>
      <c r="AO211" s="256"/>
      <c r="AP211" s="256"/>
      <c r="AQ211" s="256"/>
      <c r="AR211" s="256"/>
      <c r="AS211" s="256"/>
      <c r="AT211" s="256"/>
      <c r="AU211" s="256"/>
      <c r="AV211" s="256"/>
      <c r="AW211" s="256"/>
      <c r="AX211" s="256"/>
      <c r="AY211" s="256"/>
      <c r="AZ211" s="256"/>
      <c r="BA211" s="256"/>
      <c r="BB211" s="256"/>
      <c r="BC211" s="256"/>
      <c r="BD211" s="256"/>
      <c r="BE211" s="256"/>
      <c r="BF211" s="256"/>
      <c r="BG211" s="256"/>
      <c r="BH211" s="256"/>
      <c r="BI211" s="256"/>
      <c r="BJ211" s="256"/>
      <c r="BK211" s="256"/>
      <c r="BL211" s="256"/>
      <c r="BM211" s="256"/>
      <c r="BN211" s="256"/>
      <c r="BO211" s="256"/>
      <c r="BP211" s="256"/>
      <c r="BQ211" s="256"/>
      <c r="BR211" s="256"/>
      <c r="BS211" s="256"/>
      <c r="BT211" s="256"/>
      <c r="BU211" s="256"/>
      <c r="BV211" s="256"/>
      <c r="BW211" s="256"/>
      <c r="BX211" s="256"/>
      <c r="BY211" s="256"/>
      <c r="BZ211" s="256"/>
    </row>
    <row r="212" spans="1:78">
      <c r="A212" s="435" t="s">
        <v>104</v>
      </c>
      <c r="B212" s="436">
        <v>2.4110146173688798</v>
      </c>
      <c r="C212" s="436">
        <v>2.7863567497850399</v>
      </c>
      <c r="D212" s="436">
        <v>2.92255709372313</v>
      </c>
      <c r="E212" s="436">
        <v>3.11266474634566</v>
      </c>
      <c r="F212" s="436">
        <v>3.2688425623387798</v>
      </c>
      <c r="G212" s="436">
        <v>3.7000719690455699</v>
      </c>
      <c r="H212" s="461">
        <v>9.6924879048045903E-3</v>
      </c>
      <c r="I212" s="462">
        <v>9.5905033465326604E-3</v>
      </c>
      <c r="J212" s="462">
        <v>1.2683813956920999E-2</v>
      </c>
      <c r="K212" s="462">
        <v>9.8394471178493408E-3</v>
      </c>
      <c r="L212" s="463">
        <v>6.2150490043679802E-3</v>
      </c>
      <c r="M212" s="256"/>
      <c r="N212" s="256"/>
      <c r="O212" s="256"/>
      <c r="P212" s="256"/>
      <c r="Q212" s="256"/>
      <c r="R212" s="256"/>
      <c r="S212" s="256"/>
      <c r="T212" s="256"/>
      <c r="U212" s="256"/>
      <c r="V212" s="256"/>
      <c r="W212" s="256"/>
      <c r="X212" s="256"/>
      <c r="Y212" s="256"/>
      <c r="Z212" s="256"/>
      <c r="AA212" s="256"/>
      <c r="AB212" s="256"/>
      <c r="AC212" s="256"/>
      <c r="AD212" s="256"/>
      <c r="AE212" s="256"/>
      <c r="AF212" s="256"/>
      <c r="AG212" s="256"/>
      <c r="AH212" s="256"/>
      <c r="AI212" s="256"/>
      <c r="AJ212" s="256"/>
      <c r="AK212" s="256"/>
      <c r="AL212" s="256"/>
      <c r="AM212" s="256"/>
      <c r="AN212" s="256"/>
      <c r="AO212" s="256"/>
      <c r="AP212" s="256"/>
      <c r="AQ212" s="256"/>
      <c r="AR212" s="256"/>
      <c r="AS212" s="256"/>
      <c r="AT212" s="256"/>
      <c r="AU212" s="256"/>
      <c r="AV212" s="256"/>
      <c r="AW212" s="256"/>
      <c r="AX212" s="256"/>
      <c r="AY212" s="256"/>
      <c r="AZ212" s="256"/>
      <c r="BA212" s="256"/>
      <c r="BB212" s="256"/>
      <c r="BC212" s="256"/>
      <c r="BD212" s="256"/>
      <c r="BE212" s="256"/>
      <c r="BF212" s="256"/>
      <c r="BG212" s="256"/>
      <c r="BH212" s="256"/>
      <c r="BI212" s="256"/>
      <c r="BJ212" s="256"/>
      <c r="BK212" s="256"/>
      <c r="BL212" s="256"/>
      <c r="BM212" s="256"/>
      <c r="BN212" s="256"/>
      <c r="BO212" s="256"/>
      <c r="BP212" s="256"/>
      <c r="BQ212" s="256"/>
      <c r="BR212" s="256"/>
      <c r="BS212" s="256"/>
      <c r="BT212" s="256"/>
      <c r="BU212" s="256"/>
      <c r="BV212" s="256"/>
      <c r="BW212" s="256"/>
      <c r="BX212" s="256"/>
      <c r="BY212" s="256"/>
      <c r="BZ212" s="256"/>
    </row>
    <row r="213" spans="1:78">
      <c r="A213" s="435" t="s">
        <v>105</v>
      </c>
      <c r="B213" s="436">
        <v>0.85540000000000005</v>
      </c>
      <c r="C213" s="436">
        <v>0.81569999999999998</v>
      </c>
      <c r="D213" s="436">
        <v>0.73019999999999996</v>
      </c>
      <c r="E213" s="436">
        <v>0.69030000000000002</v>
      </c>
      <c r="F213" s="436">
        <v>0.70609999999999995</v>
      </c>
      <c r="G213" s="436">
        <v>0.83020000000000005</v>
      </c>
      <c r="H213" s="461">
        <v>-3.1631570098044101E-3</v>
      </c>
      <c r="I213" s="462">
        <v>-2.19022198260551E-2</v>
      </c>
      <c r="J213" s="462">
        <v>-1.11755213831751E-2</v>
      </c>
      <c r="K213" s="462">
        <v>4.5363753009275403E-3</v>
      </c>
      <c r="L213" s="463">
        <v>8.1283453247007493E-3</v>
      </c>
      <c r="M213" s="256"/>
      <c r="N213" s="256"/>
      <c r="O213" s="256"/>
      <c r="P213" s="256"/>
      <c r="Q213" s="256"/>
      <c r="R213" s="256"/>
      <c r="S213" s="256"/>
      <c r="T213" s="256"/>
      <c r="U213" s="256"/>
      <c r="V213" s="256"/>
      <c r="W213" s="256"/>
      <c r="X213" s="256"/>
      <c r="Y213" s="256"/>
      <c r="Z213" s="256"/>
      <c r="AA213" s="256"/>
      <c r="AB213" s="256"/>
      <c r="AC213" s="256"/>
      <c r="AD213" s="256"/>
      <c r="AE213" s="256"/>
      <c r="AF213" s="256"/>
      <c r="AG213" s="256"/>
      <c r="AH213" s="256"/>
      <c r="AI213" s="256"/>
      <c r="AJ213" s="256"/>
      <c r="AK213" s="256"/>
      <c r="AL213" s="256"/>
      <c r="AM213" s="256"/>
      <c r="AN213" s="256"/>
      <c r="AO213" s="256"/>
      <c r="AP213" s="256"/>
      <c r="AQ213" s="256"/>
      <c r="AR213" s="256"/>
      <c r="AS213" s="256"/>
      <c r="AT213" s="256"/>
      <c r="AU213" s="256"/>
      <c r="AV213" s="256"/>
      <c r="AW213" s="256"/>
      <c r="AX213" s="256"/>
      <c r="AY213" s="256"/>
      <c r="AZ213" s="256"/>
      <c r="BA213" s="256"/>
      <c r="BB213" s="256"/>
      <c r="BC213" s="256"/>
      <c r="BD213" s="256"/>
      <c r="BE213" s="256"/>
      <c r="BF213" s="256"/>
      <c r="BG213" s="256"/>
      <c r="BH213" s="256"/>
      <c r="BI213" s="256"/>
      <c r="BJ213" s="256"/>
      <c r="BK213" s="256"/>
      <c r="BL213" s="256"/>
      <c r="BM213" s="256"/>
      <c r="BN213" s="256"/>
      <c r="BO213" s="256"/>
      <c r="BP213" s="256"/>
      <c r="BQ213" s="256"/>
      <c r="BR213" s="256"/>
      <c r="BS213" s="256"/>
      <c r="BT213" s="256"/>
      <c r="BU213" s="256"/>
      <c r="BV213" s="256"/>
      <c r="BW213" s="256"/>
      <c r="BX213" s="256"/>
      <c r="BY213" s="256"/>
      <c r="BZ213" s="256"/>
    </row>
    <row r="214" spans="1:78">
      <c r="A214" s="435" t="s">
        <v>134</v>
      </c>
      <c r="B214" s="436">
        <v>0.32079999999999997</v>
      </c>
      <c r="C214" s="436">
        <v>0.43919999999999998</v>
      </c>
      <c r="D214" s="436">
        <v>0.28920000000000001</v>
      </c>
      <c r="E214" s="436">
        <v>0.1908</v>
      </c>
      <c r="F214" s="436">
        <v>0.1142</v>
      </c>
      <c r="G214" s="436">
        <v>4.9099999999999998E-2</v>
      </c>
      <c r="H214" s="461">
        <v>2.11632999858604E-2</v>
      </c>
      <c r="I214" s="462">
        <v>-8.0170801502706598E-2</v>
      </c>
      <c r="J214" s="462">
        <v>-7.9813163360698103E-2</v>
      </c>
      <c r="K214" s="462">
        <v>-9.7561641878772601E-2</v>
      </c>
      <c r="L214" s="463">
        <v>-4.1326396695113801E-2</v>
      </c>
      <c r="M214" s="256"/>
      <c r="N214" s="256"/>
      <c r="O214" s="256"/>
      <c r="P214" s="256"/>
      <c r="Q214" s="256"/>
      <c r="R214" s="256"/>
      <c r="S214" s="256"/>
      <c r="T214" s="256"/>
      <c r="U214" s="256"/>
      <c r="V214" s="256"/>
      <c r="W214" s="256"/>
      <c r="X214" s="256"/>
      <c r="Y214" s="256"/>
      <c r="Z214" s="256"/>
      <c r="AA214" s="256"/>
      <c r="AB214" s="256"/>
      <c r="AC214" s="256"/>
      <c r="AD214" s="256"/>
      <c r="AE214" s="256"/>
      <c r="AF214" s="256"/>
      <c r="AG214" s="256"/>
      <c r="AH214" s="256"/>
      <c r="AI214" s="256"/>
      <c r="AJ214" s="256"/>
      <c r="AK214" s="256"/>
      <c r="AL214" s="256"/>
      <c r="AM214" s="256"/>
      <c r="AN214" s="256"/>
      <c r="AO214" s="256"/>
      <c r="AP214" s="256"/>
      <c r="AQ214" s="256"/>
      <c r="AR214" s="256"/>
      <c r="AS214" s="256"/>
      <c r="AT214" s="256"/>
      <c r="AU214" s="256"/>
      <c r="AV214" s="256"/>
      <c r="AW214" s="256"/>
      <c r="AX214" s="256"/>
      <c r="AY214" s="256"/>
      <c r="AZ214" s="256"/>
      <c r="BA214" s="256"/>
      <c r="BB214" s="256"/>
      <c r="BC214" s="256"/>
      <c r="BD214" s="256"/>
      <c r="BE214" s="256"/>
      <c r="BF214" s="256"/>
      <c r="BG214" s="256"/>
      <c r="BH214" s="256"/>
      <c r="BI214" s="256"/>
      <c r="BJ214" s="256"/>
      <c r="BK214" s="256"/>
      <c r="BL214" s="256"/>
      <c r="BM214" s="256"/>
      <c r="BN214" s="256"/>
      <c r="BO214" s="256"/>
      <c r="BP214" s="256"/>
      <c r="BQ214" s="256"/>
      <c r="BR214" s="256"/>
      <c r="BS214" s="256"/>
      <c r="BT214" s="256"/>
      <c r="BU214" s="256"/>
      <c r="BV214" s="256"/>
      <c r="BW214" s="256"/>
      <c r="BX214" s="256"/>
      <c r="BY214" s="256"/>
      <c r="BZ214" s="256"/>
    </row>
    <row r="215" spans="1:78">
      <c r="A215" s="435" t="s">
        <v>135</v>
      </c>
      <c r="B215" s="436">
        <v>0</v>
      </c>
      <c r="C215" s="436">
        <v>8.9099999999999999E-2</v>
      </c>
      <c r="D215" s="436">
        <v>7.9899999999999999E-2</v>
      </c>
      <c r="E215" s="436">
        <v>6.5100000000000005E-2</v>
      </c>
      <c r="F215" s="436">
        <v>5.2400000000000002E-2</v>
      </c>
      <c r="G215" s="436">
        <v>3.4099999999999998E-2</v>
      </c>
      <c r="H215" s="461"/>
      <c r="I215" s="462"/>
      <c r="J215" s="462"/>
      <c r="K215" s="462"/>
      <c r="L215" s="463"/>
      <c r="M215" s="256"/>
      <c r="N215" s="256"/>
      <c r="O215" s="256"/>
      <c r="P215" s="256"/>
      <c r="Q215" s="256"/>
      <c r="R215" s="256"/>
      <c r="S215" s="256"/>
      <c r="T215" s="256"/>
      <c r="U215" s="256"/>
      <c r="V215" s="256"/>
      <c r="W215" s="256"/>
      <c r="X215" s="256"/>
      <c r="Y215" s="256"/>
      <c r="Z215" s="256"/>
      <c r="AA215" s="256"/>
      <c r="AB215" s="256"/>
      <c r="AC215" s="256"/>
      <c r="AD215" s="256"/>
      <c r="AE215" s="256"/>
      <c r="AF215" s="256"/>
      <c r="AG215" s="256"/>
      <c r="AH215" s="256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56"/>
      <c r="AW215" s="256"/>
      <c r="AX215" s="256"/>
      <c r="AY215" s="256"/>
      <c r="AZ215" s="256"/>
      <c r="BA215" s="256"/>
      <c r="BB215" s="256"/>
      <c r="BC215" s="256"/>
      <c r="BD215" s="256"/>
      <c r="BE215" s="256"/>
      <c r="BF215" s="256"/>
      <c r="BG215" s="256"/>
      <c r="BH215" s="256"/>
      <c r="BI215" s="256"/>
      <c r="BJ215" s="256"/>
      <c r="BK215" s="256"/>
      <c r="BL215" s="256"/>
      <c r="BM215" s="256"/>
      <c r="BN215" s="256"/>
      <c r="BO215" s="256"/>
      <c r="BP215" s="256"/>
      <c r="BQ215" s="256"/>
      <c r="BR215" s="256"/>
      <c r="BS215" s="256"/>
      <c r="BT215" s="256"/>
      <c r="BU215" s="256"/>
      <c r="BV215" s="256"/>
      <c r="BW215" s="256"/>
      <c r="BX215" s="256"/>
      <c r="BY215" s="256"/>
      <c r="BZ215" s="256"/>
    </row>
    <row r="216" spans="1:78">
      <c r="A216" s="435" t="s">
        <v>136</v>
      </c>
      <c r="B216" s="436">
        <v>0</v>
      </c>
      <c r="C216" s="436">
        <v>0.70541508524818897</v>
      </c>
      <c r="D216" s="436">
        <v>0.84021412129145101</v>
      </c>
      <c r="E216" s="436">
        <v>0.92974017049510504</v>
      </c>
      <c r="F216" s="436">
        <v>0.95436496257908998</v>
      </c>
      <c r="G216" s="436">
        <v>1.2473564476953301</v>
      </c>
      <c r="H216" s="461"/>
      <c r="I216" s="462"/>
      <c r="J216" s="462"/>
      <c r="K216" s="462"/>
      <c r="L216" s="463"/>
      <c r="M216" s="256"/>
      <c r="N216" s="256"/>
      <c r="O216" s="256"/>
      <c r="P216" s="256"/>
      <c r="Q216" s="256"/>
      <c r="R216" s="256"/>
      <c r="S216" s="256"/>
      <c r="T216" s="256"/>
      <c r="U216" s="256"/>
      <c r="V216" s="256"/>
      <c r="W216" s="256"/>
      <c r="X216" s="256"/>
      <c r="Y216" s="256"/>
      <c r="Z216" s="256"/>
      <c r="AA216" s="256"/>
      <c r="AB216" s="256"/>
      <c r="AC216" s="256"/>
      <c r="AD216" s="256"/>
      <c r="AE216" s="256"/>
      <c r="AF216" s="256"/>
      <c r="AG216" s="256"/>
      <c r="AH216" s="256"/>
      <c r="AI216" s="256"/>
      <c r="AJ216" s="256"/>
      <c r="AK216" s="256"/>
      <c r="AL216" s="256"/>
      <c r="AM216" s="256"/>
      <c r="AN216" s="256"/>
      <c r="AO216" s="256"/>
      <c r="AP216" s="256"/>
      <c r="AQ216" s="256"/>
      <c r="AR216" s="256"/>
      <c r="AS216" s="256"/>
      <c r="AT216" s="256"/>
      <c r="AU216" s="256"/>
      <c r="AV216" s="256"/>
      <c r="AW216" s="256"/>
      <c r="AX216" s="256"/>
      <c r="AY216" s="256"/>
      <c r="AZ216" s="256"/>
      <c r="BA216" s="256"/>
      <c r="BB216" s="256"/>
      <c r="BC216" s="256"/>
      <c r="BD216" s="256"/>
      <c r="BE216" s="256"/>
      <c r="BF216" s="256"/>
      <c r="BG216" s="256"/>
      <c r="BH216" s="256"/>
      <c r="BI216" s="256"/>
      <c r="BJ216" s="256"/>
      <c r="BK216" s="256"/>
      <c r="BL216" s="256"/>
      <c r="BM216" s="256"/>
      <c r="BN216" s="256"/>
      <c r="BO216" s="256"/>
      <c r="BP216" s="256"/>
      <c r="BQ216" s="256"/>
      <c r="BR216" s="256"/>
      <c r="BS216" s="256"/>
      <c r="BT216" s="256"/>
      <c r="BU216" s="256"/>
      <c r="BV216" s="256"/>
      <c r="BW216" s="256"/>
      <c r="BX216" s="256"/>
      <c r="BY216" s="256"/>
      <c r="BZ216" s="256"/>
    </row>
    <row r="217" spans="1:78">
      <c r="A217" s="435"/>
      <c r="B217" s="436"/>
      <c r="C217" s="436"/>
      <c r="D217" s="436"/>
      <c r="E217" s="436"/>
      <c r="F217" s="436"/>
      <c r="G217" s="436"/>
      <c r="H217" s="461"/>
      <c r="I217" s="462"/>
      <c r="J217" s="462"/>
      <c r="K217" s="462"/>
      <c r="L217" s="463"/>
      <c r="M217" s="256"/>
      <c r="N217" s="256"/>
      <c r="O217" s="256"/>
      <c r="P217" s="256"/>
      <c r="Q217" s="256"/>
      <c r="R217" s="256"/>
      <c r="S217" s="256"/>
      <c r="T217" s="256"/>
      <c r="U217" s="256"/>
      <c r="V217" s="256"/>
      <c r="W217" s="256"/>
      <c r="X217" s="256"/>
      <c r="Y217" s="256"/>
      <c r="Z217" s="256"/>
      <c r="AA217" s="256"/>
      <c r="AB217" s="256"/>
      <c r="AC217" s="256"/>
      <c r="AD217" s="256"/>
      <c r="AE217" s="256"/>
      <c r="AF217" s="256"/>
      <c r="AG217" s="256"/>
      <c r="AH217" s="256"/>
      <c r="AI217" s="256"/>
      <c r="AJ217" s="256"/>
      <c r="AK217" s="256"/>
      <c r="AL217" s="256"/>
      <c r="AM217" s="256"/>
      <c r="AN217" s="256"/>
      <c r="AO217" s="256"/>
      <c r="AP217" s="256"/>
      <c r="AQ217" s="256"/>
      <c r="AR217" s="256"/>
      <c r="AS217" s="256"/>
      <c r="AT217" s="256"/>
      <c r="AU217" s="256"/>
      <c r="AV217" s="256"/>
      <c r="AW217" s="256"/>
      <c r="AX217" s="256"/>
      <c r="AY217" s="256"/>
      <c r="AZ217" s="256"/>
      <c r="BA217" s="256"/>
      <c r="BB217" s="256"/>
      <c r="BC217" s="256"/>
      <c r="BD217" s="256"/>
      <c r="BE217" s="256"/>
      <c r="BF217" s="256"/>
      <c r="BG217" s="256"/>
      <c r="BH217" s="256"/>
      <c r="BI217" s="256"/>
      <c r="BJ217" s="256"/>
      <c r="BK217" s="256"/>
      <c r="BL217" s="256"/>
      <c r="BM217" s="256"/>
      <c r="BN217" s="256"/>
      <c r="BO217" s="256"/>
      <c r="BP217" s="256"/>
      <c r="BQ217" s="256"/>
      <c r="BR217" s="256"/>
      <c r="BS217" s="256"/>
      <c r="BT217" s="256"/>
      <c r="BU217" s="256"/>
      <c r="BV217" s="256"/>
      <c r="BW217" s="256"/>
      <c r="BX217" s="256"/>
      <c r="BY217" s="256"/>
      <c r="BZ217" s="256"/>
    </row>
    <row r="218" spans="1:78" ht="15" thickBot="1">
      <c r="A218" s="444" t="s">
        <v>10</v>
      </c>
      <c r="B218" s="464">
        <v>13.0982146173689</v>
      </c>
      <c r="C218" s="464">
        <v>13.3782718350332</v>
      </c>
      <c r="D218" s="464">
        <v>12.564371215014599</v>
      </c>
      <c r="E218" s="464">
        <v>11.7054049168408</v>
      </c>
      <c r="F218" s="464">
        <v>10.586407524917901</v>
      </c>
      <c r="G218" s="464">
        <v>9.2079284167409003</v>
      </c>
      <c r="H218" s="466">
        <v>1.41139200272455E-3</v>
      </c>
      <c r="I218" s="467">
        <v>-1.24748871303695E-2</v>
      </c>
      <c r="J218" s="467">
        <v>-1.40630647971826E-2</v>
      </c>
      <c r="K218" s="467">
        <v>-1.9895386857720899E-2</v>
      </c>
      <c r="L218" s="468">
        <v>-6.9510276661613997E-3</v>
      </c>
      <c r="M218" s="256"/>
      <c r="N218" s="256"/>
      <c r="O218" s="256"/>
      <c r="P218" s="256"/>
      <c r="Q218" s="256"/>
      <c r="R218" s="256"/>
      <c r="S218" s="256"/>
      <c r="T218" s="256"/>
      <c r="U218" s="256"/>
      <c r="V218" s="256"/>
      <c r="W218" s="256"/>
      <c r="X218" s="256"/>
      <c r="Y218" s="256"/>
      <c r="Z218" s="256"/>
      <c r="AA218" s="256"/>
      <c r="AB218" s="256"/>
      <c r="AC218" s="256"/>
      <c r="AD218" s="256"/>
      <c r="AE218" s="256"/>
      <c r="AF218" s="256"/>
      <c r="AG218" s="256"/>
      <c r="AH218" s="256"/>
      <c r="AI218" s="256"/>
      <c r="AJ218" s="256"/>
      <c r="AK218" s="256"/>
      <c r="AL218" s="256"/>
      <c r="AM218" s="256"/>
      <c r="AN218" s="256"/>
      <c r="AO218" s="256"/>
      <c r="AP218" s="256"/>
      <c r="AQ218" s="256"/>
      <c r="AR218" s="256"/>
      <c r="AS218" s="256"/>
      <c r="AT218" s="256"/>
      <c r="AU218" s="256"/>
      <c r="AV218" s="256"/>
      <c r="AW218" s="256"/>
      <c r="AX218" s="256"/>
      <c r="AY218" s="256"/>
      <c r="AZ218" s="256"/>
      <c r="BA218" s="256"/>
      <c r="BB218" s="256"/>
      <c r="BC218" s="256"/>
      <c r="BD218" s="256"/>
      <c r="BE218" s="256"/>
      <c r="BF218" s="256"/>
      <c r="BG218" s="256"/>
      <c r="BH218" s="256"/>
      <c r="BI218" s="256"/>
      <c r="BJ218" s="256"/>
      <c r="BK218" s="256"/>
      <c r="BL218" s="256"/>
      <c r="BM218" s="256"/>
      <c r="BN218" s="256"/>
      <c r="BO218" s="256"/>
      <c r="BP218" s="256"/>
      <c r="BQ218" s="256"/>
      <c r="BR218" s="256"/>
      <c r="BS218" s="256"/>
      <c r="BT218" s="256"/>
      <c r="BU218" s="256"/>
      <c r="BV218" s="256"/>
      <c r="BW218" s="256"/>
      <c r="BX218" s="256"/>
      <c r="BY218" s="256"/>
      <c r="BZ218" s="256"/>
    </row>
    <row r="219" spans="1:78">
      <c r="A219" s="449"/>
      <c r="B219" s="427"/>
      <c r="C219" s="427"/>
      <c r="D219" s="427"/>
      <c r="E219" s="427"/>
      <c r="F219" s="256"/>
      <c r="G219" s="256"/>
      <c r="H219" s="256"/>
      <c r="I219" s="256"/>
      <c r="J219" s="256"/>
      <c r="K219" s="256"/>
      <c r="L219" s="256"/>
      <c r="M219" s="256"/>
      <c r="N219" s="256"/>
      <c r="O219" s="256"/>
      <c r="P219" s="256"/>
      <c r="Q219" s="256"/>
      <c r="R219" s="256"/>
      <c r="S219" s="256"/>
      <c r="T219" s="256"/>
      <c r="U219" s="256"/>
      <c r="V219" s="256"/>
      <c r="W219" s="256"/>
      <c r="X219" s="256"/>
      <c r="Y219" s="256"/>
      <c r="Z219" s="256"/>
      <c r="AA219" s="256"/>
      <c r="AB219" s="256"/>
      <c r="AC219" s="256"/>
      <c r="AD219" s="256"/>
      <c r="AE219" s="256"/>
      <c r="AF219" s="256"/>
      <c r="AG219" s="256"/>
      <c r="AH219" s="256"/>
      <c r="AI219" s="256"/>
      <c r="AJ219" s="256"/>
      <c r="AK219" s="256"/>
      <c r="AL219" s="256"/>
      <c r="AM219" s="256"/>
      <c r="AN219" s="256"/>
      <c r="AO219" s="256"/>
      <c r="AP219" s="256"/>
      <c r="AQ219" s="256"/>
      <c r="AR219" s="256"/>
      <c r="AS219" s="256"/>
      <c r="AT219" s="256"/>
      <c r="AU219" s="256"/>
      <c r="AV219" s="256"/>
      <c r="AW219" s="256"/>
      <c r="AX219" s="256"/>
      <c r="AY219" s="256"/>
      <c r="AZ219" s="256"/>
      <c r="BA219" s="256"/>
      <c r="BB219" s="256"/>
      <c r="BC219" s="256"/>
      <c r="BD219" s="256"/>
      <c r="BE219" s="256"/>
      <c r="BF219" s="256"/>
      <c r="BG219" s="256"/>
      <c r="BH219" s="256"/>
      <c r="BI219" s="256"/>
      <c r="BJ219" s="256"/>
      <c r="BK219" s="256"/>
      <c r="BL219" s="256"/>
      <c r="BM219" s="256"/>
      <c r="BN219" s="256"/>
      <c r="BO219" s="256"/>
      <c r="BP219" s="256"/>
      <c r="BQ219" s="256"/>
      <c r="BR219" s="256"/>
      <c r="BS219" s="256"/>
      <c r="BT219" s="256"/>
      <c r="BU219" s="256"/>
      <c r="BV219" s="256"/>
      <c r="BW219" s="256"/>
      <c r="BX219" s="256"/>
      <c r="BY219" s="256"/>
      <c r="BZ219" s="256"/>
    </row>
    <row r="220" spans="1:78">
      <c r="A220" s="449"/>
      <c r="B220" s="427"/>
      <c r="C220" s="427"/>
      <c r="D220" s="427"/>
      <c r="E220" s="427"/>
      <c r="F220" s="256"/>
      <c r="G220" s="256"/>
      <c r="H220" s="256"/>
      <c r="I220" s="256"/>
      <c r="J220" s="256"/>
      <c r="K220" s="256"/>
      <c r="L220" s="256"/>
      <c r="M220" s="256"/>
      <c r="N220" s="256"/>
      <c r="O220" s="256"/>
      <c r="P220" s="256"/>
      <c r="Q220" s="256"/>
      <c r="R220" s="256"/>
      <c r="S220" s="256"/>
      <c r="T220" s="256"/>
      <c r="U220" s="256"/>
      <c r="V220" s="256"/>
      <c r="W220" s="256"/>
      <c r="X220" s="256"/>
      <c r="Y220" s="256"/>
      <c r="Z220" s="256"/>
      <c r="AA220" s="256"/>
      <c r="AB220" s="256"/>
      <c r="AC220" s="256"/>
      <c r="AD220" s="256"/>
      <c r="AE220" s="256"/>
      <c r="AF220" s="256"/>
      <c r="AG220" s="256"/>
      <c r="AH220" s="256"/>
      <c r="AI220" s="256"/>
      <c r="AJ220" s="256"/>
      <c r="AK220" s="256"/>
      <c r="AL220" s="256"/>
      <c r="AM220" s="256"/>
      <c r="AN220" s="256"/>
      <c r="AO220" s="256"/>
      <c r="AP220" s="256"/>
      <c r="AQ220" s="256"/>
      <c r="AR220" s="256"/>
      <c r="AS220" s="256"/>
      <c r="AT220" s="256"/>
      <c r="AU220" s="256"/>
      <c r="AV220" s="256"/>
      <c r="AW220" s="256"/>
      <c r="AX220" s="256"/>
      <c r="AY220" s="256"/>
      <c r="AZ220" s="256"/>
      <c r="BA220" s="256"/>
      <c r="BB220" s="256"/>
      <c r="BC220" s="256"/>
      <c r="BD220" s="256"/>
      <c r="BE220" s="256"/>
      <c r="BF220" s="256"/>
      <c r="BG220" s="256"/>
      <c r="BH220" s="256"/>
      <c r="BI220" s="256"/>
      <c r="BJ220" s="256"/>
      <c r="BK220" s="256"/>
      <c r="BL220" s="256"/>
      <c r="BM220" s="256"/>
      <c r="BN220" s="256"/>
      <c r="BO220" s="256"/>
      <c r="BP220" s="256"/>
      <c r="BQ220" s="256"/>
      <c r="BR220" s="256"/>
      <c r="BS220" s="256"/>
      <c r="BT220" s="256"/>
      <c r="BU220" s="256"/>
      <c r="BV220" s="256"/>
      <c r="BW220" s="256"/>
      <c r="BX220" s="256"/>
      <c r="BY220" s="256"/>
      <c r="BZ220" s="256"/>
    </row>
    <row r="221" spans="1:78" ht="16" thickBot="1">
      <c r="A221" s="428" t="s">
        <v>158</v>
      </c>
      <c r="B221" s="430"/>
      <c r="C221" s="430"/>
      <c r="D221" s="430"/>
      <c r="E221" s="430"/>
      <c r="F221" s="430"/>
      <c r="G221" s="430"/>
      <c r="H221" s="430"/>
      <c r="I221" s="430"/>
      <c r="J221" s="430"/>
      <c r="K221" s="430"/>
      <c r="L221" s="430"/>
      <c r="M221" s="256"/>
      <c r="N221" s="256"/>
      <c r="O221" s="256"/>
      <c r="P221" s="256"/>
      <c r="Q221" s="256"/>
      <c r="R221" s="256"/>
      <c r="S221" s="256"/>
      <c r="T221" s="256"/>
      <c r="U221" s="256"/>
      <c r="V221" s="256"/>
      <c r="W221" s="256"/>
      <c r="X221" s="256"/>
      <c r="Y221" s="256"/>
      <c r="Z221" s="256"/>
      <c r="AA221" s="256"/>
      <c r="AB221" s="256"/>
      <c r="AC221" s="256"/>
      <c r="AD221" s="256"/>
      <c r="AE221" s="256"/>
      <c r="AF221" s="256"/>
      <c r="AG221" s="256"/>
      <c r="AH221" s="256"/>
      <c r="AI221" s="256"/>
      <c r="AJ221" s="256"/>
      <c r="AK221" s="256"/>
      <c r="AL221" s="256"/>
      <c r="AM221" s="256"/>
      <c r="AN221" s="256"/>
      <c r="AO221" s="256"/>
      <c r="AP221" s="256"/>
      <c r="AQ221" s="256"/>
      <c r="AR221" s="256"/>
      <c r="AS221" s="256"/>
      <c r="AT221" s="256"/>
      <c r="AU221" s="256"/>
      <c r="AV221" s="256"/>
      <c r="AW221" s="256"/>
      <c r="AX221" s="256"/>
      <c r="AY221" s="256"/>
      <c r="AZ221" s="256"/>
      <c r="BA221" s="256"/>
      <c r="BB221" s="256"/>
      <c r="BC221" s="256"/>
      <c r="BD221" s="256"/>
      <c r="BE221" s="256"/>
      <c r="BF221" s="256"/>
      <c r="BG221" s="256"/>
      <c r="BH221" s="256"/>
      <c r="BI221" s="256"/>
      <c r="BJ221" s="256"/>
      <c r="BK221" s="256"/>
      <c r="BL221" s="256"/>
      <c r="BM221" s="256"/>
      <c r="BN221" s="256"/>
      <c r="BO221" s="256"/>
      <c r="BP221" s="256"/>
      <c r="BQ221" s="256"/>
      <c r="BR221" s="256"/>
      <c r="BS221" s="256"/>
      <c r="BT221" s="256"/>
      <c r="BU221" s="256"/>
      <c r="BV221" s="256"/>
      <c r="BW221" s="256"/>
      <c r="BX221" s="256"/>
      <c r="BY221" s="256"/>
      <c r="BZ221" s="256"/>
    </row>
    <row r="222" spans="1:78" ht="15" thickBot="1">
      <c r="A222" s="483" t="s">
        <v>51</v>
      </c>
      <c r="B222" s="432">
        <v>2000</v>
      </c>
      <c r="C222" s="432">
        <v>2015</v>
      </c>
      <c r="D222" s="432">
        <v>2020</v>
      </c>
      <c r="E222" s="432">
        <v>2025</v>
      </c>
      <c r="F222" s="432">
        <v>2030</v>
      </c>
      <c r="G222" s="432">
        <v>2050</v>
      </c>
      <c r="H222" s="452" t="s">
        <v>98</v>
      </c>
      <c r="I222" s="453" t="s">
        <v>99</v>
      </c>
      <c r="J222" s="453" t="s">
        <v>100</v>
      </c>
      <c r="K222" s="453" t="s">
        <v>101</v>
      </c>
      <c r="L222" s="454" t="s">
        <v>384</v>
      </c>
      <c r="M222" s="256"/>
      <c r="N222" s="502"/>
      <c r="O222" s="256"/>
      <c r="P222" s="256"/>
      <c r="Q222" s="256"/>
      <c r="R222" s="256"/>
      <c r="S222" s="256"/>
      <c r="T222" s="256"/>
      <c r="U222" s="256"/>
      <c r="V222" s="256"/>
      <c r="W222" s="256"/>
      <c r="X222" s="256"/>
      <c r="Y222" s="256"/>
      <c r="Z222" s="256"/>
      <c r="AA222" s="256"/>
      <c r="AB222" s="256"/>
      <c r="AC222" s="256"/>
      <c r="AD222" s="256"/>
      <c r="AE222" s="256"/>
      <c r="AF222" s="256"/>
      <c r="AG222" s="256"/>
      <c r="AH222" s="256"/>
      <c r="AI222" s="256"/>
      <c r="AJ222" s="256"/>
      <c r="AK222" s="256"/>
      <c r="AL222" s="256"/>
      <c r="AM222" s="256"/>
      <c r="AN222" s="256"/>
      <c r="AO222" s="256"/>
      <c r="AP222" s="256"/>
      <c r="AQ222" s="256"/>
      <c r="AR222" s="256"/>
      <c r="AS222" s="256"/>
      <c r="AT222" s="256"/>
      <c r="AU222" s="256"/>
      <c r="AV222" s="256"/>
      <c r="AW222" s="256"/>
      <c r="AX222" s="256"/>
      <c r="AY222" s="256"/>
      <c r="AZ222" s="256"/>
      <c r="BA222" s="256"/>
      <c r="BB222" s="256"/>
      <c r="BC222" s="256"/>
      <c r="BD222" s="256"/>
      <c r="BE222" s="256"/>
      <c r="BF222" s="256"/>
      <c r="BG222" s="256"/>
      <c r="BH222" s="256"/>
      <c r="BI222" s="256"/>
      <c r="BJ222" s="256"/>
      <c r="BK222" s="256"/>
      <c r="BL222" s="256"/>
      <c r="BM222" s="256"/>
      <c r="BN222" s="256"/>
      <c r="BO222" s="256"/>
      <c r="BP222" s="256"/>
      <c r="BQ222" s="256"/>
      <c r="BR222" s="256"/>
      <c r="BS222" s="256"/>
      <c r="BT222" s="256"/>
      <c r="BU222" s="256"/>
      <c r="BV222" s="256"/>
      <c r="BW222" s="256"/>
      <c r="BX222" s="256"/>
      <c r="BY222" s="256"/>
      <c r="BZ222" s="256"/>
    </row>
    <row r="223" spans="1:78">
      <c r="A223" s="435" t="s">
        <v>103</v>
      </c>
      <c r="B223" s="455">
        <v>2.6355</v>
      </c>
      <c r="C223" s="455">
        <v>1.5865</v>
      </c>
      <c r="D223" s="455">
        <v>1.2203999999999999</v>
      </c>
      <c r="E223" s="455">
        <v>0.9052</v>
      </c>
      <c r="F223" s="455">
        <v>0.63119999999999998</v>
      </c>
      <c r="G223" s="455">
        <v>0.33550000000000002</v>
      </c>
      <c r="H223" s="456">
        <v>-3.32701312538944E-2</v>
      </c>
      <c r="I223" s="457">
        <v>-5.1117527571357797E-2</v>
      </c>
      <c r="J223" s="457">
        <v>-5.8005278398234397E-2</v>
      </c>
      <c r="K223" s="457">
        <v>-6.9568320334211703E-2</v>
      </c>
      <c r="L223" s="458">
        <v>-3.1105977188465101E-2</v>
      </c>
      <c r="M223" s="503"/>
      <c r="N223" s="502"/>
      <c r="O223" s="256"/>
      <c r="P223" s="256"/>
      <c r="Q223" s="256"/>
      <c r="R223" s="256"/>
      <c r="S223" s="256"/>
      <c r="T223" s="256"/>
      <c r="U223" s="256"/>
      <c r="V223" s="256"/>
      <c r="W223" s="256"/>
      <c r="X223" s="256"/>
      <c r="Y223" s="256"/>
      <c r="Z223" s="256"/>
      <c r="AA223" s="256"/>
      <c r="AB223" s="256"/>
      <c r="AC223" s="256"/>
      <c r="AD223" s="256"/>
      <c r="AE223" s="256"/>
      <c r="AF223" s="256"/>
      <c r="AG223" s="256"/>
      <c r="AH223" s="256"/>
      <c r="AI223" s="256"/>
      <c r="AJ223" s="256"/>
      <c r="AK223" s="256"/>
      <c r="AL223" s="256"/>
      <c r="AM223" s="256"/>
      <c r="AN223" s="256"/>
      <c r="AO223" s="256"/>
      <c r="AP223" s="256"/>
      <c r="AQ223" s="256"/>
      <c r="AR223" s="256"/>
      <c r="AS223" s="256"/>
      <c r="AT223" s="256"/>
      <c r="AU223" s="256"/>
      <c r="AV223" s="256"/>
      <c r="AW223" s="256"/>
      <c r="AX223" s="256"/>
      <c r="AY223" s="256"/>
      <c r="AZ223" s="256"/>
      <c r="BA223" s="256"/>
      <c r="BB223" s="256"/>
      <c r="BC223" s="256"/>
      <c r="BD223" s="256"/>
      <c r="BE223" s="256"/>
      <c r="BF223" s="256"/>
      <c r="BG223" s="256"/>
      <c r="BH223" s="256"/>
      <c r="BI223" s="256"/>
      <c r="BJ223" s="256"/>
      <c r="BK223" s="256"/>
      <c r="BL223" s="256"/>
      <c r="BM223" s="256"/>
      <c r="BN223" s="256"/>
      <c r="BO223" s="256"/>
      <c r="BP223" s="256"/>
      <c r="BQ223" s="256"/>
      <c r="BR223" s="256"/>
      <c r="BS223" s="256"/>
      <c r="BT223" s="256"/>
      <c r="BU223" s="256"/>
      <c r="BV223" s="256"/>
      <c r="BW223" s="256"/>
      <c r="BX223" s="256"/>
      <c r="BY223" s="256"/>
      <c r="BZ223" s="256"/>
    </row>
    <row r="224" spans="1:78">
      <c r="A224" s="435" t="s">
        <v>54</v>
      </c>
      <c r="B224" s="455">
        <v>3.9832000000000001</v>
      </c>
      <c r="C224" s="455">
        <v>4.2202000000000002</v>
      </c>
      <c r="D224" s="455">
        <v>3.8336999999999999</v>
      </c>
      <c r="E224" s="455">
        <v>3.3018000000000001</v>
      </c>
      <c r="F224" s="455">
        <v>2.5691000000000002</v>
      </c>
      <c r="G224" s="455">
        <v>1.2297</v>
      </c>
      <c r="H224" s="461">
        <v>3.8605664590591901E-3</v>
      </c>
      <c r="I224" s="462">
        <v>-1.90270808974272E-2</v>
      </c>
      <c r="J224" s="462">
        <v>-2.9430750049253399E-2</v>
      </c>
      <c r="K224" s="462">
        <v>-4.8944088896414002E-2</v>
      </c>
      <c r="L224" s="463">
        <v>-3.6168960817935601E-2</v>
      </c>
      <c r="M224" s="503"/>
      <c r="N224" s="502"/>
      <c r="O224" s="256"/>
      <c r="P224" s="256"/>
      <c r="Q224" s="256"/>
      <c r="R224" s="256"/>
      <c r="S224" s="256"/>
      <c r="T224" s="256"/>
      <c r="U224" s="256"/>
      <c r="V224" s="256"/>
      <c r="W224" s="256"/>
      <c r="X224" s="256"/>
      <c r="Y224" s="256"/>
      <c r="Z224" s="256"/>
      <c r="AA224" s="256"/>
      <c r="AB224" s="256"/>
      <c r="AC224" s="256"/>
      <c r="AD224" s="256"/>
      <c r="AE224" s="256"/>
      <c r="AF224" s="256"/>
      <c r="AG224" s="256"/>
      <c r="AH224" s="256"/>
      <c r="AI224" s="256"/>
      <c r="AJ224" s="256"/>
      <c r="AK224" s="256"/>
      <c r="AL224" s="256"/>
      <c r="AM224" s="256"/>
      <c r="AN224" s="256"/>
      <c r="AO224" s="256"/>
      <c r="AP224" s="256"/>
      <c r="AQ224" s="256"/>
      <c r="AR224" s="256"/>
      <c r="AS224" s="256"/>
      <c r="AT224" s="256"/>
      <c r="AU224" s="256"/>
      <c r="AV224" s="256"/>
      <c r="AW224" s="256"/>
      <c r="AX224" s="256"/>
      <c r="AY224" s="256"/>
      <c r="AZ224" s="256"/>
      <c r="BA224" s="256"/>
      <c r="BB224" s="256"/>
      <c r="BC224" s="256"/>
      <c r="BD224" s="256"/>
      <c r="BE224" s="256"/>
      <c r="BF224" s="256"/>
      <c r="BG224" s="256"/>
      <c r="BH224" s="256"/>
      <c r="BI224" s="256"/>
      <c r="BJ224" s="256"/>
      <c r="BK224" s="256"/>
      <c r="BL224" s="256"/>
      <c r="BM224" s="256"/>
      <c r="BN224" s="256"/>
      <c r="BO224" s="256"/>
      <c r="BP224" s="256"/>
      <c r="BQ224" s="256"/>
      <c r="BR224" s="256"/>
      <c r="BS224" s="256"/>
      <c r="BT224" s="256"/>
      <c r="BU224" s="256"/>
      <c r="BV224" s="256"/>
      <c r="BW224" s="256"/>
      <c r="BX224" s="256"/>
      <c r="BY224" s="256"/>
      <c r="BZ224" s="256"/>
    </row>
    <row r="225" spans="1:78">
      <c r="A225" s="435" t="s">
        <v>42</v>
      </c>
      <c r="B225" s="455">
        <v>0.11509999999999999</v>
      </c>
      <c r="C225" s="455">
        <v>4.6199999999999998E-2</v>
      </c>
      <c r="D225" s="455">
        <v>0</v>
      </c>
      <c r="E225" s="455">
        <v>0</v>
      </c>
      <c r="F225" s="455">
        <v>0</v>
      </c>
      <c r="G225" s="455">
        <v>0</v>
      </c>
      <c r="H225" s="461">
        <v>-5.9040112512636501E-2</v>
      </c>
      <c r="I225" s="462">
        <v>-1</v>
      </c>
      <c r="J225" s="462" t="e">
        <f>#DIV/0!</f>
        <v>#DIV/0!</v>
      </c>
      <c r="K225" s="462" t="e">
        <f>#DIV/0!</f>
        <v>#DIV/0!</v>
      </c>
      <c r="L225" s="463" t="e">
        <f>#DIV/0!</f>
        <v>#DIV/0!</v>
      </c>
      <c r="M225" s="503"/>
      <c r="N225" s="502"/>
      <c r="O225" s="256"/>
      <c r="P225" s="256"/>
      <c r="Q225" s="256"/>
      <c r="R225" s="256"/>
      <c r="S225" s="256"/>
      <c r="T225" s="256"/>
      <c r="U225" s="256"/>
      <c r="V225" s="256"/>
      <c r="W225" s="256"/>
      <c r="X225" s="256"/>
      <c r="Y225" s="256"/>
      <c r="Z225" s="256"/>
      <c r="AA225" s="256"/>
      <c r="AB225" s="256"/>
      <c r="AC225" s="256"/>
      <c r="AD225" s="256"/>
      <c r="AE225" s="256"/>
      <c r="AF225" s="256"/>
      <c r="AG225" s="256"/>
      <c r="AH225" s="256"/>
      <c r="AI225" s="256"/>
      <c r="AJ225" s="256"/>
      <c r="AK225" s="256"/>
      <c r="AL225" s="256"/>
      <c r="AM225" s="256"/>
      <c r="AN225" s="256"/>
      <c r="AO225" s="256"/>
      <c r="AP225" s="256"/>
      <c r="AQ225" s="256"/>
      <c r="AR225" s="256"/>
      <c r="AS225" s="256"/>
      <c r="AT225" s="256"/>
      <c r="AU225" s="256"/>
      <c r="AV225" s="256"/>
      <c r="AW225" s="256"/>
      <c r="AX225" s="256"/>
      <c r="AY225" s="256"/>
      <c r="AZ225" s="256"/>
      <c r="BA225" s="256"/>
      <c r="BB225" s="256"/>
      <c r="BC225" s="256"/>
      <c r="BD225" s="256"/>
      <c r="BE225" s="256"/>
      <c r="BF225" s="256"/>
      <c r="BG225" s="256"/>
      <c r="BH225" s="256"/>
      <c r="BI225" s="256"/>
      <c r="BJ225" s="256"/>
      <c r="BK225" s="256"/>
      <c r="BL225" s="256"/>
      <c r="BM225" s="256"/>
      <c r="BN225" s="256"/>
      <c r="BO225" s="256"/>
      <c r="BP225" s="256"/>
      <c r="BQ225" s="256"/>
      <c r="BR225" s="256"/>
      <c r="BS225" s="256"/>
      <c r="BT225" s="256"/>
      <c r="BU225" s="256"/>
      <c r="BV225" s="256"/>
      <c r="BW225" s="256"/>
      <c r="BX225" s="256"/>
      <c r="BY225" s="256"/>
      <c r="BZ225" s="256"/>
    </row>
    <row r="226" spans="1:78">
      <c r="A226" s="435" t="s">
        <v>104</v>
      </c>
      <c r="B226" s="455">
        <v>1.7258</v>
      </c>
      <c r="C226" s="455">
        <v>1.9755</v>
      </c>
      <c r="D226" s="455">
        <v>2.0043000000000002</v>
      </c>
      <c r="E226" s="455">
        <v>2.0605000000000002</v>
      </c>
      <c r="F226" s="455">
        <v>2.0430000000000001</v>
      </c>
      <c r="G226" s="455">
        <v>1.9240999999999999</v>
      </c>
      <c r="H226" s="461">
        <v>9.0494219768668706E-3</v>
      </c>
      <c r="I226" s="462">
        <v>2.8988619474283901E-3</v>
      </c>
      <c r="J226" s="462">
        <v>5.5460827240940702E-3</v>
      </c>
      <c r="K226" s="462">
        <v>-1.70441702098156E-3</v>
      </c>
      <c r="L226" s="463">
        <v>-2.9935598320109899E-3</v>
      </c>
      <c r="M226" s="503"/>
      <c r="N226" s="502"/>
      <c r="O226" s="256"/>
      <c r="P226" s="256"/>
      <c r="Q226" s="256"/>
      <c r="R226" s="256"/>
      <c r="S226" s="256"/>
      <c r="T226" s="256"/>
      <c r="U226" s="256"/>
      <c r="V226" s="256"/>
      <c r="W226" s="256"/>
      <c r="X226" s="256"/>
      <c r="Y226" s="256"/>
      <c r="Z226" s="256"/>
      <c r="AA226" s="256"/>
      <c r="AB226" s="256"/>
      <c r="AC226" s="256"/>
      <c r="AD226" s="256"/>
      <c r="AE226" s="256"/>
      <c r="AF226" s="256"/>
      <c r="AG226" s="256"/>
      <c r="AH226" s="256"/>
      <c r="AI226" s="256"/>
      <c r="AJ226" s="256"/>
      <c r="AK226" s="256"/>
      <c r="AL226" s="256"/>
      <c r="AM226" s="256"/>
      <c r="AN226" s="256"/>
      <c r="AO226" s="256"/>
      <c r="AP226" s="256"/>
      <c r="AQ226" s="256"/>
      <c r="AR226" s="256"/>
      <c r="AS226" s="256"/>
      <c r="AT226" s="256"/>
      <c r="AU226" s="256"/>
      <c r="AV226" s="256"/>
      <c r="AW226" s="256"/>
      <c r="AX226" s="256"/>
      <c r="AY226" s="256"/>
      <c r="AZ226" s="256"/>
      <c r="BA226" s="256"/>
      <c r="BB226" s="256"/>
      <c r="BC226" s="256"/>
      <c r="BD226" s="256"/>
      <c r="BE226" s="256"/>
      <c r="BF226" s="256"/>
      <c r="BG226" s="256"/>
      <c r="BH226" s="256"/>
      <c r="BI226" s="256"/>
      <c r="BJ226" s="256"/>
      <c r="BK226" s="256"/>
      <c r="BL226" s="256"/>
      <c r="BM226" s="256"/>
      <c r="BN226" s="256"/>
      <c r="BO226" s="256"/>
      <c r="BP226" s="256"/>
      <c r="BQ226" s="256"/>
      <c r="BR226" s="256"/>
      <c r="BS226" s="256"/>
      <c r="BT226" s="256"/>
      <c r="BU226" s="256"/>
      <c r="BV226" s="256"/>
      <c r="BW226" s="256"/>
      <c r="BX226" s="256"/>
      <c r="BY226" s="256"/>
      <c r="BZ226" s="256"/>
    </row>
    <row r="227" spans="1:78">
      <c r="A227" s="435" t="s">
        <v>105</v>
      </c>
      <c r="B227" s="455">
        <v>0.62029999999999996</v>
      </c>
      <c r="C227" s="455">
        <v>0.57579999999999998</v>
      </c>
      <c r="D227" s="455">
        <v>0.49149999999999999</v>
      </c>
      <c r="E227" s="455">
        <v>0.44379999999999997</v>
      </c>
      <c r="F227" s="455">
        <v>0.42580000000000001</v>
      </c>
      <c r="G227" s="455">
        <v>0.43020000000000003</v>
      </c>
      <c r="H227" s="461">
        <v>-4.9505622928958104E-3</v>
      </c>
      <c r="I227" s="462">
        <v>-3.1163767146966399E-2</v>
      </c>
      <c r="J227" s="462">
        <v>-2.0210558307184798E-2</v>
      </c>
      <c r="K227" s="462">
        <v>-8.2466598003344601E-3</v>
      </c>
      <c r="L227" s="463">
        <v>5.1415535128596101E-4</v>
      </c>
      <c r="M227" s="503"/>
      <c r="N227" s="502"/>
      <c r="O227" s="256"/>
      <c r="P227" s="256"/>
      <c r="Q227" s="256"/>
      <c r="R227" s="256"/>
      <c r="S227" s="256"/>
      <c r="T227" s="256"/>
      <c r="U227" s="256"/>
      <c r="V227" s="256"/>
      <c r="W227" s="256"/>
      <c r="X227" s="256"/>
      <c r="Y227" s="256"/>
      <c r="Z227" s="256"/>
      <c r="AA227" s="256"/>
      <c r="AB227" s="256"/>
      <c r="AC227" s="256"/>
      <c r="AD227" s="256"/>
      <c r="AE227" s="256"/>
      <c r="AF227" s="256"/>
      <c r="AG227" s="256"/>
      <c r="AH227" s="256"/>
      <c r="AI227" s="256"/>
      <c r="AJ227" s="256"/>
      <c r="AK227" s="256"/>
      <c r="AL227" s="256"/>
      <c r="AM227" s="256"/>
      <c r="AN227" s="256"/>
      <c r="AO227" s="256"/>
      <c r="AP227" s="256"/>
      <c r="AQ227" s="256"/>
      <c r="AR227" s="256"/>
      <c r="AS227" s="256"/>
      <c r="AT227" s="256"/>
      <c r="AU227" s="256"/>
      <c r="AV227" s="256"/>
      <c r="AW227" s="256"/>
      <c r="AX227" s="256"/>
      <c r="AY227" s="256"/>
      <c r="AZ227" s="256"/>
      <c r="BA227" s="256"/>
      <c r="BB227" s="256"/>
      <c r="BC227" s="256"/>
      <c r="BD227" s="256"/>
      <c r="BE227" s="256"/>
      <c r="BF227" s="256"/>
      <c r="BG227" s="256"/>
      <c r="BH227" s="256"/>
      <c r="BI227" s="256"/>
      <c r="BJ227" s="256"/>
      <c r="BK227" s="256"/>
      <c r="BL227" s="256"/>
      <c r="BM227" s="256"/>
      <c r="BN227" s="256"/>
      <c r="BO227" s="256"/>
      <c r="BP227" s="256"/>
      <c r="BQ227" s="256"/>
      <c r="BR227" s="256"/>
      <c r="BS227" s="256"/>
      <c r="BT227" s="256"/>
      <c r="BU227" s="256"/>
      <c r="BV227" s="256"/>
      <c r="BW227" s="256"/>
      <c r="BX227" s="256"/>
      <c r="BY227" s="256"/>
      <c r="BZ227" s="256"/>
    </row>
    <row r="228" spans="1:78">
      <c r="A228" s="435" t="s">
        <v>134</v>
      </c>
      <c r="B228" s="455">
        <v>0.2326</v>
      </c>
      <c r="C228" s="455">
        <v>0.30990000000000001</v>
      </c>
      <c r="D228" s="455">
        <v>0.2016</v>
      </c>
      <c r="E228" s="455">
        <v>0.13089999999999999</v>
      </c>
      <c r="F228" s="455">
        <v>7.7399999999999997E-2</v>
      </c>
      <c r="G228" s="455">
        <v>3.4599999999999999E-2</v>
      </c>
      <c r="H228" s="461">
        <v>1.9312752666136499E-2</v>
      </c>
      <c r="I228" s="462">
        <v>-8.2399185677649006E-2</v>
      </c>
      <c r="J228" s="462">
        <v>-8.2745557664505698E-2</v>
      </c>
      <c r="K228" s="462">
        <v>-9.97559434406773E-2</v>
      </c>
      <c r="L228" s="463">
        <v>-3.9457120548926097E-2</v>
      </c>
      <c r="M228" s="503"/>
      <c r="N228" s="502"/>
      <c r="O228" s="256"/>
      <c r="P228" s="256"/>
      <c r="Q228" s="256"/>
      <c r="R228" s="256"/>
      <c r="S228" s="256"/>
      <c r="T228" s="256"/>
      <c r="U228" s="256"/>
      <c r="V228" s="256"/>
      <c r="W228" s="256"/>
      <c r="X228" s="256"/>
      <c r="Y228" s="256"/>
      <c r="Z228" s="256"/>
      <c r="AA228" s="256"/>
      <c r="AB228" s="256"/>
      <c r="AC228" s="256"/>
      <c r="AD228" s="256"/>
      <c r="AE228" s="256"/>
      <c r="AF228" s="256"/>
      <c r="AG228" s="256"/>
      <c r="AH228" s="256"/>
      <c r="AI228" s="256"/>
      <c r="AJ228" s="256"/>
      <c r="AK228" s="256"/>
      <c r="AL228" s="256"/>
      <c r="AM228" s="256"/>
      <c r="AN228" s="256"/>
      <c r="AO228" s="256"/>
      <c r="AP228" s="256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  <c r="BC228" s="256"/>
      <c r="BD228" s="256"/>
      <c r="BE228" s="256"/>
      <c r="BF228" s="256"/>
      <c r="BG228" s="256"/>
      <c r="BH228" s="256"/>
      <c r="BI228" s="256"/>
      <c r="BJ228" s="256"/>
      <c r="BK228" s="256"/>
      <c r="BL228" s="256"/>
      <c r="BM228" s="256"/>
      <c r="BN228" s="256"/>
      <c r="BO228" s="256"/>
      <c r="BP228" s="256"/>
      <c r="BQ228" s="256"/>
      <c r="BR228" s="256"/>
      <c r="BS228" s="256"/>
      <c r="BT228" s="256"/>
      <c r="BU228" s="256"/>
      <c r="BV228" s="256"/>
      <c r="BW228" s="256"/>
      <c r="BX228" s="256"/>
      <c r="BY228" s="256"/>
      <c r="BZ228" s="256"/>
    </row>
    <row r="229" spans="1:78">
      <c r="A229" s="435" t="s">
        <v>136</v>
      </c>
      <c r="B229" s="455">
        <v>0</v>
      </c>
      <c r="C229" s="455">
        <v>0.70541508524818897</v>
      </c>
      <c r="D229" s="455">
        <v>0.84021412129145101</v>
      </c>
      <c r="E229" s="455">
        <v>0.92974017049510504</v>
      </c>
      <c r="F229" s="455">
        <v>0.95436496257908998</v>
      </c>
      <c r="G229" s="455">
        <v>1.2473564476953301</v>
      </c>
      <c r="H229" s="461"/>
      <c r="I229" s="462"/>
      <c r="J229" s="462"/>
      <c r="K229" s="462"/>
      <c r="L229" s="463"/>
      <c r="M229" s="502"/>
      <c r="N229" s="502"/>
      <c r="O229" s="256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  <c r="AB229" s="256"/>
      <c r="AC229" s="256"/>
      <c r="AD229" s="256"/>
      <c r="AE229" s="256"/>
      <c r="AF229" s="256"/>
      <c r="AG229" s="256"/>
      <c r="AH229" s="256"/>
      <c r="AI229" s="256"/>
      <c r="AJ229" s="256"/>
      <c r="AK229" s="256"/>
      <c r="AL229" s="256"/>
      <c r="AM229" s="256"/>
      <c r="AN229" s="256"/>
      <c r="AO229" s="256"/>
      <c r="AP229" s="256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  <c r="BC229" s="256"/>
      <c r="BD229" s="256"/>
      <c r="BE229" s="256"/>
      <c r="BF229" s="256"/>
      <c r="BG229" s="256"/>
      <c r="BH229" s="256"/>
      <c r="BI229" s="256"/>
      <c r="BJ229" s="256"/>
      <c r="BK229" s="256"/>
      <c r="BL229" s="256"/>
      <c r="BM229" s="256"/>
      <c r="BN229" s="256"/>
      <c r="BO229" s="256"/>
      <c r="BP229" s="256"/>
      <c r="BQ229" s="256"/>
      <c r="BR229" s="256"/>
      <c r="BS229" s="256"/>
      <c r="BT229" s="256"/>
      <c r="BU229" s="256"/>
      <c r="BV229" s="256"/>
      <c r="BW229" s="256"/>
      <c r="BX229" s="256"/>
      <c r="BY229" s="256"/>
      <c r="BZ229" s="256"/>
    </row>
    <row r="230" spans="1:78">
      <c r="A230" s="435"/>
      <c r="B230" s="436"/>
      <c r="C230" s="436"/>
      <c r="D230" s="436"/>
      <c r="E230" s="436"/>
      <c r="F230" s="436"/>
      <c r="G230" s="436"/>
      <c r="H230" s="461"/>
      <c r="I230" s="462"/>
      <c r="J230" s="462"/>
      <c r="K230" s="462"/>
      <c r="L230" s="463"/>
      <c r="M230" s="256"/>
      <c r="N230" s="256"/>
      <c r="O230" s="256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  <c r="AB230" s="256"/>
      <c r="AC230" s="256"/>
      <c r="AD230" s="256"/>
      <c r="AE230" s="256"/>
      <c r="AF230" s="256"/>
      <c r="AG230" s="256"/>
      <c r="AH230" s="256"/>
      <c r="AI230" s="256"/>
      <c r="AJ230" s="256"/>
      <c r="AK230" s="256"/>
      <c r="AL230" s="256"/>
      <c r="AM230" s="256"/>
      <c r="AN230" s="256"/>
      <c r="AO230" s="256"/>
      <c r="AP230" s="256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  <c r="BC230" s="256"/>
      <c r="BD230" s="256"/>
      <c r="BE230" s="256"/>
      <c r="BF230" s="256"/>
      <c r="BG230" s="256"/>
      <c r="BH230" s="256"/>
      <c r="BI230" s="256"/>
      <c r="BJ230" s="256"/>
      <c r="BK230" s="256"/>
      <c r="BL230" s="256"/>
      <c r="BM230" s="256"/>
      <c r="BN230" s="256"/>
      <c r="BO230" s="256"/>
      <c r="BP230" s="256"/>
      <c r="BQ230" s="256"/>
      <c r="BR230" s="256"/>
      <c r="BS230" s="256"/>
      <c r="BT230" s="256"/>
      <c r="BU230" s="256"/>
      <c r="BV230" s="256"/>
      <c r="BW230" s="256"/>
      <c r="BX230" s="256"/>
      <c r="BY230" s="256"/>
      <c r="BZ230" s="256"/>
    </row>
    <row r="231" spans="1:78" ht="15" thickBot="1">
      <c r="A231" s="444" t="s">
        <v>10</v>
      </c>
      <c r="B231" s="464">
        <v>9.3125</v>
      </c>
      <c r="C231" s="464">
        <v>9.4195150852481895</v>
      </c>
      <c r="D231" s="464">
        <v>8.5917141212914494</v>
      </c>
      <c r="E231" s="464">
        <v>7.7719401704950997</v>
      </c>
      <c r="F231" s="464">
        <v>6.7008649625790904</v>
      </c>
      <c r="G231" s="504">
        <v>5.20145644769533</v>
      </c>
      <c r="H231" s="466">
        <v>7.6202528770386003E-4</v>
      </c>
      <c r="I231" s="467">
        <v>-1.8228876035648999E-2</v>
      </c>
      <c r="J231" s="467">
        <v>-1.9855908742122699E-2</v>
      </c>
      <c r="K231" s="467">
        <v>-2.9221200253626501E-2</v>
      </c>
      <c r="L231" s="468">
        <v>-1.25850349185209E-2</v>
      </c>
      <c r="M231" s="256"/>
      <c r="N231" s="256"/>
      <c r="O231" s="256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  <c r="AB231" s="256"/>
      <c r="AC231" s="256"/>
      <c r="AD231" s="256"/>
      <c r="AE231" s="256"/>
      <c r="AF231" s="256"/>
      <c r="AG231" s="256"/>
      <c r="AH231" s="256"/>
      <c r="AI231" s="256"/>
      <c r="AJ231" s="256"/>
      <c r="AK231" s="256"/>
      <c r="AL231" s="256"/>
      <c r="AM231" s="256"/>
      <c r="AN231" s="256"/>
      <c r="AO231" s="256"/>
      <c r="AP231" s="256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  <c r="BC231" s="256"/>
      <c r="BD231" s="256"/>
      <c r="BE231" s="256"/>
      <c r="BF231" s="256"/>
      <c r="BG231" s="256"/>
      <c r="BH231" s="256"/>
      <c r="BI231" s="256"/>
      <c r="BJ231" s="256"/>
      <c r="BK231" s="256"/>
      <c r="BL231" s="256"/>
      <c r="BM231" s="256"/>
      <c r="BN231" s="256"/>
      <c r="BO231" s="256"/>
      <c r="BP231" s="256"/>
      <c r="BQ231" s="256"/>
      <c r="BR231" s="256"/>
      <c r="BS231" s="256"/>
      <c r="BT231" s="256"/>
      <c r="BU231" s="256"/>
      <c r="BV231" s="256"/>
      <c r="BW231" s="256"/>
      <c r="BX231" s="256"/>
      <c r="BY231" s="256"/>
      <c r="BZ231" s="256"/>
    </row>
    <row r="232" spans="1:78">
      <c r="A232" s="449"/>
      <c r="B232" s="427"/>
      <c r="C232" s="427"/>
      <c r="D232" s="427"/>
      <c r="E232" s="427"/>
      <c r="F232" s="256"/>
      <c r="G232" s="505"/>
      <c r="H232" s="256"/>
      <c r="I232" s="256"/>
      <c r="J232" s="256"/>
      <c r="K232" s="256"/>
      <c r="L232" s="256"/>
      <c r="M232" s="443"/>
      <c r="N232" s="443"/>
      <c r="O232" s="443"/>
      <c r="P232" s="443"/>
      <c r="Q232" s="443"/>
      <c r="R232" s="443"/>
      <c r="S232" s="256"/>
      <c r="T232" s="256"/>
      <c r="U232" s="256"/>
      <c r="V232" s="256"/>
      <c r="W232" s="256"/>
      <c r="X232" s="256"/>
      <c r="Y232" s="256"/>
      <c r="Z232" s="256"/>
      <c r="AA232" s="256"/>
      <c r="AB232" s="256"/>
      <c r="AC232" s="256"/>
      <c r="AD232" s="256"/>
      <c r="AE232" s="256"/>
      <c r="AF232" s="256"/>
      <c r="AG232" s="256"/>
      <c r="AH232" s="256"/>
      <c r="AI232" s="256"/>
      <c r="AJ232" s="256"/>
      <c r="AK232" s="256"/>
      <c r="AL232" s="256"/>
      <c r="AM232" s="256"/>
      <c r="AN232" s="256"/>
      <c r="AO232" s="256"/>
      <c r="AP232" s="256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  <c r="BC232" s="256"/>
      <c r="BD232" s="256"/>
      <c r="BE232" s="256"/>
      <c r="BF232" s="256"/>
      <c r="BG232" s="256"/>
      <c r="BH232" s="256"/>
      <c r="BI232" s="256"/>
      <c r="BJ232" s="256"/>
      <c r="BK232" s="256"/>
      <c r="BL232" s="256"/>
      <c r="BM232" s="256"/>
      <c r="BN232" s="256"/>
      <c r="BO232" s="256"/>
      <c r="BP232" s="256"/>
      <c r="BQ232" s="256"/>
      <c r="BR232" s="256"/>
      <c r="BS232" s="256"/>
      <c r="BT232" s="256"/>
      <c r="BU232" s="256"/>
      <c r="BV232" s="256"/>
      <c r="BW232" s="256"/>
      <c r="BX232" s="256"/>
      <c r="BY232" s="256"/>
      <c r="BZ232" s="256"/>
    </row>
    <row r="233" spans="1:78">
      <c r="A233" s="449"/>
      <c r="B233" s="427"/>
      <c r="C233" s="427"/>
      <c r="D233" s="427"/>
      <c r="E233" s="427"/>
      <c r="F233" s="256"/>
      <c r="G233" s="256"/>
      <c r="H233" s="256"/>
      <c r="I233" s="256"/>
      <c r="J233" s="256"/>
      <c r="K233" s="256"/>
      <c r="L233" s="256"/>
      <c r="M233" s="256"/>
      <c r="N233" s="256"/>
      <c r="O233" s="256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  <c r="AB233" s="256"/>
      <c r="AC233" s="256"/>
      <c r="AD233" s="256"/>
      <c r="AE233" s="256"/>
      <c r="AF233" s="256"/>
      <c r="AG233" s="256"/>
      <c r="AH233" s="256"/>
      <c r="AI233" s="256"/>
      <c r="AJ233" s="256"/>
      <c r="AK233" s="256"/>
      <c r="AL233" s="256"/>
      <c r="AM233" s="256"/>
      <c r="AN233" s="256"/>
      <c r="AO233" s="256"/>
      <c r="AP233" s="256"/>
      <c r="AQ233" s="256"/>
      <c r="AR233" s="256"/>
      <c r="AS233" s="256"/>
      <c r="AT233" s="256"/>
      <c r="AU233" s="256"/>
      <c r="AV233" s="256"/>
      <c r="AW233" s="256"/>
      <c r="AX233" s="256"/>
      <c r="AY233" s="256"/>
      <c r="AZ233" s="256"/>
      <c r="BA233" s="256"/>
      <c r="BB233" s="256"/>
      <c r="BC233" s="256"/>
      <c r="BD233" s="256"/>
      <c r="BE233" s="256"/>
      <c r="BF233" s="256"/>
      <c r="BG233" s="256"/>
      <c r="BH233" s="256"/>
      <c r="BI233" s="256"/>
      <c r="BJ233" s="256"/>
      <c r="BK233" s="256"/>
      <c r="BL233" s="256"/>
      <c r="BM233" s="256"/>
      <c r="BN233" s="256"/>
      <c r="BO233" s="256"/>
      <c r="BP233" s="256"/>
      <c r="BQ233" s="256"/>
      <c r="BR233" s="256"/>
      <c r="BS233" s="256"/>
      <c r="BT233" s="256"/>
      <c r="BU233" s="256"/>
      <c r="BV233" s="256"/>
      <c r="BW233" s="256"/>
      <c r="BX233" s="256"/>
      <c r="BY233" s="256"/>
      <c r="BZ233" s="256"/>
    </row>
    <row r="234" spans="1:78" ht="16" thickBot="1">
      <c r="A234" s="428" t="s">
        <v>159</v>
      </c>
      <c r="B234" s="430"/>
      <c r="C234" s="430"/>
      <c r="D234" s="430"/>
      <c r="E234" s="430"/>
      <c r="F234" s="430"/>
      <c r="G234" s="430"/>
      <c r="H234" s="430"/>
      <c r="I234" s="430"/>
      <c r="J234" s="430"/>
      <c r="K234" s="430"/>
      <c r="L234" s="430"/>
      <c r="M234" s="256"/>
      <c r="N234" s="256"/>
      <c r="O234" s="256"/>
      <c r="P234" s="256"/>
      <c r="Q234" s="256"/>
      <c r="R234" s="256"/>
      <c r="S234" s="256"/>
      <c r="T234" s="256"/>
      <c r="U234" s="256"/>
      <c r="V234" s="256"/>
      <c r="W234" s="256"/>
      <c r="X234" s="256"/>
      <c r="Y234" s="256"/>
      <c r="Z234" s="256"/>
      <c r="AA234" s="256"/>
      <c r="AB234" s="256"/>
      <c r="AC234" s="256"/>
      <c r="AD234" s="256"/>
      <c r="AE234" s="256"/>
      <c r="AF234" s="256"/>
      <c r="AG234" s="256"/>
      <c r="AH234" s="256"/>
      <c r="AI234" s="256"/>
      <c r="AJ234" s="256"/>
      <c r="AK234" s="256"/>
      <c r="AL234" s="256"/>
      <c r="AM234" s="256"/>
      <c r="AN234" s="256"/>
      <c r="AO234" s="256"/>
      <c r="AP234" s="256"/>
      <c r="AQ234" s="256"/>
      <c r="AR234" s="256"/>
      <c r="AS234" s="256"/>
      <c r="AT234" s="256"/>
      <c r="AU234" s="256"/>
      <c r="AV234" s="256"/>
      <c r="AW234" s="256"/>
      <c r="AX234" s="256"/>
      <c r="AY234" s="256"/>
      <c r="AZ234" s="256"/>
      <c r="BA234" s="256"/>
      <c r="BB234" s="256"/>
      <c r="BC234" s="256"/>
      <c r="BD234" s="256"/>
      <c r="BE234" s="256"/>
      <c r="BF234" s="256"/>
      <c r="BG234" s="256"/>
      <c r="BH234" s="256"/>
      <c r="BI234" s="256"/>
      <c r="BJ234" s="256"/>
      <c r="BK234" s="256"/>
      <c r="BL234" s="256"/>
      <c r="BM234" s="256"/>
      <c r="BN234" s="256"/>
      <c r="BO234" s="256"/>
      <c r="BP234" s="256"/>
      <c r="BQ234" s="256"/>
      <c r="BR234" s="256"/>
      <c r="BS234" s="256"/>
      <c r="BT234" s="256"/>
      <c r="BU234" s="256"/>
      <c r="BV234" s="256"/>
      <c r="BW234" s="256"/>
      <c r="BX234" s="256"/>
      <c r="BY234" s="256"/>
      <c r="BZ234" s="256"/>
    </row>
    <row r="235" spans="1:78" ht="15" thickBot="1">
      <c r="A235" s="483" t="s">
        <v>51</v>
      </c>
      <c r="B235" s="432">
        <v>2000</v>
      </c>
      <c r="C235" s="432">
        <v>2015</v>
      </c>
      <c r="D235" s="432">
        <v>2020</v>
      </c>
      <c r="E235" s="432">
        <v>2025</v>
      </c>
      <c r="F235" s="432">
        <v>2030</v>
      </c>
      <c r="G235" s="432">
        <v>2050</v>
      </c>
      <c r="H235" s="452" t="s">
        <v>98</v>
      </c>
      <c r="I235" s="453" t="s">
        <v>99</v>
      </c>
      <c r="J235" s="453" t="s">
        <v>100</v>
      </c>
      <c r="K235" s="453" t="s">
        <v>101</v>
      </c>
      <c r="L235" s="454" t="s">
        <v>384</v>
      </c>
      <c r="M235" s="256"/>
      <c r="N235" s="256"/>
      <c r="O235" s="256"/>
      <c r="P235" s="256"/>
      <c r="Q235" s="256"/>
      <c r="R235" s="256"/>
      <c r="S235" s="256"/>
      <c r="T235" s="256"/>
      <c r="U235" s="256"/>
      <c r="V235" s="256"/>
      <c r="W235" s="256"/>
      <c r="X235" s="256"/>
      <c r="Y235" s="256"/>
      <c r="Z235" s="256"/>
      <c r="AA235" s="256"/>
      <c r="AB235" s="256"/>
      <c r="AC235" s="256"/>
      <c r="AD235" s="256"/>
      <c r="AE235" s="256"/>
      <c r="AF235" s="256"/>
      <c r="AG235" s="256"/>
      <c r="AH235" s="256"/>
      <c r="AI235" s="256"/>
      <c r="AJ235" s="256"/>
      <c r="AK235" s="256"/>
      <c r="AL235" s="256"/>
      <c r="AM235" s="256"/>
      <c r="AN235" s="256"/>
      <c r="AO235" s="256"/>
      <c r="AP235" s="256"/>
      <c r="AQ235" s="256"/>
      <c r="AR235" s="256"/>
      <c r="AS235" s="256"/>
      <c r="AT235" s="256"/>
      <c r="AU235" s="256"/>
      <c r="AV235" s="256"/>
      <c r="AW235" s="256"/>
      <c r="AX235" s="256"/>
      <c r="AY235" s="256"/>
      <c r="AZ235" s="256"/>
      <c r="BA235" s="256"/>
      <c r="BB235" s="256"/>
      <c r="BC235" s="256"/>
      <c r="BD235" s="256"/>
      <c r="BE235" s="256"/>
      <c r="BF235" s="256"/>
      <c r="BG235" s="256"/>
      <c r="BH235" s="256"/>
      <c r="BI235" s="256"/>
      <c r="BJ235" s="256"/>
      <c r="BK235" s="256"/>
      <c r="BL235" s="256"/>
      <c r="BM235" s="256"/>
      <c r="BN235" s="256"/>
      <c r="BO235" s="256"/>
      <c r="BP235" s="256"/>
      <c r="BQ235" s="256"/>
      <c r="BR235" s="256"/>
      <c r="BS235" s="256"/>
      <c r="BT235" s="256"/>
      <c r="BU235" s="256"/>
      <c r="BV235" s="256"/>
      <c r="BW235" s="256"/>
      <c r="BX235" s="256"/>
      <c r="BY235" s="256"/>
      <c r="BZ235" s="256"/>
    </row>
    <row r="236" spans="1:78">
      <c r="A236" s="435" t="s">
        <v>103</v>
      </c>
      <c r="B236" s="455">
        <v>1.1206</v>
      </c>
      <c r="C236" s="455">
        <v>0.78810000000000002</v>
      </c>
      <c r="D236" s="455">
        <v>0.69510000000000005</v>
      </c>
      <c r="E236" s="494">
        <v>0.58740000000000003</v>
      </c>
      <c r="F236" s="455">
        <v>0.49180000000000001</v>
      </c>
      <c r="G236" s="455">
        <v>0.40910000000000002</v>
      </c>
      <c r="H236" s="456">
        <v>-2.3193110734695498E-2</v>
      </c>
      <c r="I236" s="457">
        <v>-2.4801123659468301E-2</v>
      </c>
      <c r="J236" s="457">
        <v>-3.31094163764196E-2</v>
      </c>
      <c r="K236" s="457">
        <v>-3.4903109284142503E-2</v>
      </c>
      <c r="L236" s="458">
        <v>-9.1633831951471994E-3</v>
      </c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6"/>
      <c r="Z236" s="256"/>
      <c r="AA236" s="256"/>
      <c r="AB236" s="256"/>
      <c r="AC236" s="256"/>
      <c r="AD236" s="256"/>
      <c r="AE236" s="256"/>
      <c r="AF236" s="256"/>
      <c r="AG236" s="256"/>
      <c r="AH236" s="256"/>
      <c r="AI236" s="256"/>
      <c r="AJ236" s="256"/>
      <c r="AK236" s="256"/>
      <c r="AL236" s="256"/>
      <c r="AM236" s="256"/>
      <c r="AN236" s="256"/>
      <c r="AO236" s="256"/>
      <c r="AP236" s="256"/>
      <c r="AQ236" s="256"/>
      <c r="AR236" s="256"/>
      <c r="AS236" s="256"/>
      <c r="AT236" s="256"/>
      <c r="AU236" s="256"/>
      <c r="AV236" s="256"/>
      <c r="AW236" s="256"/>
      <c r="AX236" s="256"/>
      <c r="AY236" s="256"/>
      <c r="AZ236" s="256"/>
      <c r="BA236" s="256"/>
      <c r="BB236" s="256"/>
      <c r="BC236" s="256"/>
      <c r="BD236" s="256"/>
      <c r="BE236" s="256"/>
      <c r="BF236" s="256"/>
      <c r="BG236" s="256"/>
      <c r="BH236" s="256"/>
      <c r="BI236" s="256"/>
      <c r="BJ236" s="256"/>
      <c r="BK236" s="256"/>
      <c r="BL236" s="256"/>
      <c r="BM236" s="256"/>
      <c r="BN236" s="256"/>
      <c r="BO236" s="256"/>
      <c r="BP236" s="256"/>
      <c r="BQ236" s="256"/>
      <c r="BR236" s="256"/>
      <c r="BS236" s="256"/>
      <c r="BT236" s="256"/>
      <c r="BU236" s="256"/>
      <c r="BV236" s="256"/>
      <c r="BW236" s="256"/>
      <c r="BX236" s="256"/>
      <c r="BY236" s="256"/>
      <c r="BZ236" s="256"/>
    </row>
    <row r="237" spans="1:78">
      <c r="A237" s="435" t="s">
        <v>54</v>
      </c>
      <c r="B237" s="455">
        <v>1.613</v>
      </c>
      <c r="C237" s="455">
        <v>1.8822000000000001</v>
      </c>
      <c r="D237" s="455">
        <v>1.9531000000000001</v>
      </c>
      <c r="E237" s="494">
        <v>1.9224000000000001</v>
      </c>
      <c r="F237" s="455">
        <v>1.7985</v>
      </c>
      <c r="G237" s="455">
        <v>1.3728</v>
      </c>
      <c r="H237" s="461">
        <v>1.0342821430755E-2</v>
      </c>
      <c r="I237" s="462">
        <v>7.4227225200960102E-3</v>
      </c>
      <c r="J237" s="462">
        <v>-3.1636746853501698E-3</v>
      </c>
      <c r="K237" s="462">
        <v>-1.3235908929934001E-2</v>
      </c>
      <c r="L237" s="463">
        <v>-1.3414242985186099E-2</v>
      </c>
      <c r="M237" s="256"/>
      <c r="N237" s="256"/>
      <c r="O237" s="256"/>
      <c r="P237" s="256"/>
      <c r="Q237" s="256"/>
      <c r="R237" s="256"/>
      <c r="S237" s="256"/>
      <c r="T237" s="256"/>
      <c r="U237" s="256"/>
      <c r="V237" s="256"/>
      <c r="W237" s="256"/>
      <c r="X237" s="256"/>
      <c r="Y237" s="256"/>
      <c r="Z237" s="256"/>
      <c r="AA237" s="256"/>
      <c r="AB237" s="256"/>
      <c r="AC237" s="256"/>
      <c r="AD237" s="256"/>
      <c r="AE237" s="256"/>
      <c r="AF237" s="256"/>
      <c r="AG237" s="256"/>
      <c r="AH237" s="256"/>
      <c r="AI237" s="256"/>
      <c r="AJ237" s="256"/>
      <c r="AK237" s="256"/>
      <c r="AL237" s="256"/>
      <c r="AM237" s="256"/>
      <c r="AN237" s="256"/>
      <c r="AO237" s="256"/>
      <c r="AP237" s="256"/>
      <c r="AQ237" s="256"/>
      <c r="AR237" s="256"/>
      <c r="AS237" s="256"/>
      <c r="AT237" s="256"/>
      <c r="AU237" s="256"/>
      <c r="AV237" s="256"/>
      <c r="AW237" s="256"/>
      <c r="AX237" s="256"/>
      <c r="AY237" s="256"/>
      <c r="AZ237" s="256"/>
      <c r="BA237" s="256"/>
      <c r="BB237" s="256"/>
      <c r="BC237" s="256"/>
      <c r="BD237" s="256"/>
      <c r="BE237" s="256"/>
      <c r="BF237" s="256"/>
      <c r="BG237" s="256"/>
      <c r="BH237" s="256"/>
      <c r="BI237" s="256"/>
      <c r="BJ237" s="256"/>
      <c r="BK237" s="256"/>
      <c r="BL237" s="256"/>
      <c r="BM237" s="256"/>
      <c r="BN237" s="256"/>
      <c r="BO237" s="256"/>
      <c r="BP237" s="256"/>
      <c r="BQ237" s="256"/>
      <c r="BR237" s="256"/>
      <c r="BS237" s="256"/>
      <c r="BT237" s="256"/>
      <c r="BU237" s="256"/>
      <c r="BV237" s="256"/>
      <c r="BW237" s="256"/>
      <c r="BX237" s="256"/>
      <c r="BY237" s="256"/>
      <c r="BZ237" s="256"/>
    </row>
    <row r="238" spans="1:78">
      <c r="A238" s="435" t="s">
        <v>42</v>
      </c>
      <c r="B238" s="455">
        <v>4.36E-2</v>
      </c>
      <c r="C238" s="455">
        <v>1.9199999999999998E-2</v>
      </c>
      <c r="D238" s="455">
        <v>0</v>
      </c>
      <c r="E238" s="455">
        <v>0</v>
      </c>
      <c r="F238" s="455">
        <v>0</v>
      </c>
      <c r="G238" s="455">
        <v>0</v>
      </c>
      <c r="H238" s="461">
        <v>-5.3208574888069703E-2</v>
      </c>
      <c r="I238" s="462">
        <v>-1</v>
      </c>
      <c r="J238" s="462" t="e">
        <f>#DIV/0!</f>
        <v>#DIV/0!</v>
      </c>
      <c r="K238" s="462" t="e">
        <f>#DIV/0!</f>
        <v>#DIV/0!</v>
      </c>
      <c r="L238" s="463" t="e">
        <f>#DIV/0!</f>
        <v>#DIV/0!</v>
      </c>
      <c r="M238" s="256"/>
      <c r="N238" s="256"/>
      <c r="O238" s="256"/>
      <c r="P238" s="256"/>
      <c r="Q238" s="256"/>
      <c r="R238" s="256"/>
      <c r="S238" s="256"/>
      <c r="T238" s="256"/>
      <c r="U238" s="256"/>
      <c r="V238" s="256"/>
      <c r="W238" s="256"/>
      <c r="X238" s="256"/>
      <c r="Y238" s="256"/>
      <c r="Z238" s="256"/>
      <c r="AA238" s="256"/>
      <c r="AB238" s="256"/>
      <c r="AC238" s="256"/>
      <c r="AD238" s="256"/>
      <c r="AE238" s="256"/>
      <c r="AF238" s="256"/>
      <c r="AG238" s="256"/>
      <c r="AH238" s="256"/>
      <c r="AI238" s="256"/>
      <c r="AJ238" s="256"/>
      <c r="AK238" s="256"/>
      <c r="AL238" s="256"/>
      <c r="AM238" s="256"/>
      <c r="AN238" s="256"/>
      <c r="AO238" s="256"/>
      <c r="AP238" s="256"/>
      <c r="AQ238" s="256"/>
      <c r="AR238" s="256"/>
      <c r="AS238" s="256"/>
      <c r="AT238" s="256"/>
      <c r="AU238" s="256"/>
      <c r="AV238" s="256"/>
      <c r="AW238" s="256"/>
      <c r="AX238" s="256"/>
      <c r="AY238" s="256"/>
      <c r="AZ238" s="256"/>
      <c r="BA238" s="256"/>
      <c r="BB238" s="256"/>
      <c r="BC238" s="256"/>
      <c r="BD238" s="256"/>
      <c r="BE238" s="256"/>
      <c r="BF238" s="256"/>
      <c r="BG238" s="256"/>
      <c r="BH238" s="256"/>
      <c r="BI238" s="256"/>
      <c r="BJ238" s="256"/>
      <c r="BK238" s="256"/>
      <c r="BL238" s="256"/>
      <c r="BM238" s="256"/>
      <c r="BN238" s="256"/>
      <c r="BO238" s="256"/>
      <c r="BP238" s="256"/>
      <c r="BQ238" s="256"/>
      <c r="BR238" s="256"/>
      <c r="BS238" s="256"/>
      <c r="BT238" s="256"/>
      <c r="BU238" s="256"/>
      <c r="BV238" s="256"/>
      <c r="BW238" s="256"/>
      <c r="BX238" s="256"/>
      <c r="BY238" s="256"/>
      <c r="BZ238" s="256"/>
    </row>
    <row r="239" spans="1:78">
      <c r="A239" s="435" t="s">
        <v>104</v>
      </c>
      <c r="B239" s="436">
        <v>0.68521461736887601</v>
      </c>
      <c r="C239" s="436">
        <v>0.81085674978504096</v>
      </c>
      <c r="D239" s="436">
        <v>0.91825709372313202</v>
      </c>
      <c r="E239" s="506">
        <v>1.05216474634566</v>
      </c>
      <c r="F239" s="436">
        <v>1.2258425623387801</v>
      </c>
      <c r="G239" s="436">
        <v>1.77597196904557</v>
      </c>
      <c r="H239" s="461">
        <v>1.1287178574132001E-2</v>
      </c>
      <c r="I239" s="462">
        <v>2.5189220679678399E-2</v>
      </c>
      <c r="J239" s="462">
        <v>2.7599515553620401E-2</v>
      </c>
      <c r="K239" s="462">
        <v>3.1027359667426899E-2</v>
      </c>
      <c r="L239" s="463">
        <v>1.8708829896345799E-2</v>
      </c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6"/>
      <c r="Z239" s="256"/>
      <c r="AA239" s="256"/>
      <c r="AB239" s="256"/>
      <c r="AC239" s="256"/>
      <c r="AD239" s="256"/>
      <c r="AE239" s="256"/>
      <c r="AF239" s="256"/>
      <c r="AG239" s="256"/>
      <c r="AH239" s="256"/>
      <c r="AI239" s="256"/>
      <c r="AJ239" s="256"/>
      <c r="AK239" s="256"/>
      <c r="AL239" s="256"/>
      <c r="AM239" s="256"/>
      <c r="AN239" s="256"/>
      <c r="AO239" s="256"/>
      <c r="AP239" s="256"/>
      <c r="AQ239" s="256"/>
      <c r="AR239" s="256"/>
      <c r="AS239" s="256"/>
      <c r="AT239" s="256"/>
      <c r="AU239" s="256"/>
      <c r="AV239" s="256"/>
      <c r="AW239" s="256"/>
      <c r="AX239" s="256"/>
      <c r="AY239" s="256"/>
      <c r="AZ239" s="256"/>
      <c r="BA239" s="256"/>
      <c r="BB239" s="256"/>
      <c r="BC239" s="256"/>
      <c r="BD239" s="256"/>
      <c r="BE239" s="256"/>
      <c r="BF239" s="256"/>
      <c r="BG239" s="256"/>
      <c r="BH239" s="256"/>
      <c r="BI239" s="256"/>
      <c r="BJ239" s="256"/>
      <c r="BK239" s="256"/>
      <c r="BL239" s="256"/>
      <c r="BM239" s="256"/>
      <c r="BN239" s="256"/>
      <c r="BO239" s="256"/>
      <c r="BP239" s="256"/>
      <c r="BQ239" s="256"/>
      <c r="BR239" s="256"/>
      <c r="BS239" s="256"/>
      <c r="BT239" s="256"/>
      <c r="BU239" s="256"/>
      <c r="BV239" s="256"/>
      <c r="BW239" s="256"/>
      <c r="BX239" s="256"/>
      <c r="BY239" s="256"/>
      <c r="BZ239" s="256"/>
    </row>
    <row r="240" spans="1:78">
      <c r="A240" s="435" t="s">
        <v>105</v>
      </c>
      <c r="B240" s="455">
        <v>0.2351</v>
      </c>
      <c r="C240" s="455">
        <v>0.2399</v>
      </c>
      <c r="D240" s="455">
        <v>0.2387</v>
      </c>
      <c r="E240" s="494">
        <v>0.2465</v>
      </c>
      <c r="F240" s="455">
        <v>0.28029999999999999</v>
      </c>
      <c r="G240" s="455">
        <v>0.4</v>
      </c>
      <c r="H240" s="461">
        <v>1.3483224571198E-3</v>
      </c>
      <c r="I240" s="462">
        <v>-1.00242453668065E-3</v>
      </c>
      <c r="J240" s="462">
        <v>6.4516146114776997E-3</v>
      </c>
      <c r="K240" s="462">
        <v>2.60327773134887E-2</v>
      </c>
      <c r="L240" s="463">
        <v>1.7939213287181802E-2</v>
      </c>
      <c r="M240" s="256"/>
      <c r="N240" s="256"/>
      <c r="O240" s="256"/>
      <c r="P240" s="256"/>
      <c r="Q240" s="256"/>
      <c r="R240" s="256"/>
      <c r="S240" s="256"/>
      <c r="T240" s="256"/>
      <c r="U240" s="256"/>
      <c r="V240" s="256"/>
      <c r="W240" s="256"/>
      <c r="X240" s="256"/>
      <c r="Y240" s="256"/>
      <c r="Z240" s="256"/>
      <c r="AA240" s="256"/>
      <c r="AB240" s="256"/>
      <c r="AC240" s="256"/>
      <c r="AD240" s="256"/>
      <c r="AE240" s="256"/>
      <c r="AF240" s="256"/>
      <c r="AG240" s="256"/>
      <c r="AH240" s="256"/>
      <c r="AI240" s="256"/>
      <c r="AJ240" s="256"/>
      <c r="AK240" s="256"/>
      <c r="AL240" s="256"/>
      <c r="AM240" s="256"/>
      <c r="AN240" s="256"/>
      <c r="AO240" s="256"/>
      <c r="AP240" s="256"/>
      <c r="AQ240" s="256"/>
      <c r="AR240" s="256"/>
      <c r="AS240" s="256"/>
      <c r="AT240" s="256"/>
      <c r="AU240" s="256"/>
      <c r="AV240" s="256"/>
      <c r="AW240" s="256"/>
      <c r="AX240" s="256"/>
      <c r="AY240" s="256"/>
      <c r="AZ240" s="256"/>
      <c r="BA240" s="256"/>
      <c r="BB240" s="256"/>
      <c r="BC240" s="256"/>
      <c r="BD240" s="256"/>
      <c r="BE240" s="256"/>
      <c r="BF240" s="256"/>
      <c r="BG240" s="256"/>
      <c r="BH240" s="256"/>
      <c r="BI240" s="256"/>
      <c r="BJ240" s="256"/>
      <c r="BK240" s="256"/>
      <c r="BL240" s="256"/>
      <c r="BM240" s="256"/>
      <c r="BN240" s="256"/>
      <c r="BO240" s="256"/>
      <c r="BP240" s="256"/>
      <c r="BQ240" s="256"/>
      <c r="BR240" s="256"/>
      <c r="BS240" s="256"/>
      <c r="BT240" s="256"/>
      <c r="BU240" s="256"/>
      <c r="BV240" s="256"/>
      <c r="BW240" s="256"/>
      <c r="BX240" s="256"/>
      <c r="BY240" s="256"/>
      <c r="BZ240" s="256"/>
    </row>
    <row r="241" spans="1:78">
      <c r="A241" s="435" t="s">
        <v>134</v>
      </c>
      <c r="B241" s="455">
        <v>8.8200000000000001E-2</v>
      </c>
      <c r="C241" s="455">
        <v>0.1293</v>
      </c>
      <c r="D241" s="455">
        <v>8.7599999999999997E-2</v>
      </c>
      <c r="E241" s="455">
        <v>5.9900000000000002E-2</v>
      </c>
      <c r="F241" s="455">
        <v>3.6799999999999999E-2</v>
      </c>
      <c r="G241" s="455">
        <v>1.4500000000000001E-2</v>
      </c>
      <c r="H241" s="461">
        <v>2.5829843224459002E-2</v>
      </c>
      <c r="I241" s="462">
        <v>-7.4916113586561597E-2</v>
      </c>
      <c r="J241" s="462">
        <v>-7.3203162366209398E-2</v>
      </c>
      <c r="K241" s="462">
        <v>-9.2839358907831002E-2</v>
      </c>
      <c r="L241" s="463">
        <v>-4.5499831980384001E-2</v>
      </c>
      <c r="M241" s="256"/>
      <c r="N241" s="256"/>
      <c r="O241" s="256"/>
      <c r="P241" s="256"/>
      <c r="Q241" s="256"/>
      <c r="R241" s="256"/>
      <c r="S241" s="256"/>
      <c r="T241" s="256"/>
      <c r="U241" s="256"/>
      <c r="V241" s="256"/>
      <c r="W241" s="256"/>
      <c r="X241" s="256"/>
      <c r="Y241" s="256"/>
      <c r="Z241" s="256"/>
      <c r="AA241" s="256"/>
      <c r="AB241" s="256"/>
      <c r="AC241" s="256"/>
      <c r="AD241" s="256"/>
      <c r="AE241" s="256"/>
      <c r="AF241" s="256"/>
      <c r="AG241" s="256"/>
      <c r="AH241" s="256"/>
      <c r="AI241" s="256"/>
      <c r="AJ241" s="256"/>
      <c r="AK241" s="256"/>
      <c r="AL241" s="256"/>
      <c r="AM241" s="256"/>
      <c r="AN241" s="256"/>
      <c r="AO241" s="256"/>
      <c r="AP241" s="256"/>
      <c r="AQ241" s="256"/>
      <c r="AR241" s="256"/>
      <c r="AS241" s="256"/>
      <c r="AT241" s="256"/>
      <c r="AU241" s="256"/>
      <c r="AV241" s="256"/>
      <c r="AW241" s="256"/>
      <c r="AX241" s="256"/>
      <c r="AY241" s="256"/>
      <c r="AZ241" s="256"/>
      <c r="BA241" s="256"/>
      <c r="BB241" s="256"/>
      <c r="BC241" s="256"/>
      <c r="BD241" s="256"/>
      <c r="BE241" s="256"/>
      <c r="BF241" s="256"/>
      <c r="BG241" s="256"/>
      <c r="BH241" s="256"/>
      <c r="BI241" s="256"/>
      <c r="BJ241" s="256"/>
      <c r="BK241" s="256"/>
      <c r="BL241" s="256"/>
      <c r="BM241" s="256"/>
      <c r="BN241" s="256"/>
      <c r="BO241" s="256"/>
      <c r="BP241" s="256"/>
      <c r="BQ241" s="256"/>
      <c r="BR241" s="256"/>
      <c r="BS241" s="256"/>
      <c r="BT241" s="256"/>
      <c r="BU241" s="256"/>
      <c r="BV241" s="256"/>
      <c r="BW241" s="256"/>
      <c r="BX241" s="256"/>
      <c r="BY241" s="256"/>
      <c r="BZ241" s="256"/>
    </row>
    <row r="242" spans="1:78">
      <c r="A242" s="435" t="s">
        <v>135</v>
      </c>
      <c r="B242" s="455">
        <v>0</v>
      </c>
      <c r="C242" s="455">
        <v>8.9099999999999999E-2</v>
      </c>
      <c r="D242" s="455">
        <v>7.9899999999999999E-2</v>
      </c>
      <c r="E242" s="455">
        <v>6.5100000000000005E-2</v>
      </c>
      <c r="F242" s="455">
        <v>5.2400000000000002E-2</v>
      </c>
      <c r="G242" s="455">
        <v>3.4099999999999998E-2</v>
      </c>
      <c r="H242" s="461"/>
      <c r="I242" s="462"/>
      <c r="J242" s="462"/>
      <c r="K242" s="462"/>
      <c r="L242" s="463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6"/>
      <c r="Z242" s="256"/>
      <c r="AA242" s="256"/>
      <c r="AB242" s="256"/>
      <c r="AC242" s="256"/>
      <c r="AD242" s="256"/>
      <c r="AE242" s="256"/>
      <c r="AF242" s="256"/>
      <c r="AG242" s="256"/>
      <c r="AH242" s="256"/>
      <c r="AI242" s="256"/>
      <c r="AJ242" s="256"/>
      <c r="AK242" s="256"/>
      <c r="AL242" s="256"/>
      <c r="AM242" s="256"/>
      <c r="AN242" s="256"/>
      <c r="AO242" s="256"/>
      <c r="AP242" s="256"/>
      <c r="AQ242" s="256"/>
      <c r="AR242" s="256"/>
      <c r="AS242" s="256"/>
      <c r="AT242" s="256"/>
      <c r="AU242" s="256"/>
      <c r="AV242" s="256"/>
      <c r="AW242" s="256"/>
      <c r="AX242" s="256"/>
      <c r="AY242" s="256"/>
      <c r="AZ242" s="256"/>
      <c r="BA242" s="256"/>
      <c r="BB242" s="256"/>
      <c r="BC242" s="256"/>
      <c r="BD242" s="256"/>
      <c r="BE242" s="256"/>
      <c r="BF242" s="256"/>
      <c r="BG242" s="256"/>
      <c r="BH242" s="256"/>
      <c r="BI242" s="256"/>
      <c r="BJ242" s="256"/>
      <c r="BK242" s="256"/>
      <c r="BL242" s="256"/>
      <c r="BM242" s="256"/>
      <c r="BN242" s="256"/>
      <c r="BO242" s="256"/>
      <c r="BP242" s="256"/>
      <c r="BQ242" s="256"/>
      <c r="BR242" s="256"/>
      <c r="BS242" s="256"/>
      <c r="BT242" s="256"/>
      <c r="BU242" s="256"/>
      <c r="BV242" s="256"/>
      <c r="BW242" s="256"/>
      <c r="BX242" s="256"/>
      <c r="BY242" s="256"/>
      <c r="BZ242" s="256"/>
    </row>
    <row r="243" spans="1:78">
      <c r="A243" s="435"/>
      <c r="B243" s="436"/>
      <c r="C243" s="436"/>
      <c r="D243" s="436"/>
      <c r="E243" s="506"/>
      <c r="F243" s="436"/>
      <c r="G243" s="436"/>
      <c r="H243" s="461" t="e">
        <f>#DIV/0!</f>
        <v>#DIV/0!</v>
      </c>
      <c r="I243" s="462" t="e">
        <f>#DIV/0!</f>
        <v>#DIV/0!</v>
      </c>
      <c r="J243" s="462" t="e">
        <f>#DIV/0!</f>
        <v>#DIV/0!</v>
      </c>
      <c r="K243" s="462" t="e">
        <f>#DIV/0!</f>
        <v>#DIV/0!</v>
      </c>
      <c r="L243" s="463" t="e">
        <f>#DIV/0!</f>
        <v>#DIV/0!</v>
      </c>
      <c r="M243" s="256"/>
      <c r="N243" s="256"/>
      <c r="O243" s="256"/>
      <c r="P243" s="256"/>
      <c r="Q243" s="256"/>
      <c r="R243" s="256"/>
      <c r="S243" s="256"/>
      <c r="T243" s="256"/>
      <c r="U243" s="256"/>
      <c r="V243" s="256"/>
      <c r="W243" s="256"/>
      <c r="X243" s="256"/>
      <c r="Y243" s="256"/>
      <c r="Z243" s="256"/>
      <c r="AA243" s="256"/>
      <c r="AB243" s="256"/>
      <c r="AC243" s="256"/>
      <c r="AD243" s="256"/>
      <c r="AE243" s="256"/>
      <c r="AF243" s="256"/>
      <c r="AG243" s="256"/>
      <c r="AH243" s="256"/>
      <c r="AI243" s="256"/>
      <c r="AJ243" s="256"/>
      <c r="AK243" s="256"/>
      <c r="AL243" s="256"/>
      <c r="AM243" s="256"/>
      <c r="AN243" s="256"/>
      <c r="AO243" s="256"/>
      <c r="AP243" s="256"/>
      <c r="AQ243" s="256"/>
      <c r="AR243" s="256"/>
      <c r="AS243" s="256"/>
      <c r="AT243" s="256"/>
      <c r="AU243" s="256"/>
      <c r="AV243" s="256"/>
      <c r="AW243" s="256"/>
      <c r="AX243" s="256"/>
      <c r="AY243" s="256"/>
      <c r="AZ243" s="256"/>
      <c r="BA243" s="256"/>
      <c r="BB243" s="256"/>
      <c r="BC243" s="256"/>
      <c r="BD243" s="256"/>
      <c r="BE243" s="256"/>
      <c r="BF243" s="256"/>
      <c r="BG243" s="256"/>
      <c r="BH243" s="256"/>
      <c r="BI243" s="256"/>
      <c r="BJ243" s="256"/>
      <c r="BK243" s="256"/>
      <c r="BL243" s="256"/>
      <c r="BM243" s="256"/>
      <c r="BN243" s="256"/>
      <c r="BO243" s="256"/>
      <c r="BP243" s="256"/>
      <c r="BQ243" s="256"/>
      <c r="BR243" s="256"/>
      <c r="BS243" s="256"/>
      <c r="BT243" s="256"/>
      <c r="BU243" s="256"/>
      <c r="BV243" s="256"/>
      <c r="BW243" s="256"/>
      <c r="BX243" s="256"/>
      <c r="BY243" s="256"/>
      <c r="BZ243" s="256"/>
    </row>
    <row r="244" spans="1:78" ht="15" thickBot="1">
      <c r="A244" s="444" t="s">
        <v>10</v>
      </c>
      <c r="B244" s="464">
        <v>3.78571461736888</v>
      </c>
      <c r="C244" s="464">
        <v>3.9586567497850398</v>
      </c>
      <c r="D244" s="464">
        <v>3.97265709372313</v>
      </c>
      <c r="E244" s="464">
        <v>3.9334647463456598</v>
      </c>
      <c r="F244" s="464">
        <v>3.8856425623387798</v>
      </c>
      <c r="G244" s="504">
        <v>4.0064719690455703</v>
      </c>
      <c r="H244" s="466">
        <v>2.9824447705471E-3</v>
      </c>
      <c r="I244" s="467">
        <v>7.0632949884630303E-4</v>
      </c>
      <c r="J244" s="467">
        <v>-1.9809376716346501E-3</v>
      </c>
      <c r="K244" s="467">
        <v>-2.4434671579897098E-3</v>
      </c>
      <c r="L244" s="468">
        <v>1.5323067835169E-3</v>
      </c>
      <c r="M244" s="256"/>
      <c r="N244" s="256"/>
      <c r="O244" s="256"/>
      <c r="P244" s="256"/>
      <c r="Q244" s="256"/>
      <c r="R244" s="256"/>
      <c r="S244" s="256"/>
      <c r="T244" s="256"/>
      <c r="U244" s="256"/>
      <c r="V244" s="256"/>
      <c r="W244" s="256"/>
      <c r="X244" s="256"/>
      <c r="Y244" s="256"/>
      <c r="Z244" s="256"/>
      <c r="AA244" s="256"/>
      <c r="AB244" s="256"/>
      <c r="AC244" s="256"/>
      <c r="AD244" s="256"/>
      <c r="AE244" s="256"/>
      <c r="AF244" s="256"/>
      <c r="AG244" s="256"/>
      <c r="AH244" s="256"/>
      <c r="AI244" s="256"/>
      <c r="AJ244" s="256"/>
      <c r="AK244" s="256"/>
      <c r="AL244" s="256"/>
      <c r="AM244" s="256"/>
      <c r="AN244" s="256"/>
      <c r="AO244" s="256"/>
      <c r="AP244" s="256"/>
      <c r="AQ244" s="256"/>
      <c r="AR244" s="256"/>
      <c r="AS244" s="256"/>
      <c r="AT244" s="256"/>
      <c r="AU244" s="256"/>
      <c r="AV244" s="256"/>
      <c r="AW244" s="256"/>
      <c r="AX244" s="256"/>
      <c r="AY244" s="256"/>
      <c r="AZ244" s="256"/>
      <c r="BA244" s="256"/>
      <c r="BB244" s="256"/>
      <c r="BC244" s="256"/>
      <c r="BD244" s="256"/>
      <c r="BE244" s="256"/>
      <c r="BF244" s="256"/>
      <c r="BG244" s="256"/>
      <c r="BH244" s="256"/>
      <c r="BI244" s="256"/>
      <c r="BJ244" s="256"/>
      <c r="BK244" s="256"/>
      <c r="BL244" s="256"/>
      <c r="BM244" s="256"/>
      <c r="BN244" s="256"/>
      <c r="BO244" s="256"/>
      <c r="BP244" s="256"/>
      <c r="BQ244" s="256"/>
      <c r="BR244" s="256"/>
      <c r="BS244" s="256"/>
      <c r="BT244" s="256"/>
      <c r="BU244" s="256"/>
      <c r="BV244" s="256"/>
      <c r="BW244" s="256"/>
      <c r="BX244" s="256"/>
      <c r="BY244" s="256"/>
      <c r="BZ244" s="256"/>
    </row>
    <row r="245" spans="1:78">
      <c r="A245" s="449"/>
      <c r="B245" s="427"/>
      <c r="C245" s="427"/>
      <c r="D245" s="427"/>
      <c r="E245" s="427"/>
      <c r="F245" s="256"/>
      <c r="G245" s="256"/>
      <c r="H245" s="256"/>
      <c r="I245" s="256"/>
      <c r="J245" s="256"/>
      <c r="K245" s="256"/>
      <c r="L245" s="256"/>
      <c r="M245" s="256"/>
      <c r="N245" s="256"/>
      <c r="O245" s="256"/>
      <c r="P245" s="256"/>
      <c r="Q245" s="256"/>
      <c r="R245" s="256"/>
      <c r="S245" s="256"/>
      <c r="T245" s="256"/>
      <c r="U245" s="256"/>
      <c r="V245" s="256"/>
      <c r="W245" s="256"/>
      <c r="X245" s="256"/>
      <c r="Y245" s="256"/>
      <c r="Z245" s="256"/>
      <c r="AA245" s="256"/>
      <c r="AB245" s="256"/>
      <c r="AC245" s="256"/>
      <c r="AD245" s="256"/>
      <c r="AE245" s="256"/>
      <c r="AF245" s="256"/>
      <c r="AG245" s="256"/>
      <c r="AH245" s="256"/>
      <c r="AI245" s="256"/>
      <c r="AJ245" s="256"/>
      <c r="AK245" s="256"/>
      <c r="AL245" s="256"/>
      <c r="AM245" s="256"/>
      <c r="AN245" s="256"/>
      <c r="AO245" s="256"/>
      <c r="AP245" s="256"/>
      <c r="AQ245" s="256"/>
      <c r="AR245" s="256"/>
      <c r="AS245" s="256"/>
      <c r="AT245" s="256"/>
      <c r="AU245" s="256"/>
      <c r="AV245" s="256"/>
      <c r="AW245" s="256"/>
      <c r="AX245" s="256"/>
      <c r="AY245" s="256"/>
      <c r="AZ245" s="256"/>
      <c r="BA245" s="256"/>
      <c r="BB245" s="256"/>
      <c r="BC245" s="256"/>
      <c r="BD245" s="256"/>
      <c r="BE245" s="256"/>
      <c r="BF245" s="256"/>
      <c r="BG245" s="256"/>
      <c r="BH245" s="256"/>
      <c r="BI245" s="256"/>
      <c r="BJ245" s="256"/>
      <c r="BK245" s="256"/>
      <c r="BL245" s="256"/>
      <c r="BM245" s="256"/>
      <c r="BN245" s="256"/>
      <c r="BO245" s="256"/>
      <c r="BP245" s="256"/>
      <c r="BQ245" s="256"/>
      <c r="BR245" s="256"/>
      <c r="BS245" s="256"/>
      <c r="BT245" s="256"/>
      <c r="BU245" s="256"/>
      <c r="BV245" s="256"/>
      <c r="BW245" s="256"/>
      <c r="BX245" s="256"/>
      <c r="BY245" s="256"/>
      <c r="BZ245" s="256"/>
    </row>
    <row r="246" spans="1:78">
      <c r="A246" s="449"/>
      <c r="B246" s="427"/>
      <c r="C246" s="427"/>
      <c r="D246" s="427"/>
      <c r="E246" s="427"/>
      <c r="F246" s="256"/>
      <c r="G246" s="256"/>
      <c r="H246" s="256"/>
      <c r="I246" s="256"/>
      <c r="J246" s="256"/>
      <c r="K246" s="256"/>
      <c r="L246" s="256"/>
      <c r="M246" s="256"/>
      <c r="N246" s="256"/>
      <c r="O246" s="256"/>
      <c r="P246" s="256"/>
      <c r="Q246" s="256"/>
      <c r="R246" s="256"/>
      <c r="S246" s="256"/>
      <c r="T246" s="256"/>
      <c r="U246" s="256"/>
      <c r="V246" s="256"/>
      <c r="W246" s="256"/>
      <c r="X246" s="256"/>
      <c r="Y246" s="256"/>
      <c r="Z246" s="256"/>
      <c r="AA246" s="256"/>
      <c r="AB246" s="256"/>
      <c r="AC246" s="256"/>
      <c r="AD246" s="256"/>
      <c r="AE246" s="256"/>
      <c r="AF246" s="256"/>
      <c r="AG246" s="256"/>
      <c r="AH246" s="256"/>
      <c r="AI246" s="256"/>
      <c r="AJ246" s="256"/>
      <c r="AK246" s="256"/>
      <c r="AL246" s="256"/>
      <c r="AM246" s="256"/>
      <c r="AN246" s="256"/>
      <c r="AO246" s="256"/>
      <c r="AP246" s="256"/>
      <c r="AQ246" s="256"/>
      <c r="AR246" s="256"/>
      <c r="AS246" s="256"/>
      <c r="AT246" s="256"/>
      <c r="AU246" s="256"/>
      <c r="AV246" s="256"/>
      <c r="AW246" s="256"/>
      <c r="AX246" s="256"/>
      <c r="AY246" s="256"/>
      <c r="AZ246" s="256"/>
      <c r="BA246" s="256"/>
      <c r="BB246" s="256"/>
      <c r="BC246" s="256"/>
      <c r="BD246" s="256"/>
      <c r="BE246" s="256"/>
      <c r="BF246" s="256"/>
      <c r="BG246" s="256"/>
      <c r="BH246" s="256"/>
      <c r="BI246" s="256"/>
      <c r="BJ246" s="256"/>
      <c r="BK246" s="256"/>
      <c r="BL246" s="256"/>
      <c r="BM246" s="256"/>
      <c r="BN246" s="256"/>
      <c r="BO246" s="256"/>
      <c r="BP246" s="256"/>
      <c r="BQ246" s="256"/>
      <c r="BR246" s="256"/>
      <c r="BS246" s="256"/>
      <c r="BT246" s="256"/>
      <c r="BU246" s="256"/>
      <c r="BV246" s="256"/>
      <c r="BW246" s="256"/>
      <c r="BX246" s="256"/>
      <c r="BY246" s="256"/>
      <c r="BZ246" s="256"/>
    </row>
    <row r="247" spans="1:78" ht="16" thickBot="1">
      <c r="A247" s="428" t="s">
        <v>160</v>
      </c>
      <c r="B247" s="430"/>
      <c r="C247" s="430"/>
      <c r="D247" s="430"/>
      <c r="E247" s="430"/>
      <c r="F247" s="430"/>
      <c r="G247" s="430"/>
      <c r="H247" s="430"/>
      <c r="I247" s="430"/>
      <c r="J247" s="430"/>
      <c r="K247" s="430"/>
      <c r="L247" s="430"/>
      <c r="M247" s="256"/>
      <c r="N247" s="256"/>
      <c r="O247" s="256"/>
      <c r="P247" s="256"/>
      <c r="Q247" s="256"/>
      <c r="R247" s="256"/>
      <c r="S247" s="256"/>
      <c r="T247" s="256"/>
      <c r="U247" s="256"/>
      <c r="V247" s="256"/>
      <c r="W247" s="256"/>
      <c r="X247" s="256"/>
      <c r="Y247" s="256"/>
      <c r="Z247" s="256"/>
      <c r="AA247" s="256"/>
      <c r="AB247" s="256"/>
      <c r="AC247" s="256"/>
      <c r="AD247" s="256"/>
      <c r="AE247" s="256"/>
      <c r="AF247" s="256"/>
      <c r="AG247" s="256"/>
      <c r="AH247" s="256"/>
      <c r="AI247" s="256"/>
      <c r="AJ247" s="256"/>
      <c r="AK247" s="256"/>
      <c r="AL247" s="256"/>
      <c r="AM247" s="256"/>
      <c r="AN247" s="256"/>
      <c r="AO247" s="256"/>
      <c r="AP247" s="256"/>
      <c r="AQ247" s="256"/>
      <c r="AR247" s="256"/>
      <c r="AS247" s="256"/>
      <c r="AT247" s="256"/>
      <c r="AU247" s="256"/>
      <c r="AV247" s="256"/>
      <c r="AW247" s="256"/>
      <c r="AX247" s="256"/>
      <c r="AY247" s="256"/>
      <c r="AZ247" s="256"/>
      <c r="BA247" s="256"/>
      <c r="BB247" s="256"/>
      <c r="BC247" s="256"/>
      <c r="BD247" s="256"/>
      <c r="BE247" s="256"/>
      <c r="BF247" s="256"/>
      <c r="BG247" s="256"/>
      <c r="BH247" s="256"/>
      <c r="BI247" s="256"/>
      <c r="BJ247" s="256"/>
      <c r="BK247" s="256"/>
      <c r="BL247" s="256"/>
      <c r="BM247" s="256"/>
      <c r="BN247" s="256"/>
      <c r="BO247" s="256"/>
      <c r="BP247" s="256"/>
      <c r="BQ247" s="256"/>
      <c r="BR247" s="256"/>
      <c r="BS247" s="256"/>
      <c r="BT247" s="256"/>
      <c r="BU247" s="256"/>
      <c r="BV247" s="256"/>
      <c r="BW247" s="256"/>
      <c r="BX247" s="256"/>
      <c r="BY247" s="256"/>
      <c r="BZ247" s="256"/>
    </row>
    <row r="248" spans="1:78" ht="15" thickBot="1">
      <c r="A248" s="431"/>
      <c r="B248" s="432">
        <v>2000</v>
      </c>
      <c r="C248" s="432">
        <v>2015</v>
      </c>
      <c r="D248" s="432">
        <v>2020</v>
      </c>
      <c r="E248" s="432">
        <v>2025</v>
      </c>
      <c r="F248" s="432">
        <v>2030</v>
      </c>
      <c r="G248" s="432">
        <v>2050</v>
      </c>
      <c r="H248" s="452" t="s">
        <v>98</v>
      </c>
      <c r="I248" s="453" t="s">
        <v>99</v>
      </c>
      <c r="J248" s="453" t="s">
        <v>100</v>
      </c>
      <c r="K248" s="453" t="s">
        <v>101</v>
      </c>
      <c r="L248" s="454" t="s">
        <v>384</v>
      </c>
      <c r="M248" s="256"/>
      <c r="N248" s="256"/>
      <c r="O248" s="256"/>
      <c r="P248" s="256"/>
      <c r="Q248" s="256"/>
      <c r="R248" s="256"/>
      <c r="S248" s="256"/>
      <c r="T248" s="256"/>
      <c r="U248" s="256"/>
      <c r="V248" s="256"/>
      <c r="W248" s="256"/>
      <c r="X248" s="256"/>
      <c r="Y248" s="256"/>
      <c r="Z248" s="256"/>
      <c r="AA248" s="256"/>
      <c r="AB248" s="256"/>
      <c r="AC248" s="256"/>
      <c r="AD248" s="256"/>
      <c r="AE248" s="256"/>
      <c r="AF248" s="256"/>
      <c r="AG248" s="256"/>
      <c r="AH248" s="256"/>
      <c r="AI248" s="256"/>
      <c r="AJ248" s="256"/>
      <c r="AK248" s="256"/>
      <c r="AL248" s="256"/>
      <c r="AM248" s="256"/>
      <c r="AN248" s="256"/>
      <c r="AO248" s="256"/>
      <c r="AP248" s="256"/>
      <c r="AQ248" s="256"/>
      <c r="AR248" s="256"/>
      <c r="AS248" s="256"/>
      <c r="AT248" s="256"/>
      <c r="AU248" s="256"/>
      <c r="AV248" s="256"/>
      <c r="AW248" s="256"/>
      <c r="AX248" s="256"/>
      <c r="AY248" s="256"/>
      <c r="AZ248" s="256"/>
      <c r="BA248" s="256"/>
      <c r="BB248" s="256"/>
      <c r="BC248" s="256"/>
      <c r="BD248" s="256"/>
      <c r="BE248" s="256"/>
      <c r="BF248" s="256"/>
      <c r="BG248" s="256"/>
      <c r="BH248" s="256"/>
      <c r="BI248" s="256"/>
      <c r="BJ248" s="256"/>
      <c r="BK248" s="256"/>
      <c r="BL248" s="256"/>
      <c r="BM248" s="256"/>
      <c r="BN248" s="256"/>
      <c r="BO248" s="256"/>
      <c r="BP248" s="256"/>
      <c r="BQ248" s="256"/>
      <c r="BR248" s="256"/>
      <c r="BS248" s="256"/>
      <c r="BT248" s="256"/>
      <c r="BU248" s="256"/>
      <c r="BV248" s="256"/>
      <c r="BW248" s="256"/>
      <c r="BX248" s="256"/>
      <c r="BY248" s="256"/>
      <c r="BZ248" s="256"/>
    </row>
    <row r="249" spans="1:78">
      <c r="A249" s="435" t="s">
        <v>161</v>
      </c>
      <c r="B249" s="496">
        <v>1.4720905322587E-2</v>
      </c>
      <c r="C249" s="496">
        <v>1.3822364259190799E-2</v>
      </c>
      <c r="D249" s="496">
        <v>1.24768482009943E-2</v>
      </c>
      <c r="E249" s="496">
        <v>1.14751113707548E-2</v>
      </c>
      <c r="F249" s="496">
        <v>1.0392448104838E-2</v>
      </c>
      <c r="G249" s="496">
        <v>7.77069433164654E-3</v>
      </c>
      <c r="H249" s="461">
        <v>-4.1899134103409201E-3</v>
      </c>
      <c r="I249" s="462">
        <v>-2.0274275228004401E-2</v>
      </c>
      <c r="J249" s="462">
        <v>-1.6599547953537099E-2</v>
      </c>
      <c r="K249" s="462">
        <v>-1.9625083440440099E-2</v>
      </c>
      <c r="L249" s="463">
        <v>-1.4430856366119999E-2</v>
      </c>
      <c r="M249" s="256"/>
      <c r="N249" s="256"/>
      <c r="O249" s="256"/>
      <c r="P249" s="256"/>
      <c r="Q249" s="256"/>
      <c r="R249" s="256"/>
      <c r="S249" s="256"/>
      <c r="T249" s="256"/>
      <c r="U249" s="256"/>
      <c r="V249" s="256"/>
      <c r="W249" s="256"/>
      <c r="X249" s="256"/>
      <c r="Y249" s="256"/>
      <c r="Z249" s="256"/>
      <c r="AA249" s="256"/>
      <c r="AB249" s="256"/>
      <c r="AC249" s="256"/>
      <c r="AD249" s="256"/>
      <c r="AE249" s="256"/>
      <c r="AF249" s="256"/>
      <c r="AG249" s="256"/>
      <c r="AH249" s="256"/>
      <c r="AI249" s="256"/>
      <c r="AJ249" s="256"/>
      <c r="AK249" s="256"/>
      <c r="AL249" s="256"/>
      <c r="AM249" s="256"/>
      <c r="AN249" s="256"/>
      <c r="AO249" s="256"/>
      <c r="AP249" s="256"/>
      <c r="AQ249" s="256"/>
      <c r="AR249" s="256"/>
      <c r="AS249" s="256"/>
      <c r="AT249" s="256"/>
      <c r="AU249" s="256"/>
      <c r="AV249" s="256"/>
      <c r="AW249" s="256"/>
      <c r="AX249" s="256"/>
      <c r="AY249" s="256"/>
      <c r="AZ249" s="256"/>
      <c r="BA249" s="256"/>
      <c r="BB249" s="256"/>
      <c r="BC249" s="256"/>
      <c r="BD249" s="256"/>
      <c r="BE249" s="256"/>
      <c r="BF249" s="256"/>
      <c r="BG249" s="256"/>
      <c r="BH249" s="256"/>
      <c r="BI249" s="256"/>
      <c r="BJ249" s="256"/>
      <c r="BK249" s="256"/>
      <c r="BL249" s="256"/>
      <c r="BM249" s="256"/>
      <c r="BN249" s="256"/>
      <c r="BO249" s="256"/>
      <c r="BP249" s="256"/>
      <c r="BQ249" s="256"/>
      <c r="BR249" s="256"/>
      <c r="BS249" s="256"/>
      <c r="BT249" s="256"/>
      <c r="BU249" s="256"/>
      <c r="BV249" s="256"/>
      <c r="BW249" s="256"/>
      <c r="BX249" s="256"/>
      <c r="BY249" s="256"/>
      <c r="BZ249" s="256"/>
    </row>
    <row r="250" spans="1:78">
      <c r="A250" s="435" t="s">
        <v>162</v>
      </c>
      <c r="B250" s="507">
        <v>17.813600000000001</v>
      </c>
      <c r="C250" s="507">
        <v>20.182200000000002</v>
      </c>
      <c r="D250" s="455">
        <v>20.667100000000001</v>
      </c>
      <c r="E250" s="455">
        <v>21.0288</v>
      </c>
      <c r="F250" s="455">
        <v>21.396899999999999</v>
      </c>
      <c r="G250" s="455">
        <v>22.7471</v>
      </c>
      <c r="H250" s="461">
        <v>8.35731683262542E-3</v>
      </c>
      <c r="I250" s="462">
        <v>4.7596987678148999E-3</v>
      </c>
      <c r="J250" s="462">
        <v>3.47599989365133E-3</v>
      </c>
      <c r="K250" s="462">
        <v>3.4766545875790601E-3</v>
      </c>
      <c r="L250" s="463">
        <v>3.0642659451392E-3</v>
      </c>
      <c r="M250" s="256"/>
      <c r="N250" s="256"/>
      <c r="O250" s="256"/>
      <c r="P250" s="256"/>
      <c r="Q250" s="256"/>
      <c r="R250" s="256"/>
      <c r="S250" s="256"/>
      <c r="T250" s="256"/>
      <c r="U250" s="256"/>
      <c r="V250" s="256"/>
      <c r="W250" s="256"/>
      <c r="X250" s="256"/>
      <c r="Y250" s="256"/>
      <c r="Z250" s="256"/>
      <c r="AA250" s="256"/>
      <c r="AB250" s="256"/>
      <c r="AC250" s="256"/>
      <c r="AD250" s="256"/>
      <c r="AE250" s="256"/>
      <c r="AF250" s="256"/>
      <c r="AG250" s="256"/>
      <c r="AH250" s="256"/>
      <c r="AI250" s="256"/>
      <c r="AJ250" s="256"/>
      <c r="AK250" s="256"/>
      <c r="AL250" s="256"/>
      <c r="AM250" s="256"/>
      <c r="AN250" s="256"/>
      <c r="AO250" s="256"/>
      <c r="AP250" s="256"/>
      <c r="AQ250" s="256"/>
      <c r="AR250" s="256"/>
      <c r="AS250" s="256"/>
      <c r="AT250" s="256"/>
      <c r="AU250" s="256"/>
      <c r="AV250" s="256"/>
      <c r="AW250" s="256"/>
      <c r="AX250" s="256"/>
      <c r="AY250" s="256"/>
      <c r="AZ250" s="256"/>
      <c r="BA250" s="256"/>
      <c r="BB250" s="256"/>
      <c r="BC250" s="256"/>
      <c r="BD250" s="256"/>
      <c r="BE250" s="256"/>
      <c r="BF250" s="256"/>
      <c r="BG250" s="256"/>
      <c r="BH250" s="256"/>
      <c r="BI250" s="256"/>
      <c r="BJ250" s="256"/>
      <c r="BK250" s="256"/>
      <c r="BL250" s="256"/>
      <c r="BM250" s="256"/>
      <c r="BN250" s="256"/>
      <c r="BO250" s="256"/>
      <c r="BP250" s="256"/>
      <c r="BQ250" s="256"/>
      <c r="BR250" s="256"/>
      <c r="BS250" s="256"/>
      <c r="BT250" s="256"/>
      <c r="BU250" s="256"/>
      <c r="BV250" s="256"/>
      <c r="BW250" s="256"/>
      <c r="BX250" s="256"/>
      <c r="BY250" s="256"/>
      <c r="BZ250" s="256"/>
    </row>
    <row r="251" spans="1:78">
      <c r="A251" s="435" t="s">
        <v>163</v>
      </c>
      <c r="B251" s="508">
        <v>1.1237032379754801</v>
      </c>
      <c r="C251" s="508">
        <v>1.1396287364731399</v>
      </c>
      <c r="D251" s="508">
        <v>1.0899987962167601</v>
      </c>
      <c r="E251" s="508">
        <v>1.04991441121201</v>
      </c>
      <c r="F251" s="508">
        <v>1.00214820663643</v>
      </c>
      <c r="G251" s="508">
        <v>0.996511926693747</v>
      </c>
      <c r="H251" s="461">
        <v>9.3862998075011595E-4</v>
      </c>
      <c r="I251" s="462">
        <v>-8.8656557888380193E-3</v>
      </c>
      <c r="J251" s="462">
        <v>-7.4655818916973303E-3</v>
      </c>
      <c r="K251" s="462">
        <v>-9.2693215405353895E-3</v>
      </c>
      <c r="L251" s="463">
        <v>-2.8196390854673398E-4</v>
      </c>
      <c r="M251" s="256"/>
      <c r="N251" s="256"/>
      <c r="O251" s="256"/>
      <c r="P251" s="256"/>
      <c r="Q251" s="256"/>
      <c r="R251" s="256"/>
      <c r="S251" s="256"/>
      <c r="T251" s="256"/>
      <c r="U251" s="256"/>
      <c r="V251" s="256"/>
      <c r="W251" s="256"/>
      <c r="X251" s="256"/>
      <c r="Y251" s="256"/>
      <c r="Z251" s="256"/>
      <c r="AA251" s="256"/>
      <c r="AB251" s="256"/>
      <c r="AC251" s="256"/>
      <c r="AD251" s="256"/>
      <c r="AE251" s="256"/>
      <c r="AF251" s="256"/>
      <c r="AG251" s="256"/>
      <c r="AH251" s="256"/>
      <c r="AI251" s="256"/>
      <c r="AJ251" s="256"/>
      <c r="AK251" s="256"/>
      <c r="AL251" s="256"/>
      <c r="AM251" s="256"/>
      <c r="AN251" s="256"/>
      <c r="AO251" s="256"/>
      <c r="AP251" s="256"/>
      <c r="AQ251" s="256"/>
      <c r="AR251" s="256"/>
      <c r="AS251" s="256"/>
      <c r="AT251" s="256"/>
      <c r="AU251" s="256"/>
      <c r="AV251" s="256"/>
      <c r="AW251" s="256"/>
      <c r="AX251" s="256"/>
      <c r="AY251" s="256"/>
      <c r="AZ251" s="256"/>
      <c r="BA251" s="256"/>
      <c r="BB251" s="256"/>
      <c r="BC251" s="256"/>
      <c r="BD251" s="256"/>
      <c r="BE251" s="256"/>
      <c r="BF251" s="256"/>
      <c r="BG251" s="256"/>
      <c r="BH251" s="256"/>
      <c r="BI251" s="256"/>
      <c r="BJ251" s="256"/>
      <c r="BK251" s="256"/>
      <c r="BL251" s="256"/>
      <c r="BM251" s="256"/>
      <c r="BN251" s="256"/>
      <c r="BO251" s="256"/>
      <c r="BP251" s="256"/>
      <c r="BQ251" s="256"/>
      <c r="BR251" s="256"/>
      <c r="BS251" s="256"/>
      <c r="BT251" s="256"/>
      <c r="BU251" s="256"/>
      <c r="BV251" s="256"/>
      <c r="BW251" s="256"/>
      <c r="BX251" s="256"/>
      <c r="BY251" s="256"/>
      <c r="BZ251" s="256"/>
    </row>
    <row r="252" spans="1:78" ht="15" thickBot="1">
      <c r="A252" s="444" t="s">
        <v>164</v>
      </c>
      <c r="B252" s="509">
        <v>6091.2954147393002</v>
      </c>
      <c r="C252" s="509">
        <v>7150.2873324018201</v>
      </c>
      <c r="D252" s="509">
        <v>7250.9466253127002</v>
      </c>
      <c r="E252" s="509">
        <v>7458.2805961348304</v>
      </c>
      <c r="F252" s="509">
        <v>7677.61867373311</v>
      </c>
      <c r="G252" s="509">
        <v>8773.4101050243808</v>
      </c>
      <c r="H252" s="466">
        <v>1.0743418575732499E-2</v>
      </c>
      <c r="I252" s="467">
        <v>2.7998095870427299E-3</v>
      </c>
      <c r="J252" s="467">
        <v>5.6545017261144803E-3</v>
      </c>
      <c r="K252" s="467">
        <v>5.8137397677995297E-3</v>
      </c>
      <c r="L252" s="468">
        <v>6.6931062781363498E-3</v>
      </c>
      <c r="M252" s="256"/>
      <c r="N252" s="256"/>
      <c r="O252" s="256"/>
      <c r="P252" s="256"/>
      <c r="Q252" s="256"/>
      <c r="R252" s="256"/>
      <c r="S252" s="256"/>
      <c r="T252" s="256"/>
      <c r="U252" s="256"/>
      <c r="V252" s="256"/>
      <c r="W252" s="256"/>
      <c r="X252" s="256"/>
      <c r="Y252" s="256"/>
      <c r="Z252" s="256"/>
      <c r="AA252" s="256"/>
      <c r="AB252" s="256"/>
      <c r="AC252" s="256"/>
      <c r="AD252" s="256"/>
      <c r="AE252" s="256"/>
      <c r="AF252" s="256"/>
      <c r="AG252" s="256"/>
      <c r="AH252" s="256"/>
      <c r="AI252" s="256"/>
      <c r="AJ252" s="256"/>
      <c r="AK252" s="256"/>
      <c r="AL252" s="256"/>
      <c r="AM252" s="256"/>
      <c r="AN252" s="256"/>
      <c r="AO252" s="256"/>
      <c r="AP252" s="256"/>
      <c r="AQ252" s="256"/>
      <c r="AR252" s="256"/>
      <c r="AS252" s="256"/>
      <c r="AT252" s="256"/>
      <c r="AU252" s="256"/>
      <c r="AV252" s="256"/>
      <c r="AW252" s="256"/>
      <c r="AX252" s="256"/>
      <c r="AY252" s="256"/>
      <c r="AZ252" s="256"/>
      <c r="BA252" s="256"/>
      <c r="BB252" s="256"/>
      <c r="BC252" s="256"/>
      <c r="BD252" s="256"/>
      <c r="BE252" s="256"/>
      <c r="BF252" s="256"/>
      <c r="BG252" s="256"/>
      <c r="BH252" s="256"/>
      <c r="BI252" s="256"/>
      <c r="BJ252" s="256"/>
      <c r="BK252" s="256"/>
      <c r="BL252" s="256"/>
      <c r="BM252" s="256"/>
      <c r="BN252" s="256"/>
      <c r="BO252" s="256"/>
      <c r="BP252" s="256"/>
      <c r="BQ252" s="256"/>
      <c r="BR252" s="256"/>
      <c r="BS252" s="256"/>
      <c r="BT252" s="256"/>
      <c r="BU252" s="256"/>
      <c r="BV252" s="256"/>
      <c r="BW252" s="256"/>
      <c r="BX252" s="256"/>
      <c r="BY252" s="256"/>
      <c r="BZ252" s="256"/>
    </row>
    <row r="253" spans="1:78">
      <c r="A253" s="486"/>
      <c r="B253" s="256"/>
      <c r="C253" s="256"/>
      <c r="D253" s="256"/>
      <c r="E253" s="256"/>
      <c r="F253" s="451"/>
      <c r="G253" s="256"/>
      <c r="H253" s="256"/>
      <c r="I253" s="256"/>
      <c r="J253" s="256"/>
      <c r="K253" s="256"/>
      <c r="L253" s="256"/>
      <c r="M253" s="256"/>
      <c r="N253" s="256"/>
      <c r="O253" s="256"/>
      <c r="P253" s="256"/>
      <c r="Q253" s="256"/>
      <c r="R253" s="256"/>
      <c r="S253" s="256"/>
      <c r="T253" s="256"/>
      <c r="U253" s="256"/>
      <c r="V253" s="256"/>
      <c r="W253" s="256"/>
      <c r="X253" s="256"/>
      <c r="Y253" s="256"/>
      <c r="Z253" s="256"/>
      <c r="AA253" s="256"/>
      <c r="AB253" s="256"/>
      <c r="AC253" s="256"/>
      <c r="AD253" s="256"/>
      <c r="AE253" s="256"/>
      <c r="AF253" s="256"/>
      <c r="AG253" s="256"/>
      <c r="AH253" s="256"/>
      <c r="AI253" s="256"/>
      <c r="AJ253" s="256"/>
      <c r="AK253" s="256"/>
      <c r="AL253" s="256"/>
      <c r="AM253" s="256"/>
      <c r="AN253" s="256"/>
      <c r="AO253" s="256"/>
      <c r="AP253" s="256"/>
      <c r="AQ253" s="256"/>
      <c r="AR253" s="256"/>
      <c r="AS253" s="256"/>
      <c r="AT253" s="256"/>
      <c r="AU253" s="256"/>
      <c r="AV253" s="256"/>
      <c r="AW253" s="256"/>
      <c r="AX253" s="256"/>
      <c r="AY253" s="256"/>
      <c r="AZ253" s="256"/>
      <c r="BA253" s="256"/>
      <c r="BB253" s="256"/>
      <c r="BC253" s="256"/>
      <c r="BD253" s="256"/>
      <c r="BE253" s="256"/>
      <c r="BF253" s="256"/>
      <c r="BG253" s="256"/>
      <c r="BH253" s="256"/>
      <c r="BI253" s="256"/>
      <c r="BJ253" s="256"/>
      <c r="BK253" s="256"/>
      <c r="BL253" s="256"/>
      <c r="BM253" s="256"/>
      <c r="BN253" s="256"/>
      <c r="BO253" s="256"/>
      <c r="BP253" s="256"/>
      <c r="BQ253" s="256"/>
      <c r="BR253" s="256"/>
      <c r="BS253" s="256"/>
      <c r="BT253" s="256"/>
      <c r="BU253" s="256"/>
      <c r="BV253" s="256"/>
      <c r="BW253" s="256"/>
      <c r="BX253" s="256"/>
      <c r="BY253" s="256"/>
      <c r="BZ253" s="256"/>
    </row>
    <row r="254" spans="1:78">
      <c r="A254" s="256"/>
      <c r="B254" s="256"/>
      <c r="C254" s="256"/>
      <c r="D254" s="256"/>
      <c r="E254" s="256"/>
      <c r="F254" s="451"/>
      <c r="G254" s="462"/>
      <c r="H254" s="462"/>
      <c r="I254" s="462"/>
      <c r="J254" s="256"/>
      <c r="K254" s="256"/>
      <c r="L254" s="256"/>
      <c r="M254" s="256"/>
      <c r="N254" s="256"/>
      <c r="O254" s="256"/>
      <c r="P254" s="256"/>
      <c r="Q254" s="256"/>
      <c r="R254" s="256"/>
      <c r="S254" s="256"/>
      <c r="T254" s="256"/>
      <c r="U254" s="256"/>
      <c r="V254" s="256"/>
      <c r="W254" s="256"/>
      <c r="X254" s="256"/>
      <c r="Y254" s="256"/>
      <c r="Z254" s="256"/>
      <c r="AA254" s="256"/>
      <c r="AB254" s="256"/>
      <c r="AC254" s="256"/>
      <c r="AD254" s="256"/>
      <c r="AE254" s="256"/>
      <c r="AF254" s="256"/>
      <c r="AG254" s="256"/>
      <c r="AH254" s="256"/>
      <c r="AI254" s="256"/>
      <c r="AJ254" s="256"/>
      <c r="AK254" s="256"/>
      <c r="AL254" s="256"/>
      <c r="AM254" s="256"/>
      <c r="AN254" s="256"/>
      <c r="AO254" s="256"/>
      <c r="AP254" s="256"/>
      <c r="AQ254" s="256"/>
      <c r="AR254" s="256"/>
      <c r="AS254" s="256"/>
      <c r="AT254" s="256"/>
      <c r="AU254" s="256"/>
      <c r="AV254" s="256"/>
      <c r="AW254" s="256"/>
      <c r="AX254" s="256"/>
      <c r="AY254" s="256"/>
      <c r="AZ254" s="256"/>
      <c r="BA254" s="256"/>
      <c r="BB254" s="256"/>
      <c r="BC254" s="256"/>
      <c r="BD254" s="256"/>
      <c r="BE254" s="256"/>
      <c r="BF254" s="256"/>
      <c r="BG254" s="256"/>
      <c r="BH254" s="256"/>
      <c r="BI254" s="256"/>
      <c r="BJ254" s="256"/>
      <c r="BK254" s="256"/>
      <c r="BL254" s="256"/>
      <c r="BM254" s="256"/>
      <c r="BN254" s="256"/>
      <c r="BO254" s="256"/>
      <c r="BP254" s="256"/>
      <c r="BQ254" s="256"/>
      <c r="BR254" s="256"/>
      <c r="BS254" s="256"/>
      <c r="BT254" s="256"/>
      <c r="BU254" s="256"/>
      <c r="BV254" s="256"/>
      <c r="BW254" s="256"/>
      <c r="BX254" s="256"/>
      <c r="BY254" s="256"/>
      <c r="BZ254" s="256"/>
    </row>
    <row r="255" spans="1:78" ht="21">
      <c r="A255" s="425" t="s">
        <v>165</v>
      </c>
      <c r="B255" s="415"/>
      <c r="C255" s="415"/>
      <c r="D255" s="415"/>
      <c r="E255" s="415"/>
      <c r="F255" s="415"/>
      <c r="G255" s="487"/>
      <c r="H255" s="487"/>
      <c r="I255" s="487"/>
      <c r="J255" s="487"/>
      <c r="K255" s="487"/>
      <c r="L255" s="487"/>
      <c r="M255" s="256"/>
      <c r="N255" s="256"/>
      <c r="O255" s="256"/>
      <c r="P255" s="256"/>
      <c r="Q255" s="256"/>
      <c r="R255" s="256"/>
      <c r="S255" s="256"/>
      <c r="T255" s="256"/>
      <c r="U255" s="256"/>
      <c r="V255" s="256"/>
      <c r="W255" s="256"/>
      <c r="X255" s="256"/>
      <c r="Y255" s="256"/>
      <c r="Z255" s="256"/>
      <c r="AA255" s="256"/>
      <c r="AB255" s="256"/>
      <c r="AC255" s="256"/>
      <c r="AD255" s="256"/>
      <c r="AE255" s="256"/>
      <c r="AF255" s="256"/>
      <c r="AG255" s="256"/>
      <c r="AH255" s="256"/>
      <c r="AI255" s="256"/>
      <c r="AJ255" s="256"/>
      <c r="AK255" s="256"/>
      <c r="AL255" s="256"/>
      <c r="AM255" s="256"/>
      <c r="AN255" s="256"/>
      <c r="AO255" s="256"/>
      <c r="AP255" s="256"/>
      <c r="AQ255" s="256"/>
      <c r="AR255" s="256"/>
      <c r="AS255" s="256"/>
      <c r="AT255" s="256"/>
      <c r="AU255" s="256"/>
      <c r="AV255" s="256"/>
      <c r="AW255" s="256"/>
      <c r="AX255" s="256"/>
      <c r="AY255" s="256"/>
      <c r="AZ255" s="256"/>
      <c r="BA255" s="256"/>
      <c r="BB255" s="256"/>
      <c r="BC255" s="256"/>
      <c r="BD255" s="256"/>
      <c r="BE255" s="256"/>
      <c r="BF255" s="256"/>
      <c r="BG255" s="256"/>
      <c r="BH255" s="256"/>
      <c r="BI255" s="256"/>
      <c r="BJ255" s="256"/>
      <c r="BK255" s="256"/>
      <c r="BL255" s="256"/>
      <c r="BM255" s="256"/>
      <c r="BN255" s="256"/>
      <c r="BO255" s="256"/>
      <c r="BP255" s="256"/>
      <c r="BQ255" s="256"/>
      <c r="BR255" s="256"/>
      <c r="BS255" s="256"/>
      <c r="BT255" s="256"/>
      <c r="BU255" s="256"/>
      <c r="BV255" s="256"/>
      <c r="BW255" s="256"/>
      <c r="BX255" s="256"/>
      <c r="BY255" s="256"/>
      <c r="BZ255" s="256"/>
    </row>
    <row r="256" spans="1:78" ht="21">
      <c r="A256" s="420"/>
      <c r="B256" s="256"/>
      <c r="C256" s="256"/>
      <c r="D256" s="256"/>
      <c r="E256" s="450"/>
      <c r="F256" s="451"/>
      <c r="G256" s="451"/>
      <c r="H256" s="256"/>
      <c r="I256" s="256"/>
      <c r="J256" s="256"/>
      <c r="K256" s="256"/>
      <c r="L256" s="256"/>
      <c r="M256" s="256"/>
      <c r="N256" s="256"/>
      <c r="O256" s="256"/>
      <c r="P256" s="256"/>
      <c r="Q256" s="256"/>
      <c r="R256" s="256"/>
      <c r="S256" s="256"/>
      <c r="T256" s="256"/>
      <c r="U256" s="256"/>
      <c r="V256" s="256"/>
      <c r="W256" s="256"/>
      <c r="X256" s="256"/>
      <c r="Y256" s="256"/>
      <c r="Z256" s="256"/>
      <c r="AA256" s="256"/>
      <c r="AB256" s="256"/>
      <c r="AC256" s="256"/>
      <c r="AD256" s="256"/>
      <c r="AE256" s="256"/>
      <c r="AF256" s="256"/>
      <c r="AG256" s="256"/>
      <c r="AH256" s="256"/>
      <c r="AI256" s="256"/>
      <c r="AJ256" s="256"/>
      <c r="AK256" s="256"/>
      <c r="AL256" s="256"/>
      <c r="AM256" s="256"/>
      <c r="AN256" s="256"/>
      <c r="AO256" s="256"/>
      <c r="AP256" s="256"/>
      <c r="AQ256" s="256"/>
      <c r="AR256" s="256"/>
      <c r="AS256" s="256"/>
      <c r="AT256" s="256"/>
      <c r="AU256" s="256"/>
      <c r="AV256" s="256"/>
      <c r="AW256" s="256"/>
      <c r="AX256" s="256"/>
      <c r="AY256" s="256"/>
      <c r="AZ256" s="256"/>
      <c r="BA256" s="256"/>
      <c r="BB256" s="256"/>
      <c r="BC256" s="256"/>
      <c r="BD256" s="256"/>
      <c r="BE256" s="256"/>
      <c r="BF256" s="256"/>
      <c r="BG256" s="256"/>
      <c r="BH256" s="256"/>
      <c r="BI256" s="256"/>
      <c r="BJ256" s="256"/>
      <c r="BK256" s="256"/>
      <c r="BL256" s="256"/>
      <c r="BM256" s="256"/>
      <c r="BN256" s="256"/>
      <c r="BO256" s="256"/>
      <c r="BP256" s="256"/>
      <c r="BQ256" s="256"/>
      <c r="BR256" s="256"/>
      <c r="BS256" s="256"/>
      <c r="BT256" s="256"/>
      <c r="BU256" s="256"/>
      <c r="BV256" s="256"/>
      <c r="BW256" s="256"/>
      <c r="BX256" s="256"/>
      <c r="BY256" s="256"/>
      <c r="BZ256" s="256"/>
    </row>
    <row r="257" spans="1:78" ht="16" thickBot="1">
      <c r="A257" s="428" t="s">
        <v>166</v>
      </c>
      <c r="B257" s="429"/>
      <c r="C257" s="429"/>
      <c r="D257" s="429"/>
      <c r="E257" s="429"/>
      <c r="F257" s="429"/>
      <c r="G257" s="430"/>
      <c r="H257" s="430"/>
      <c r="I257" s="430"/>
      <c r="J257" s="430"/>
      <c r="K257" s="430"/>
      <c r="L257" s="430"/>
      <c r="M257" s="256"/>
      <c r="N257" s="256"/>
      <c r="O257" s="256"/>
      <c r="P257" s="256"/>
      <c r="Q257" s="256"/>
      <c r="R257" s="256"/>
      <c r="S257" s="256"/>
      <c r="T257" s="256"/>
      <c r="U257" s="256"/>
      <c r="V257" s="256"/>
      <c r="W257" s="256"/>
      <c r="X257" s="256"/>
      <c r="Y257" s="256"/>
      <c r="Z257" s="256"/>
      <c r="AA257" s="256"/>
      <c r="AB257" s="256"/>
      <c r="AC257" s="256"/>
      <c r="AD257" s="256"/>
      <c r="AE257" s="256"/>
      <c r="AF257" s="256"/>
      <c r="AG257" s="256"/>
      <c r="AH257" s="256"/>
      <c r="AI257" s="256"/>
      <c r="AJ257" s="256"/>
      <c r="AK257" s="256"/>
      <c r="AL257" s="256"/>
      <c r="AM257" s="256"/>
      <c r="AN257" s="256"/>
      <c r="AO257" s="256"/>
      <c r="AP257" s="256"/>
      <c r="AQ257" s="256"/>
      <c r="AR257" s="256"/>
      <c r="AS257" s="256"/>
      <c r="AT257" s="256"/>
      <c r="AU257" s="256"/>
      <c r="AV257" s="256"/>
      <c r="AW257" s="256"/>
      <c r="AX257" s="256"/>
      <c r="AY257" s="256"/>
      <c r="AZ257" s="256"/>
      <c r="BA257" s="256"/>
      <c r="BB257" s="256"/>
      <c r="BC257" s="256"/>
      <c r="BD257" s="256"/>
      <c r="BE257" s="256"/>
      <c r="BF257" s="256"/>
      <c r="BG257" s="256"/>
      <c r="BH257" s="256"/>
      <c r="BI257" s="256"/>
      <c r="BJ257" s="256"/>
      <c r="BK257" s="256"/>
      <c r="BL257" s="256"/>
      <c r="BM257" s="256"/>
      <c r="BN257" s="256"/>
      <c r="BO257" s="256"/>
      <c r="BP257" s="256"/>
      <c r="BQ257" s="256"/>
      <c r="BR257" s="256"/>
      <c r="BS257" s="256"/>
      <c r="BT257" s="256"/>
      <c r="BU257" s="256"/>
      <c r="BV257" s="256"/>
      <c r="BW257" s="256"/>
      <c r="BX257" s="256"/>
      <c r="BY257" s="256"/>
      <c r="BZ257" s="256"/>
    </row>
    <row r="258" spans="1:78" ht="15" thickBot="1">
      <c r="A258" s="431"/>
      <c r="B258" s="432">
        <v>2000</v>
      </c>
      <c r="C258" s="432">
        <v>2015</v>
      </c>
      <c r="D258" s="432">
        <v>2020</v>
      </c>
      <c r="E258" s="432">
        <v>2025</v>
      </c>
      <c r="F258" s="432">
        <v>2030</v>
      </c>
      <c r="G258" s="432">
        <v>2050</v>
      </c>
      <c r="H258" s="452" t="s">
        <v>98</v>
      </c>
      <c r="I258" s="453" t="s">
        <v>99</v>
      </c>
      <c r="J258" s="453" t="s">
        <v>100</v>
      </c>
      <c r="K258" s="453" t="s">
        <v>101</v>
      </c>
      <c r="L258" s="454" t="s">
        <v>384</v>
      </c>
      <c r="M258" s="256"/>
      <c r="N258" s="256"/>
      <c r="O258" s="256"/>
      <c r="P258" s="256"/>
      <c r="Q258" s="256"/>
      <c r="R258" s="256"/>
      <c r="S258" s="256"/>
      <c r="T258" s="256"/>
      <c r="U258" s="256"/>
      <c r="V258" s="256"/>
      <c r="W258" s="256"/>
      <c r="X258" s="256"/>
      <c r="Y258" s="256"/>
      <c r="Z258" s="256"/>
      <c r="AA258" s="256"/>
      <c r="AB258" s="256"/>
      <c r="AC258" s="256"/>
      <c r="AD258" s="256"/>
      <c r="AE258" s="256"/>
      <c r="AF258" s="256"/>
      <c r="AG258" s="256"/>
      <c r="AH258" s="256"/>
      <c r="AI258" s="256"/>
      <c r="AJ258" s="256"/>
      <c r="AK258" s="256"/>
      <c r="AL258" s="256"/>
      <c r="AM258" s="256"/>
      <c r="AN258" s="256"/>
      <c r="AO258" s="256"/>
      <c r="AP258" s="256"/>
      <c r="AQ258" s="256"/>
      <c r="AR258" s="256"/>
      <c r="AS258" s="256"/>
      <c r="AT258" s="256"/>
      <c r="AU258" s="256"/>
      <c r="AV258" s="256"/>
      <c r="AW258" s="256"/>
      <c r="AX258" s="256"/>
      <c r="AY258" s="256"/>
      <c r="AZ258" s="256"/>
      <c r="BA258" s="256"/>
      <c r="BB258" s="256"/>
      <c r="BC258" s="256"/>
      <c r="BD258" s="256"/>
      <c r="BE258" s="256"/>
      <c r="BF258" s="256"/>
      <c r="BG258" s="256"/>
      <c r="BH258" s="256"/>
      <c r="BI258" s="256"/>
      <c r="BJ258" s="256"/>
      <c r="BK258" s="256"/>
      <c r="BL258" s="256"/>
      <c r="BM258" s="256"/>
      <c r="BN258" s="256"/>
      <c r="BO258" s="256"/>
      <c r="BP258" s="256"/>
      <c r="BQ258" s="256"/>
      <c r="BR258" s="256"/>
      <c r="BS258" s="256"/>
      <c r="BT258" s="256"/>
      <c r="BU258" s="256"/>
      <c r="BV258" s="256"/>
      <c r="BW258" s="256"/>
      <c r="BX258" s="256"/>
      <c r="BY258" s="256"/>
      <c r="BZ258" s="256"/>
    </row>
    <row r="259" spans="1:78">
      <c r="A259" s="510" t="s">
        <v>167</v>
      </c>
      <c r="B259" s="511"/>
      <c r="C259" s="511"/>
      <c r="D259" s="511"/>
      <c r="E259" s="511"/>
      <c r="F259" s="511"/>
      <c r="G259" s="511"/>
      <c r="H259" s="512"/>
      <c r="I259" s="513"/>
      <c r="J259" s="513"/>
      <c r="K259" s="513"/>
      <c r="L259" s="514"/>
      <c r="M259" s="256"/>
      <c r="N259" s="256"/>
      <c r="O259" s="256"/>
      <c r="P259" s="256"/>
      <c r="Q259" s="256"/>
      <c r="R259" s="256"/>
      <c r="S259" s="256"/>
      <c r="T259" s="256"/>
      <c r="U259" s="256"/>
      <c r="V259" s="256"/>
      <c r="W259" s="256"/>
      <c r="X259" s="256"/>
      <c r="Y259" s="256"/>
      <c r="Z259" s="256"/>
      <c r="AA259" s="256"/>
      <c r="AB259" s="256"/>
      <c r="AC259" s="256"/>
      <c r="AD259" s="256"/>
      <c r="AE259" s="256"/>
      <c r="AF259" s="256"/>
      <c r="AG259" s="256"/>
      <c r="AH259" s="256"/>
      <c r="AI259" s="256"/>
      <c r="AJ259" s="256"/>
      <c r="AK259" s="256"/>
      <c r="AL259" s="256"/>
      <c r="AM259" s="256"/>
      <c r="AN259" s="256"/>
      <c r="AO259" s="256"/>
      <c r="AP259" s="256"/>
      <c r="AQ259" s="256"/>
      <c r="AR259" s="256"/>
      <c r="AS259" s="256"/>
      <c r="AT259" s="256"/>
      <c r="AU259" s="256"/>
      <c r="AV259" s="256"/>
      <c r="AW259" s="256"/>
      <c r="AX259" s="256"/>
      <c r="AY259" s="256"/>
      <c r="AZ259" s="256"/>
      <c r="BA259" s="256"/>
      <c r="BB259" s="256"/>
      <c r="BC259" s="256"/>
      <c r="BD259" s="256"/>
      <c r="BE259" s="256"/>
      <c r="BF259" s="256"/>
      <c r="BG259" s="256"/>
      <c r="BH259" s="256"/>
      <c r="BI259" s="256"/>
      <c r="BJ259" s="256"/>
      <c r="BK259" s="256"/>
      <c r="BL259" s="256"/>
      <c r="BM259" s="256"/>
      <c r="BN259" s="256"/>
      <c r="BO259" s="256"/>
      <c r="BP259" s="256"/>
      <c r="BQ259" s="256"/>
      <c r="BR259" s="256"/>
      <c r="BS259" s="256"/>
      <c r="BT259" s="256"/>
      <c r="BU259" s="256"/>
      <c r="BV259" s="256"/>
      <c r="BW259" s="256"/>
      <c r="BX259" s="256"/>
      <c r="BY259" s="256"/>
      <c r="BZ259" s="256"/>
    </row>
    <row r="260" spans="1:78">
      <c r="A260" s="435" t="s">
        <v>395</v>
      </c>
      <c r="B260" s="515">
        <v>687.75139999999999</v>
      </c>
      <c r="C260" s="515">
        <v>729.41039999999998</v>
      </c>
      <c r="D260" s="515">
        <v>741.40110000000004</v>
      </c>
      <c r="E260" s="515">
        <v>756.66959999999995</v>
      </c>
      <c r="F260" s="515">
        <v>778.22469999999998</v>
      </c>
      <c r="G260" s="515">
        <v>909.726</v>
      </c>
      <c r="H260" s="461">
        <v>3.9283023752718603E-3</v>
      </c>
      <c r="I260" s="462">
        <v>3.2663705657525201E-3</v>
      </c>
      <c r="J260" s="462">
        <v>4.0853070199218201E-3</v>
      </c>
      <c r="K260" s="462">
        <v>5.6335292818185901E-3</v>
      </c>
      <c r="L260" s="463">
        <v>7.8369572087166901E-3</v>
      </c>
      <c r="M260" s="256"/>
      <c r="N260" s="256"/>
      <c r="O260" s="256"/>
      <c r="P260" s="256"/>
      <c r="Q260" s="256"/>
      <c r="R260" s="256"/>
      <c r="S260" s="256"/>
      <c r="T260" s="256"/>
      <c r="U260" s="256"/>
      <c r="V260" s="256"/>
      <c r="W260" s="256"/>
      <c r="X260" s="256"/>
      <c r="Y260" s="256"/>
      <c r="Z260" s="256"/>
      <c r="AA260" s="256"/>
      <c r="AB260" s="256"/>
      <c r="AC260" s="256"/>
      <c r="AD260" s="256"/>
      <c r="AE260" s="256"/>
      <c r="AF260" s="256"/>
      <c r="AG260" s="256"/>
      <c r="AH260" s="256"/>
      <c r="AI260" s="256"/>
      <c r="AJ260" s="256"/>
      <c r="AK260" s="256"/>
      <c r="AL260" s="256"/>
      <c r="AM260" s="256"/>
      <c r="AN260" s="256"/>
      <c r="AO260" s="256"/>
      <c r="AP260" s="256"/>
      <c r="AQ260" s="256"/>
      <c r="AR260" s="256"/>
      <c r="AS260" s="256"/>
      <c r="AT260" s="256"/>
      <c r="AU260" s="256"/>
      <c r="AV260" s="256"/>
      <c r="AW260" s="256"/>
      <c r="AX260" s="256"/>
      <c r="AY260" s="256"/>
      <c r="AZ260" s="256"/>
      <c r="BA260" s="256"/>
      <c r="BB260" s="256"/>
      <c r="BC260" s="256"/>
      <c r="BD260" s="256"/>
      <c r="BE260" s="256"/>
      <c r="BF260" s="256"/>
      <c r="BG260" s="256"/>
      <c r="BH260" s="256"/>
      <c r="BI260" s="256"/>
      <c r="BJ260" s="256"/>
      <c r="BK260" s="256"/>
      <c r="BL260" s="256"/>
      <c r="BM260" s="256"/>
      <c r="BN260" s="256"/>
      <c r="BO260" s="256"/>
      <c r="BP260" s="256"/>
      <c r="BQ260" s="256"/>
      <c r="BR260" s="256"/>
      <c r="BS260" s="256"/>
      <c r="BT260" s="256"/>
      <c r="BU260" s="256"/>
      <c r="BV260" s="256"/>
      <c r="BW260" s="256"/>
      <c r="BX260" s="256"/>
      <c r="BY260" s="256"/>
      <c r="BZ260" s="256"/>
    </row>
    <row r="261" spans="1:78">
      <c r="A261" s="435" t="s">
        <v>190</v>
      </c>
      <c r="B261" s="515">
        <v>55.897300000000001</v>
      </c>
      <c r="C261" s="515">
        <v>71.178700000000006</v>
      </c>
      <c r="D261" s="515">
        <v>82.192400000000006</v>
      </c>
      <c r="E261" s="515">
        <v>85.473299999999995</v>
      </c>
      <c r="F261" s="515">
        <v>89.915099999999995</v>
      </c>
      <c r="G261" s="515">
        <v>111.08929999999999</v>
      </c>
      <c r="H261" s="461">
        <v>1.6242331386241898E-2</v>
      </c>
      <c r="I261" s="462">
        <v>2.9191811075447899E-2</v>
      </c>
      <c r="J261" s="462">
        <v>7.8589620121247705E-3</v>
      </c>
      <c r="K261" s="462">
        <v>1.01838753259413E-2</v>
      </c>
      <c r="L261" s="463">
        <v>1.06295207183478E-2</v>
      </c>
      <c r="M261" s="256"/>
      <c r="N261" s="256"/>
      <c r="O261" s="256"/>
      <c r="P261" s="256"/>
      <c r="Q261" s="256"/>
      <c r="R261" s="256"/>
      <c r="S261" s="256"/>
      <c r="T261" s="256"/>
      <c r="U261" s="256"/>
      <c r="V261" s="256"/>
      <c r="W261" s="256"/>
      <c r="X261" s="256"/>
      <c r="Y261" s="256"/>
      <c r="Z261" s="256"/>
      <c r="AA261" s="256"/>
      <c r="AB261" s="256"/>
      <c r="AC261" s="256"/>
      <c r="AD261" s="256"/>
      <c r="AE261" s="256"/>
      <c r="AF261" s="256"/>
      <c r="AG261" s="256"/>
      <c r="AH261" s="256"/>
      <c r="AI261" s="256"/>
      <c r="AJ261" s="256"/>
      <c r="AK261" s="256"/>
      <c r="AL261" s="256"/>
      <c r="AM261" s="256"/>
      <c r="AN261" s="256"/>
      <c r="AO261" s="256"/>
      <c r="AP261" s="256"/>
      <c r="AQ261" s="256"/>
      <c r="AR261" s="256"/>
      <c r="AS261" s="256"/>
      <c r="AT261" s="256"/>
      <c r="AU261" s="256"/>
      <c r="AV261" s="256"/>
      <c r="AW261" s="256"/>
      <c r="AX261" s="256"/>
      <c r="AY261" s="256"/>
      <c r="AZ261" s="256"/>
      <c r="BA261" s="256"/>
      <c r="BB261" s="256"/>
      <c r="BC261" s="256"/>
      <c r="BD261" s="256"/>
      <c r="BE261" s="256"/>
      <c r="BF261" s="256"/>
      <c r="BG261" s="256"/>
      <c r="BH261" s="256"/>
      <c r="BI261" s="256"/>
      <c r="BJ261" s="256"/>
      <c r="BK261" s="256"/>
      <c r="BL261" s="256"/>
      <c r="BM261" s="256"/>
      <c r="BN261" s="256"/>
      <c r="BO261" s="256"/>
      <c r="BP261" s="256"/>
      <c r="BQ261" s="256"/>
      <c r="BR261" s="256"/>
      <c r="BS261" s="256"/>
      <c r="BT261" s="256"/>
      <c r="BU261" s="256"/>
      <c r="BV261" s="256"/>
      <c r="BW261" s="256"/>
      <c r="BX261" s="256"/>
      <c r="BY261" s="256"/>
      <c r="BZ261" s="256"/>
    </row>
    <row r="262" spans="1:78">
      <c r="A262" s="435" t="s">
        <v>184</v>
      </c>
      <c r="B262" s="515">
        <v>80.924999999999997</v>
      </c>
      <c r="C262" s="515">
        <v>104.51479999999999</v>
      </c>
      <c r="D262" s="515">
        <v>113.20359999999999</v>
      </c>
      <c r="E262" s="515">
        <v>119.03700000000001</v>
      </c>
      <c r="F262" s="515">
        <v>126.9782</v>
      </c>
      <c r="G262" s="515">
        <v>164.40620000000001</v>
      </c>
      <c r="H262" s="461">
        <v>1.7199970831537799E-2</v>
      </c>
      <c r="I262" s="462">
        <v>1.61000877227735E-2</v>
      </c>
      <c r="J262" s="462">
        <v>1.00999439406149E-2</v>
      </c>
      <c r="K262" s="462">
        <v>1.29999843378217E-2</v>
      </c>
      <c r="L262" s="463">
        <v>1.30000137410558E-2</v>
      </c>
      <c r="M262" s="256"/>
      <c r="N262" s="256"/>
      <c r="O262" s="256"/>
      <c r="P262" s="256"/>
      <c r="Q262" s="256"/>
      <c r="R262" s="256"/>
      <c r="S262" s="256"/>
      <c r="T262" s="256"/>
      <c r="U262" s="256"/>
      <c r="V262" s="256"/>
      <c r="W262" s="256"/>
      <c r="X262" s="256"/>
      <c r="Y262" s="256"/>
      <c r="Z262" s="256"/>
      <c r="AA262" s="256"/>
      <c r="AB262" s="256"/>
      <c r="AC262" s="256"/>
      <c r="AD262" s="256"/>
      <c r="AE262" s="256"/>
      <c r="AF262" s="256"/>
      <c r="AG262" s="256"/>
      <c r="AH262" s="256"/>
      <c r="AI262" s="256"/>
      <c r="AJ262" s="256"/>
      <c r="AK262" s="256"/>
      <c r="AL262" s="256"/>
      <c r="AM262" s="256"/>
      <c r="AN262" s="256"/>
      <c r="AO262" s="256"/>
      <c r="AP262" s="256"/>
      <c r="AQ262" s="256"/>
      <c r="AR262" s="256"/>
      <c r="AS262" s="256"/>
      <c r="AT262" s="256"/>
      <c r="AU262" s="256"/>
      <c r="AV262" s="256"/>
      <c r="AW262" s="256"/>
      <c r="AX262" s="256"/>
      <c r="AY262" s="256"/>
      <c r="AZ262" s="256"/>
      <c r="BA262" s="256"/>
      <c r="BB262" s="256"/>
      <c r="BC262" s="256"/>
      <c r="BD262" s="256"/>
      <c r="BE262" s="256"/>
      <c r="BF262" s="256"/>
      <c r="BG262" s="256"/>
      <c r="BH262" s="256"/>
      <c r="BI262" s="256"/>
      <c r="BJ262" s="256"/>
      <c r="BK262" s="256"/>
      <c r="BL262" s="256"/>
      <c r="BM262" s="256"/>
      <c r="BN262" s="256"/>
      <c r="BO262" s="256"/>
      <c r="BP262" s="256"/>
      <c r="BQ262" s="256"/>
      <c r="BR262" s="256"/>
      <c r="BS262" s="256"/>
      <c r="BT262" s="256"/>
      <c r="BU262" s="256"/>
      <c r="BV262" s="256"/>
      <c r="BW262" s="256"/>
      <c r="BX262" s="256"/>
      <c r="BY262" s="256"/>
      <c r="BZ262" s="256"/>
    </row>
    <row r="263" spans="1:78">
      <c r="A263" s="435" t="s">
        <v>186</v>
      </c>
      <c r="B263" s="515">
        <v>15.128</v>
      </c>
      <c r="C263" s="515">
        <v>14.279299999999999</v>
      </c>
      <c r="D263" s="515">
        <v>14.2354</v>
      </c>
      <c r="E263" s="515">
        <v>15.2354</v>
      </c>
      <c r="F263" s="515">
        <v>17.1067</v>
      </c>
      <c r="G263" s="515">
        <v>23.6632</v>
      </c>
      <c r="H263" s="461">
        <v>-3.84169475365603E-3</v>
      </c>
      <c r="I263" s="462">
        <v>-6.1563362236105601E-4</v>
      </c>
      <c r="J263" s="462">
        <v>1.36705687234326E-2</v>
      </c>
      <c r="K263" s="462">
        <v>2.3440209206746498E-2</v>
      </c>
      <c r="L263" s="463">
        <v>1.6354844884853201E-2</v>
      </c>
      <c r="M263" s="256"/>
      <c r="N263" s="256"/>
      <c r="O263" s="256"/>
      <c r="P263" s="256"/>
      <c r="Q263" s="256"/>
      <c r="R263" s="256"/>
      <c r="S263" s="256"/>
      <c r="T263" s="256"/>
      <c r="U263" s="256"/>
      <c r="V263" s="256"/>
      <c r="W263" s="256"/>
      <c r="X263" s="256"/>
      <c r="Y263" s="256"/>
      <c r="Z263" s="256"/>
      <c r="AA263" s="256"/>
      <c r="AB263" s="256"/>
      <c r="AC263" s="256"/>
      <c r="AD263" s="256"/>
      <c r="AE263" s="256"/>
      <c r="AF263" s="256"/>
      <c r="AG263" s="256"/>
      <c r="AH263" s="256"/>
      <c r="AI263" s="256"/>
      <c r="AJ263" s="256"/>
      <c r="AK263" s="256"/>
      <c r="AL263" s="256"/>
      <c r="AM263" s="256"/>
      <c r="AN263" s="256"/>
      <c r="AO263" s="256"/>
      <c r="AP263" s="256"/>
      <c r="AQ263" s="256"/>
      <c r="AR263" s="256"/>
      <c r="AS263" s="256"/>
      <c r="AT263" s="256"/>
      <c r="AU263" s="256"/>
      <c r="AV263" s="256"/>
      <c r="AW263" s="256"/>
      <c r="AX263" s="256"/>
      <c r="AY263" s="256"/>
      <c r="AZ263" s="256"/>
      <c r="BA263" s="256"/>
      <c r="BB263" s="256"/>
      <c r="BC263" s="256"/>
      <c r="BD263" s="256"/>
      <c r="BE263" s="256"/>
      <c r="BF263" s="256"/>
      <c r="BG263" s="256"/>
      <c r="BH263" s="256"/>
      <c r="BI263" s="256"/>
      <c r="BJ263" s="256"/>
      <c r="BK263" s="256"/>
      <c r="BL263" s="256"/>
      <c r="BM263" s="256"/>
      <c r="BN263" s="256"/>
      <c r="BO263" s="256"/>
      <c r="BP263" s="256"/>
      <c r="BQ263" s="256"/>
      <c r="BR263" s="256"/>
      <c r="BS263" s="256"/>
      <c r="BT263" s="256"/>
      <c r="BU263" s="256"/>
      <c r="BV263" s="256"/>
      <c r="BW263" s="256"/>
      <c r="BX263" s="256"/>
      <c r="BY263" s="256"/>
      <c r="BZ263" s="256"/>
    </row>
    <row r="264" spans="1:78">
      <c r="A264" s="435"/>
      <c r="B264" s="515"/>
      <c r="C264" s="515"/>
      <c r="D264" s="515"/>
      <c r="E264" s="515"/>
      <c r="F264" s="515"/>
      <c r="G264" s="515"/>
      <c r="H264" s="461"/>
      <c r="I264" s="462"/>
      <c r="J264" s="462"/>
      <c r="K264" s="462"/>
      <c r="L264" s="463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  <c r="AS264" s="256"/>
      <c r="AT264" s="256"/>
      <c r="AU264" s="256"/>
      <c r="AV264" s="256"/>
      <c r="AW264" s="256"/>
      <c r="AX264" s="256"/>
      <c r="AY264" s="256"/>
      <c r="AZ264" s="256"/>
      <c r="BA264" s="256"/>
      <c r="BB264" s="256"/>
      <c r="BC264" s="256"/>
      <c r="BD264" s="256"/>
      <c r="BE264" s="256"/>
      <c r="BF264" s="256"/>
      <c r="BG264" s="256"/>
      <c r="BH264" s="256"/>
      <c r="BI264" s="256"/>
      <c r="BJ264" s="256"/>
      <c r="BK264" s="256"/>
      <c r="BL264" s="256"/>
      <c r="BM264" s="256"/>
      <c r="BN264" s="256"/>
      <c r="BO264" s="256"/>
      <c r="BP264" s="256"/>
      <c r="BQ264" s="256"/>
      <c r="BR264" s="256"/>
      <c r="BS264" s="256"/>
      <c r="BT264" s="256"/>
      <c r="BU264" s="256"/>
      <c r="BV264" s="256"/>
      <c r="BW264" s="256"/>
      <c r="BX264" s="256"/>
      <c r="BY264" s="256"/>
      <c r="BZ264" s="256"/>
    </row>
    <row r="265" spans="1:78">
      <c r="A265" s="435"/>
      <c r="B265" s="515"/>
      <c r="C265" s="515"/>
      <c r="D265" s="515"/>
      <c r="E265" s="515"/>
      <c r="F265" s="515"/>
      <c r="G265" s="515"/>
      <c r="H265" s="461"/>
      <c r="I265" s="462"/>
      <c r="J265" s="462"/>
      <c r="K265" s="462"/>
      <c r="L265" s="463"/>
      <c r="M265" s="256"/>
      <c r="N265" s="256"/>
      <c r="O265" s="256"/>
      <c r="P265" s="256"/>
      <c r="Q265" s="256"/>
      <c r="R265" s="256"/>
      <c r="S265" s="256"/>
      <c r="T265" s="256"/>
      <c r="U265" s="256"/>
      <c r="V265" s="256"/>
      <c r="W265" s="256"/>
      <c r="X265" s="256"/>
      <c r="Y265" s="256"/>
      <c r="Z265" s="256"/>
      <c r="AA265" s="256"/>
      <c r="AB265" s="256"/>
      <c r="AC265" s="256"/>
      <c r="AD265" s="256"/>
      <c r="AE265" s="256"/>
      <c r="AF265" s="256"/>
      <c r="AG265" s="256"/>
      <c r="AH265" s="256"/>
      <c r="AI265" s="256"/>
      <c r="AJ265" s="256"/>
      <c r="AK265" s="256"/>
      <c r="AL265" s="256"/>
      <c r="AM265" s="256"/>
      <c r="AN265" s="256"/>
      <c r="AO265" s="256"/>
      <c r="AP265" s="256"/>
      <c r="AQ265" s="256"/>
      <c r="AR265" s="256"/>
      <c r="AS265" s="256"/>
      <c r="AT265" s="256"/>
      <c r="AU265" s="256"/>
      <c r="AV265" s="256"/>
      <c r="AW265" s="256"/>
      <c r="AX265" s="256"/>
      <c r="AY265" s="256"/>
      <c r="AZ265" s="256"/>
      <c r="BA265" s="256"/>
      <c r="BB265" s="256"/>
      <c r="BC265" s="256"/>
      <c r="BD265" s="256"/>
      <c r="BE265" s="256"/>
      <c r="BF265" s="256"/>
      <c r="BG265" s="256"/>
      <c r="BH265" s="256"/>
      <c r="BI265" s="256"/>
      <c r="BJ265" s="256"/>
      <c r="BK265" s="256"/>
      <c r="BL265" s="256"/>
      <c r="BM265" s="256"/>
      <c r="BN265" s="256"/>
      <c r="BO265" s="256"/>
      <c r="BP265" s="256"/>
      <c r="BQ265" s="256"/>
      <c r="BR265" s="256"/>
      <c r="BS265" s="256"/>
      <c r="BT265" s="256"/>
      <c r="BU265" s="256"/>
      <c r="BV265" s="256"/>
      <c r="BW265" s="256"/>
      <c r="BX265" s="256"/>
      <c r="BY265" s="256"/>
      <c r="BZ265" s="256"/>
    </row>
    <row r="266" spans="1:78">
      <c r="A266" s="510" t="s">
        <v>172</v>
      </c>
      <c r="B266" s="516"/>
      <c r="C266" s="516"/>
      <c r="D266" s="516"/>
      <c r="E266" s="516"/>
      <c r="F266" s="516"/>
      <c r="G266" s="517"/>
      <c r="H266" s="461"/>
      <c r="I266" s="462"/>
      <c r="J266" s="462"/>
      <c r="K266" s="462"/>
      <c r="L266" s="463"/>
      <c r="M266" s="256"/>
      <c r="N266" s="256"/>
      <c r="O266" s="256"/>
      <c r="P266" s="256"/>
      <c r="Q266" s="256"/>
      <c r="R266" s="256"/>
      <c r="S266" s="256"/>
      <c r="T266" s="256"/>
      <c r="U266" s="256"/>
      <c r="V266" s="256"/>
      <c r="W266" s="256"/>
      <c r="X266" s="256"/>
      <c r="Y266" s="256"/>
      <c r="Z266" s="256"/>
      <c r="AA266" s="256"/>
      <c r="AB266" s="256"/>
      <c r="AC266" s="256"/>
      <c r="AD266" s="256"/>
      <c r="AE266" s="256"/>
      <c r="AF266" s="256"/>
      <c r="AG266" s="256"/>
      <c r="AH266" s="256"/>
      <c r="AI266" s="256"/>
      <c r="AJ266" s="256"/>
      <c r="AK266" s="256"/>
      <c r="AL266" s="256"/>
      <c r="AM266" s="256"/>
      <c r="AN266" s="256"/>
      <c r="AO266" s="256"/>
      <c r="AP266" s="256"/>
      <c r="AQ266" s="256"/>
      <c r="AR266" s="256"/>
      <c r="AS266" s="256"/>
      <c r="AT266" s="256"/>
      <c r="AU266" s="256"/>
      <c r="AV266" s="256"/>
      <c r="AW266" s="256"/>
      <c r="AX266" s="256"/>
      <c r="AY266" s="256"/>
      <c r="AZ266" s="256"/>
      <c r="BA266" s="256"/>
      <c r="BB266" s="256"/>
      <c r="BC266" s="256"/>
      <c r="BD266" s="256"/>
      <c r="BE266" s="256"/>
      <c r="BF266" s="256"/>
      <c r="BG266" s="256"/>
      <c r="BH266" s="256"/>
      <c r="BI266" s="256"/>
      <c r="BJ266" s="256"/>
      <c r="BK266" s="256"/>
      <c r="BL266" s="256"/>
      <c r="BM266" s="256"/>
      <c r="BN266" s="256"/>
      <c r="BO266" s="256"/>
      <c r="BP266" s="256"/>
      <c r="BQ266" s="256"/>
      <c r="BR266" s="256"/>
      <c r="BS266" s="256"/>
      <c r="BT266" s="256"/>
      <c r="BU266" s="256"/>
      <c r="BV266" s="256"/>
      <c r="BW266" s="256"/>
      <c r="BX266" s="256"/>
      <c r="BY266" s="256"/>
      <c r="BZ266" s="256"/>
    </row>
    <row r="267" spans="1:78">
      <c r="A267" s="435" t="s">
        <v>189</v>
      </c>
      <c r="B267" s="515">
        <v>276.81830000000002</v>
      </c>
      <c r="C267" s="515">
        <v>281.44720000000001</v>
      </c>
      <c r="D267" s="515">
        <v>309.88189999999997</v>
      </c>
      <c r="E267" s="515">
        <v>329.65730000000002</v>
      </c>
      <c r="F267" s="515">
        <v>353.20060000000001</v>
      </c>
      <c r="G267" s="515">
        <v>495.22289999999998</v>
      </c>
      <c r="H267" s="461">
        <v>1.10617997322349E-3</v>
      </c>
      <c r="I267" s="462">
        <v>1.9435740617660398E-2</v>
      </c>
      <c r="J267" s="462">
        <v>1.2449330274007899E-2</v>
      </c>
      <c r="K267" s="462">
        <v>1.3892118496743299E-2</v>
      </c>
      <c r="L267" s="463">
        <v>1.7042178683341701E-2</v>
      </c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  <c r="AS267" s="256"/>
      <c r="AT267" s="256"/>
      <c r="AU267" s="256"/>
      <c r="AV267" s="256"/>
      <c r="AW267" s="256"/>
      <c r="AX267" s="256"/>
      <c r="AY267" s="256"/>
      <c r="AZ267" s="256"/>
      <c r="BA267" s="256"/>
      <c r="BB267" s="256"/>
      <c r="BC267" s="256"/>
      <c r="BD267" s="256"/>
      <c r="BE267" s="256"/>
      <c r="BF267" s="256"/>
      <c r="BG267" s="256"/>
      <c r="BH267" s="256"/>
      <c r="BI267" s="256"/>
      <c r="BJ267" s="256"/>
      <c r="BK267" s="256"/>
      <c r="BL267" s="256"/>
      <c r="BM267" s="256"/>
      <c r="BN267" s="256"/>
      <c r="BO267" s="256"/>
      <c r="BP267" s="256"/>
      <c r="BQ267" s="256"/>
      <c r="BR267" s="256"/>
      <c r="BS267" s="256"/>
      <c r="BT267" s="256"/>
      <c r="BU267" s="256"/>
      <c r="BV267" s="256"/>
      <c r="BW267" s="256"/>
      <c r="BX267" s="256"/>
      <c r="BY267" s="256"/>
      <c r="BZ267" s="256"/>
    </row>
    <row r="268" spans="1:78">
      <c r="A268" s="435" t="s">
        <v>184</v>
      </c>
      <c r="B268" s="515">
        <v>57.725999999999999</v>
      </c>
      <c r="C268" s="515">
        <v>34.2515</v>
      </c>
      <c r="D268" s="515">
        <v>39.9968</v>
      </c>
      <c r="E268" s="515">
        <v>42.5809</v>
      </c>
      <c r="F268" s="515">
        <v>45.5563</v>
      </c>
      <c r="G268" s="515">
        <v>66.248999999999995</v>
      </c>
      <c r="H268" s="461">
        <v>-3.4199983008170301E-2</v>
      </c>
      <c r="I268" s="462">
        <v>3.1499757370236699E-2</v>
      </c>
      <c r="J268" s="462">
        <v>1.2599988303198599E-2</v>
      </c>
      <c r="K268" s="462">
        <v>1.3600279275669499E-2</v>
      </c>
      <c r="L268" s="463">
        <v>1.8899957550523299E-2</v>
      </c>
      <c r="M268" s="256"/>
      <c r="N268" s="256"/>
      <c r="O268" s="256"/>
      <c r="P268" s="256"/>
      <c r="Q268" s="256"/>
      <c r="R268" s="256"/>
      <c r="S268" s="256"/>
      <c r="T268" s="256"/>
      <c r="U268" s="256"/>
      <c r="V268" s="256"/>
      <c r="W268" s="256"/>
      <c r="X268" s="256"/>
      <c r="Y268" s="256"/>
      <c r="Z268" s="256"/>
      <c r="AA268" s="256"/>
      <c r="AB268" s="256"/>
      <c r="AC268" s="256"/>
      <c r="AD268" s="256"/>
      <c r="AE268" s="256"/>
      <c r="AF268" s="256"/>
      <c r="AG268" s="256"/>
      <c r="AH268" s="256"/>
      <c r="AI268" s="256"/>
      <c r="AJ268" s="256"/>
      <c r="AK268" s="256"/>
      <c r="AL268" s="256"/>
      <c r="AM268" s="256"/>
      <c r="AN268" s="256"/>
      <c r="AO268" s="256"/>
      <c r="AP268" s="256"/>
      <c r="AQ268" s="256"/>
      <c r="AR268" s="256"/>
      <c r="AS268" s="256"/>
      <c r="AT268" s="256"/>
      <c r="AU268" s="256"/>
      <c r="AV268" s="256"/>
      <c r="AW268" s="256"/>
      <c r="AX268" s="256"/>
      <c r="AY268" s="256"/>
      <c r="AZ268" s="256"/>
      <c r="BA268" s="256"/>
      <c r="BB268" s="256"/>
      <c r="BC268" s="256"/>
      <c r="BD268" s="256"/>
      <c r="BE268" s="256"/>
      <c r="BF268" s="256"/>
      <c r="BG268" s="256"/>
      <c r="BH268" s="256"/>
      <c r="BI268" s="256"/>
      <c r="BJ268" s="256"/>
      <c r="BK268" s="256"/>
      <c r="BL268" s="256"/>
      <c r="BM268" s="256"/>
      <c r="BN268" s="256"/>
      <c r="BO268" s="256"/>
      <c r="BP268" s="256"/>
      <c r="BQ268" s="256"/>
      <c r="BR268" s="256"/>
      <c r="BS268" s="256"/>
      <c r="BT268" s="256"/>
      <c r="BU268" s="256"/>
      <c r="BV268" s="256"/>
      <c r="BW268" s="256"/>
      <c r="BX268" s="256"/>
      <c r="BY268" s="256"/>
      <c r="BZ268" s="256"/>
    </row>
    <row r="269" spans="1:78">
      <c r="A269" s="435" t="s">
        <v>185</v>
      </c>
      <c r="B269" s="515">
        <v>7.2610000000000001</v>
      </c>
      <c r="C269" s="515">
        <v>7.4595000000000002</v>
      </c>
      <c r="D269" s="515">
        <v>8.1836000000000002</v>
      </c>
      <c r="E269" s="515">
        <v>8.3943999999999992</v>
      </c>
      <c r="F269" s="515">
        <v>8.6234999999999999</v>
      </c>
      <c r="G269" s="515">
        <v>12.7639</v>
      </c>
      <c r="H269" s="461">
        <v>1.79967263331648E-3</v>
      </c>
      <c r="I269" s="462">
        <v>1.8701475219116401E-2</v>
      </c>
      <c r="J269" s="462">
        <v>5.0994914233970503E-3</v>
      </c>
      <c r="K269" s="462">
        <v>5.3997700662658001E-3</v>
      </c>
      <c r="L269" s="463">
        <v>1.97999615700102E-2</v>
      </c>
      <c r="M269" s="256"/>
      <c r="N269" s="256"/>
      <c r="O269" s="256"/>
      <c r="P269" s="256"/>
      <c r="Q269" s="256"/>
      <c r="R269" s="256"/>
      <c r="S269" s="256"/>
      <c r="T269" s="256"/>
      <c r="U269" s="256"/>
      <c r="V269" s="256"/>
      <c r="W269" s="256"/>
      <c r="X269" s="256"/>
      <c r="Y269" s="256"/>
      <c r="Z269" s="256"/>
      <c r="AA269" s="256"/>
      <c r="AB269" s="256"/>
      <c r="AC269" s="256"/>
      <c r="AD269" s="256"/>
      <c r="AE269" s="256"/>
      <c r="AF269" s="256"/>
      <c r="AG269" s="256"/>
      <c r="AH269" s="256"/>
      <c r="AI269" s="256"/>
      <c r="AJ269" s="256"/>
      <c r="AK269" s="256"/>
      <c r="AL269" s="256"/>
      <c r="AM269" s="256"/>
      <c r="AN269" s="256"/>
      <c r="AO269" s="256"/>
      <c r="AP269" s="256"/>
      <c r="AQ269" s="256"/>
      <c r="AR269" s="256"/>
      <c r="AS269" s="256"/>
      <c r="AT269" s="256"/>
      <c r="AU269" s="256"/>
      <c r="AV269" s="256"/>
      <c r="AW269" s="256"/>
      <c r="AX269" s="256"/>
      <c r="AY269" s="256"/>
      <c r="AZ269" s="256"/>
      <c r="BA269" s="256"/>
      <c r="BB269" s="256"/>
      <c r="BC269" s="256"/>
      <c r="BD269" s="256"/>
      <c r="BE269" s="256"/>
      <c r="BF269" s="256"/>
      <c r="BG269" s="256"/>
      <c r="BH269" s="256"/>
      <c r="BI269" s="256"/>
      <c r="BJ269" s="256"/>
      <c r="BK269" s="256"/>
      <c r="BL269" s="256"/>
      <c r="BM269" s="256"/>
      <c r="BN269" s="256"/>
      <c r="BO269" s="256"/>
      <c r="BP269" s="256"/>
      <c r="BQ269" s="256"/>
      <c r="BR269" s="256"/>
      <c r="BS269" s="256"/>
      <c r="BT269" s="256"/>
      <c r="BU269" s="256"/>
      <c r="BV269" s="256"/>
      <c r="BW269" s="256"/>
      <c r="BX269" s="256"/>
      <c r="BY269" s="256"/>
      <c r="BZ269" s="256"/>
    </row>
    <row r="270" spans="1:78">
      <c r="A270" s="435"/>
      <c r="B270" s="515"/>
      <c r="C270" s="515"/>
      <c r="D270" s="515"/>
      <c r="E270" s="515"/>
      <c r="F270" s="515"/>
      <c r="G270" s="515"/>
      <c r="H270" s="461"/>
      <c r="I270" s="462"/>
      <c r="J270" s="462"/>
      <c r="K270" s="462"/>
      <c r="L270" s="463"/>
      <c r="M270" s="256"/>
      <c r="N270" s="256"/>
      <c r="O270" s="256"/>
      <c r="P270" s="256"/>
      <c r="Q270" s="256"/>
      <c r="R270" s="256"/>
      <c r="S270" s="256"/>
      <c r="T270" s="256"/>
      <c r="U270" s="256"/>
      <c r="V270" s="256"/>
      <c r="W270" s="256"/>
      <c r="X270" s="256"/>
      <c r="Y270" s="256"/>
      <c r="Z270" s="256"/>
      <c r="AA270" s="256"/>
      <c r="AB270" s="256"/>
      <c r="AC270" s="256"/>
      <c r="AD270" s="256"/>
      <c r="AE270" s="256"/>
      <c r="AF270" s="256"/>
      <c r="AG270" s="256"/>
      <c r="AH270" s="256"/>
      <c r="AI270" s="256"/>
      <c r="AJ270" s="256"/>
      <c r="AK270" s="256"/>
      <c r="AL270" s="256"/>
      <c r="AM270" s="256"/>
      <c r="AN270" s="256"/>
      <c r="AO270" s="256"/>
      <c r="AP270" s="256"/>
      <c r="AQ270" s="256"/>
      <c r="AR270" s="256"/>
      <c r="AS270" s="256"/>
      <c r="AT270" s="256"/>
      <c r="AU270" s="256"/>
      <c r="AV270" s="256"/>
      <c r="AW270" s="256"/>
      <c r="AX270" s="256"/>
      <c r="AY270" s="256"/>
      <c r="AZ270" s="256"/>
      <c r="BA270" s="256"/>
      <c r="BB270" s="256"/>
      <c r="BC270" s="256"/>
      <c r="BD270" s="256"/>
      <c r="BE270" s="256"/>
      <c r="BF270" s="256"/>
      <c r="BG270" s="256"/>
      <c r="BH270" s="256"/>
      <c r="BI270" s="256"/>
      <c r="BJ270" s="256"/>
      <c r="BK270" s="256"/>
      <c r="BL270" s="256"/>
      <c r="BM270" s="256"/>
      <c r="BN270" s="256"/>
      <c r="BO270" s="256"/>
      <c r="BP270" s="256"/>
      <c r="BQ270" s="256"/>
      <c r="BR270" s="256"/>
      <c r="BS270" s="256"/>
      <c r="BT270" s="256"/>
      <c r="BU270" s="256"/>
      <c r="BV270" s="256"/>
      <c r="BW270" s="256"/>
      <c r="BX270" s="256"/>
      <c r="BY270" s="256"/>
      <c r="BZ270" s="256"/>
    </row>
    <row r="271" spans="1:78">
      <c r="A271" s="435" t="s">
        <v>396</v>
      </c>
      <c r="B271" s="515">
        <v>397.56709999999998</v>
      </c>
      <c r="C271" s="515">
        <v>443.3836</v>
      </c>
      <c r="D271" s="515">
        <v>450.69979999999998</v>
      </c>
      <c r="E271" s="515">
        <v>459.702</v>
      </c>
      <c r="F271" s="515">
        <v>472.85500000000002</v>
      </c>
      <c r="G271" s="515">
        <v>554.00160000000005</v>
      </c>
      <c r="H271" s="461">
        <v>7.2979400871426899E-3</v>
      </c>
      <c r="I271" s="462">
        <v>3.2785981569913901E-3</v>
      </c>
      <c r="J271" s="462">
        <v>3.9632263976450101E-3</v>
      </c>
      <c r="K271" s="462">
        <v>5.6580132586543401E-3</v>
      </c>
      <c r="L271" s="463">
        <v>7.9503770923274892E-3</v>
      </c>
      <c r="M271" s="256"/>
      <c r="N271" s="256"/>
      <c r="O271" s="256"/>
      <c r="P271" s="256"/>
      <c r="Q271" s="256"/>
      <c r="R271" s="256"/>
      <c r="S271" s="256"/>
      <c r="T271" s="256"/>
      <c r="U271" s="256"/>
      <c r="V271" s="256"/>
      <c r="W271" s="256"/>
      <c r="X271" s="256"/>
      <c r="Y271" s="256"/>
      <c r="Z271" s="256"/>
      <c r="AA271" s="256"/>
      <c r="AB271" s="256"/>
      <c r="AC271" s="256"/>
      <c r="AD271" s="256"/>
      <c r="AE271" s="256"/>
      <c r="AF271" s="256"/>
      <c r="AG271" s="256"/>
      <c r="AH271" s="256"/>
      <c r="AI271" s="256"/>
      <c r="AJ271" s="256"/>
      <c r="AK271" s="256"/>
      <c r="AL271" s="256"/>
      <c r="AM271" s="256"/>
      <c r="AN271" s="256"/>
      <c r="AO271" s="256"/>
      <c r="AP271" s="256"/>
      <c r="AQ271" s="256"/>
      <c r="AR271" s="256"/>
      <c r="AS271" s="256"/>
      <c r="AT271" s="256"/>
      <c r="AU271" s="256"/>
      <c r="AV271" s="256"/>
      <c r="AW271" s="256"/>
      <c r="AX271" s="256"/>
      <c r="AY271" s="256"/>
      <c r="AZ271" s="256"/>
      <c r="BA271" s="256"/>
      <c r="BB271" s="256"/>
      <c r="BC271" s="256"/>
      <c r="BD271" s="256"/>
      <c r="BE271" s="256"/>
      <c r="BF271" s="256"/>
      <c r="BG271" s="256"/>
      <c r="BH271" s="256"/>
      <c r="BI271" s="256"/>
      <c r="BJ271" s="256"/>
      <c r="BK271" s="256"/>
      <c r="BL271" s="256"/>
      <c r="BM271" s="256"/>
      <c r="BN271" s="256"/>
      <c r="BO271" s="256"/>
      <c r="BP271" s="256"/>
      <c r="BQ271" s="256"/>
      <c r="BR271" s="256"/>
      <c r="BS271" s="256"/>
      <c r="BT271" s="256"/>
      <c r="BU271" s="256"/>
      <c r="BV271" s="256"/>
      <c r="BW271" s="256"/>
      <c r="BX271" s="256"/>
      <c r="BY271" s="256"/>
      <c r="BZ271" s="256"/>
    </row>
    <row r="272" spans="1:78" ht="15" thickBot="1">
      <c r="A272" s="489"/>
      <c r="B272" s="518"/>
      <c r="C272" s="518"/>
      <c r="D272" s="518"/>
      <c r="E272" s="518"/>
      <c r="F272" s="518"/>
      <c r="G272" s="518"/>
      <c r="H272" s="466"/>
      <c r="I272" s="467"/>
      <c r="J272" s="467"/>
      <c r="K272" s="467"/>
      <c r="L272" s="468"/>
      <c r="M272" s="256"/>
      <c r="N272" s="256"/>
      <c r="O272" s="256"/>
      <c r="P272" s="256"/>
      <c r="Q272" s="256"/>
      <c r="R272" s="256"/>
      <c r="S272" s="256"/>
      <c r="T272" s="256"/>
      <c r="U272" s="256"/>
      <c r="V272" s="256"/>
      <c r="W272" s="256"/>
      <c r="X272" s="256"/>
      <c r="Y272" s="256"/>
      <c r="Z272" s="256"/>
      <c r="AA272" s="256"/>
      <c r="AB272" s="256"/>
      <c r="AC272" s="256"/>
      <c r="AD272" s="256"/>
      <c r="AE272" s="256"/>
      <c r="AF272" s="256"/>
      <c r="AG272" s="256"/>
      <c r="AH272" s="256"/>
      <c r="AI272" s="256"/>
      <c r="AJ272" s="256"/>
      <c r="AK272" s="256"/>
      <c r="AL272" s="256"/>
      <c r="AM272" s="256"/>
      <c r="AN272" s="256"/>
      <c r="AO272" s="256"/>
      <c r="AP272" s="256"/>
      <c r="AQ272" s="256"/>
      <c r="AR272" s="256"/>
      <c r="AS272" s="256"/>
      <c r="AT272" s="256"/>
      <c r="AU272" s="256"/>
      <c r="AV272" s="256"/>
      <c r="AW272" s="256"/>
      <c r="AX272" s="256"/>
      <c r="AY272" s="256"/>
      <c r="AZ272" s="256"/>
      <c r="BA272" s="256"/>
      <c r="BB272" s="256"/>
      <c r="BC272" s="256"/>
      <c r="BD272" s="256"/>
      <c r="BE272" s="256"/>
      <c r="BF272" s="256"/>
      <c r="BG272" s="256"/>
      <c r="BH272" s="256"/>
      <c r="BI272" s="256"/>
      <c r="BJ272" s="256"/>
      <c r="BK272" s="256"/>
      <c r="BL272" s="256"/>
      <c r="BM272" s="256"/>
      <c r="BN272" s="256"/>
      <c r="BO272" s="256"/>
      <c r="BP272" s="256"/>
      <c r="BQ272" s="256"/>
      <c r="BR272" s="256"/>
      <c r="BS272" s="256"/>
      <c r="BT272" s="256"/>
      <c r="BU272" s="256"/>
      <c r="BV272" s="256"/>
      <c r="BW272" s="256"/>
      <c r="BX272" s="256"/>
      <c r="BY272" s="256"/>
      <c r="BZ272" s="256"/>
    </row>
    <row r="273" spans="1:78">
      <c r="A273" s="449"/>
      <c r="B273" s="519"/>
      <c r="C273" s="519"/>
      <c r="D273" s="519"/>
      <c r="E273" s="519"/>
      <c r="F273" s="519"/>
      <c r="G273" s="519"/>
      <c r="H273" s="256"/>
      <c r="I273" s="256"/>
      <c r="J273" s="256"/>
      <c r="K273" s="256"/>
      <c r="L273" s="256"/>
      <c r="M273" s="256"/>
      <c r="N273" s="256"/>
      <c r="O273" s="256"/>
      <c r="P273" s="256"/>
      <c r="Q273" s="256"/>
      <c r="R273" s="256"/>
      <c r="S273" s="256"/>
      <c r="T273" s="256"/>
      <c r="U273" s="256"/>
      <c r="V273" s="256"/>
      <c r="W273" s="256"/>
      <c r="X273" s="256"/>
      <c r="Y273" s="256"/>
      <c r="Z273" s="256"/>
      <c r="AA273" s="256"/>
      <c r="AB273" s="256"/>
      <c r="AC273" s="256"/>
      <c r="AD273" s="256"/>
      <c r="AE273" s="256"/>
      <c r="AF273" s="256"/>
      <c r="AG273" s="256"/>
      <c r="AH273" s="256"/>
      <c r="AI273" s="256"/>
      <c r="AJ273" s="256"/>
      <c r="AK273" s="256"/>
      <c r="AL273" s="256"/>
      <c r="AM273" s="256"/>
      <c r="AN273" s="256"/>
      <c r="AO273" s="256"/>
      <c r="AP273" s="256"/>
      <c r="AQ273" s="256"/>
      <c r="AR273" s="256"/>
      <c r="AS273" s="256"/>
      <c r="AT273" s="256"/>
      <c r="AU273" s="256"/>
      <c r="AV273" s="256"/>
      <c r="AW273" s="256"/>
      <c r="AX273" s="256"/>
      <c r="AY273" s="256"/>
      <c r="AZ273" s="256"/>
      <c r="BA273" s="256"/>
      <c r="BB273" s="256"/>
      <c r="BC273" s="256"/>
      <c r="BD273" s="256"/>
      <c r="BE273" s="256"/>
      <c r="BF273" s="256"/>
      <c r="BG273" s="256"/>
      <c r="BH273" s="256"/>
      <c r="BI273" s="256"/>
      <c r="BJ273" s="256"/>
      <c r="BK273" s="256"/>
      <c r="BL273" s="256"/>
      <c r="BM273" s="256"/>
      <c r="BN273" s="256"/>
      <c r="BO273" s="256"/>
      <c r="BP273" s="256"/>
      <c r="BQ273" s="256"/>
      <c r="BR273" s="256"/>
      <c r="BS273" s="256"/>
      <c r="BT273" s="256"/>
      <c r="BU273" s="256"/>
      <c r="BV273" s="256"/>
      <c r="BW273" s="256"/>
      <c r="BX273" s="256"/>
      <c r="BY273" s="256"/>
      <c r="BZ273" s="256"/>
    </row>
    <row r="274" spans="1:78">
      <c r="A274" s="449"/>
      <c r="B274" s="519"/>
      <c r="C274" s="519"/>
      <c r="D274" s="520"/>
      <c r="E274" s="520"/>
      <c r="F274" s="520"/>
      <c r="G274" s="520"/>
      <c r="H274" s="256"/>
      <c r="I274" s="256"/>
      <c r="J274" s="256"/>
      <c r="K274" s="256"/>
      <c r="L274" s="256"/>
      <c r="M274" s="256"/>
      <c r="N274" s="256"/>
      <c r="O274" s="256"/>
      <c r="P274" s="256"/>
      <c r="Q274" s="256"/>
      <c r="R274" s="256"/>
      <c r="S274" s="256"/>
      <c r="T274" s="256"/>
      <c r="U274" s="256"/>
      <c r="V274" s="256"/>
      <c r="W274" s="256"/>
      <c r="X274" s="256"/>
      <c r="Y274" s="256"/>
      <c r="Z274" s="256"/>
      <c r="AA274" s="256"/>
      <c r="AB274" s="256"/>
      <c r="AC274" s="256"/>
      <c r="AD274" s="256"/>
      <c r="AE274" s="256"/>
      <c r="AF274" s="256"/>
      <c r="AG274" s="256"/>
      <c r="AH274" s="256"/>
      <c r="AI274" s="256"/>
      <c r="AJ274" s="256"/>
      <c r="AK274" s="256"/>
      <c r="AL274" s="256"/>
      <c r="AM274" s="256"/>
      <c r="AN274" s="256"/>
      <c r="AO274" s="256"/>
      <c r="AP274" s="256"/>
      <c r="AQ274" s="256"/>
      <c r="AR274" s="256"/>
      <c r="AS274" s="256"/>
      <c r="AT274" s="256"/>
      <c r="AU274" s="256"/>
      <c r="AV274" s="256"/>
      <c r="AW274" s="256"/>
      <c r="AX274" s="256"/>
      <c r="AY274" s="256"/>
      <c r="AZ274" s="256"/>
      <c r="BA274" s="256"/>
      <c r="BB274" s="256"/>
      <c r="BC274" s="256"/>
      <c r="BD274" s="256"/>
      <c r="BE274" s="256"/>
      <c r="BF274" s="256"/>
      <c r="BG274" s="256"/>
      <c r="BH274" s="256"/>
      <c r="BI274" s="256"/>
      <c r="BJ274" s="256"/>
      <c r="BK274" s="256"/>
      <c r="BL274" s="256"/>
      <c r="BM274" s="256"/>
      <c r="BN274" s="256"/>
      <c r="BO274" s="256"/>
      <c r="BP274" s="256"/>
      <c r="BQ274" s="256"/>
      <c r="BR274" s="256"/>
      <c r="BS274" s="256"/>
      <c r="BT274" s="256"/>
      <c r="BU274" s="256"/>
      <c r="BV274" s="256"/>
      <c r="BW274" s="256"/>
      <c r="BX274" s="256"/>
      <c r="BY274" s="256"/>
      <c r="BZ274" s="256"/>
    </row>
    <row r="275" spans="1:78" ht="16" thickBot="1">
      <c r="A275" s="428" t="s">
        <v>176</v>
      </c>
      <c r="B275" s="430"/>
      <c r="C275" s="430"/>
      <c r="D275" s="430"/>
      <c r="E275" s="430"/>
      <c r="F275" s="430"/>
      <c r="G275" s="430"/>
      <c r="H275" s="430"/>
      <c r="I275" s="430"/>
      <c r="J275" s="430"/>
      <c r="K275" s="430"/>
      <c r="L275" s="430"/>
      <c r="M275" s="256"/>
      <c r="N275" s="256"/>
      <c r="O275" s="256"/>
      <c r="P275" s="256"/>
      <c r="Q275" s="256"/>
      <c r="R275" s="256"/>
      <c r="S275" s="256"/>
      <c r="T275" s="256"/>
      <c r="U275" s="256"/>
      <c r="V275" s="256"/>
      <c r="W275" s="256"/>
      <c r="X275" s="256"/>
      <c r="Y275" s="256"/>
      <c r="Z275" s="256"/>
      <c r="AA275" s="256"/>
      <c r="AB275" s="256"/>
      <c r="AC275" s="256"/>
      <c r="AD275" s="256"/>
      <c r="AE275" s="256"/>
      <c r="AF275" s="256"/>
      <c r="AG275" s="256"/>
      <c r="AH275" s="256"/>
      <c r="AI275" s="256"/>
      <c r="AJ275" s="256"/>
      <c r="AK275" s="256"/>
      <c r="AL275" s="256"/>
      <c r="AM275" s="256"/>
      <c r="AN275" s="256"/>
      <c r="AO275" s="256"/>
      <c r="AP275" s="256"/>
      <c r="AQ275" s="256"/>
      <c r="AR275" s="256"/>
      <c r="AS275" s="256"/>
      <c r="AT275" s="256"/>
      <c r="AU275" s="256"/>
      <c r="AV275" s="256"/>
      <c r="AW275" s="256"/>
      <c r="AX275" s="256"/>
      <c r="AY275" s="256"/>
      <c r="AZ275" s="256"/>
      <c r="BA275" s="256"/>
      <c r="BB275" s="256"/>
      <c r="BC275" s="256"/>
      <c r="BD275" s="256"/>
      <c r="BE275" s="256"/>
      <c r="BF275" s="256"/>
      <c r="BG275" s="256"/>
      <c r="BH275" s="256"/>
      <c r="BI275" s="256"/>
      <c r="BJ275" s="256"/>
      <c r="BK275" s="256"/>
      <c r="BL275" s="256"/>
      <c r="BM275" s="256"/>
      <c r="BN275" s="256"/>
      <c r="BO275" s="256"/>
      <c r="BP275" s="256"/>
      <c r="BQ275" s="256"/>
      <c r="BR275" s="256"/>
      <c r="BS275" s="256"/>
      <c r="BT275" s="256"/>
      <c r="BU275" s="256"/>
      <c r="BV275" s="256"/>
      <c r="BW275" s="256"/>
      <c r="BX275" s="256"/>
      <c r="BY275" s="256"/>
      <c r="BZ275" s="256"/>
    </row>
    <row r="276" spans="1:78" ht="15" thickBot="1">
      <c r="A276" s="431" t="s">
        <v>51</v>
      </c>
      <c r="B276" s="432">
        <v>2000</v>
      </c>
      <c r="C276" s="432">
        <v>2015</v>
      </c>
      <c r="D276" s="432">
        <v>2020</v>
      </c>
      <c r="E276" s="432">
        <v>2025</v>
      </c>
      <c r="F276" s="432">
        <v>2030</v>
      </c>
      <c r="G276" s="432">
        <v>2050</v>
      </c>
      <c r="H276" s="452" t="s">
        <v>98</v>
      </c>
      <c r="I276" s="453" t="s">
        <v>99</v>
      </c>
      <c r="J276" s="453" t="s">
        <v>100</v>
      </c>
      <c r="K276" s="453" t="s">
        <v>101</v>
      </c>
      <c r="L276" s="454" t="s">
        <v>384</v>
      </c>
      <c r="M276" s="256"/>
      <c r="N276" s="256"/>
      <c r="O276" s="256"/>
      <c r="P276" s="256"/>
      <c r="Q276" s="256"/>
      <c r="R276" s="256"/>
      <c r="S276" s="256"/>
      <c r="T276" s="256"/>
      <c r="U276" s="256"/>
      <c r="V276" s="256"/>
      <c r="W276" s="256"/>
      <c r="X276" s="256"/>
      <c r="Y276" s="256"/>
      <c r="Z276" s="256"/>
      <c r="AA276" s="256"/>
      <c r="AB276" s="256"/>
      <c r="AC276" s="256"/>
      <c r="AD276" s="256"/>
      <c r="AE276" s="256"/>
      <c r="AF276" s="256"/>
      <c r="AG276" s="256"/>
      <c r="AH276" s="256"/>
      <c r="AI276" s="256"/>
      <c r="AJ276" s="256"/>
      <c r="AK276" s="256"/>
      <c r="AL276" s="256"/>
      <c r="AM276" s="256"/>
      <c r="AN276" s="256"/>
      <c r="AO276" s="256"/>
      <c r="AP276" s="256"/>
      <c r="AQ276" s="256"/>
      <c r="AR276" s="256"/>
      <c r="AS276" s="256"/>
      <c r="AT276" s="256"/>
      <c r="AU276" s="256"/>
      <c r="AV276" s="256"/>
      <c r="AW276" s="256"/>
      <c r="AX276" s="256"/>
      <c r="AY276" s="256"/>
      <c r="AZ276" s="256"/>
      <c r="BA276" s="256"/>
      <c r="BB276" s="256"/>
      <c r="BC276" s="256"/>
      <c r="BD276" s="256"/>
      <c r="BE276" s="256"/>
      <c r="BF276" s="256"/>
      <c r="BG276" s="256"/>
      <c r="BH276" s="256"/>
      <c r="BI276" s="256"/>
      <c r="BJ276" s="256"/>
      <c r="BK276" s="256"/>
      <c r="BL276" s="256"/>
      <c r="BM276" s="256"/>
      <c r="BN276" s="256"/>
      <c r="BO276" s="256"/>
      <c r="BP276" s="256"/>
      <c r="BQ276" s="256"/>
      <c r="BR276" s="256"/>
      <c r="BS276" s="256"/>
      <c r="BT276" s="256"/>
      <c r="BU276" s="256"/>
      <c r="BV276" s="256"/>
      <c r="BW276" s="256"/>
      <c r="BX276" s="256"/>
      <c r="BY276" s="256"/>
      <c r="BZ276" s="256"/>
    </row>
    <row r="277" spans="1:78">
      <c r="A277" s="435" t="s">
        <v>177</v>
      </c>
      <c r="B277" s="455">
        <v>13.9971</v>
      </c>
      <c r="C277" s="455">
        <v>7.2347999999999999</v>
      </c>
      <c r="D277" s="455">
        <v>6.7095000000000002</v>
      </c>
      <c r="E277" s="455">
        <v>6.4130000000000003</v>
      </c>
      <c r="F277" s="455">
        <v>5.77</v>
      </c>
      <c r="G277" s="455">
        <v>3.5712999999999999</v>
      </c>
      <c r="H277" s="456">
        <v>-4.3042689928576301E-2</v>
      </c>
      <c r="I277" s="457">
        <v>-1.49625879438747E-2</v>
      </c>
      <c r="J277" s="457">
        <v>-8.9987174730144E-3</v>
      </c>
      <c r="K277" s="457">
        <v>-2.0909324225712199E-2</v>
      </c>
      <c r="L277" s="458">
        <v>-2.3701715862578999E-2</v>
      </c>
      <c r="M277" s="256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6"/>
      <c r="Z277" s="256"/>
      <c r="AA277" s="256"/>
      <c r="AB277" s="256"/>
      <c r="AC277" s="256"/>
      <c r="AD277" s="256"/>
      <c r="AE277" s="256"/>
      <c r="AF277" s="256"/>
      <c r="AG277" s="256"/>
      <c r="AH277" s="256"/>
      <c r="AI277" s="256"/>
      <c r="AJ277" s="256"/>
      <c r="AK277" s="256"/>
      <c r="AL277" s="256"/>
      <c r="AM277" s="256"/>
      <c r="AN277" s="256"/>
      <c r="AO277" s="256"/>
      <c r="AP277" s="256"/>
      <c r="AQ277" s="256"/>
      <c r="AR277" s="256"/>
      <c r="AS277" s="256"/>
      <c r="AT277" s="256"/>
      <c r="AU277" s="256"/>
      <c r="AV277" s="256"/>
      <c r="AW277" s="256"/>
      <c r="AX277" s="256"/>
      <c r="AY277" s="256"/>
      <c r="AZ277" s="256"/>
      <c r="BA277" s="256"/>
      <c r="BB277" s="256"/>
      <c r="BC277" s="256"/>
      <c r="BD277" s="256"/>
      <c r="BE277" s="256"/>
      <c r="BF277" s="256"/>
      <c r="BG277" s="256"/>
      <c r="BH277" s="256"/>
      <c r="BI277" s="256"/>
      <c r="BJ277" s="256"/>
      <c r="BK277" s="256"/>
      <c r="BL277" s="256"/>
      <c r="BM277" s="256"/>
      <c r="BN277" s="256"/>
      <c r="BO277" s="256"/>
      <c r="BP277" s="256"/>
      <c r="BQ277" s="256"/>
      <c r="BR277" s="256"/>
      <c r="BS277" s="256"/>
      <c r="BT277" s="256"/>
      <c r="BU277" s="256"/>
      <c r="BV277" s="256"/>
      <c r="BW277" s="256"/>
      <c r="BX277" s="256"/>
      <c r="BY277" s="256"/>
      <c r="BZ277" s="256"/>
    </row>
    <row r="278" spans="1:78">
      <c r="A278" s="435" t="s">
        <v>178</v>
      </c>
      <c r="B278" s="455">
        <v>26.535799999999998</v>
      </c>
      <c r="C278" s="455">
        <v>32.707599999999999</v>
      </c>
      <c r="D278" s="455">
        <v>32.730899999999998</v>
      </c>
      <c r="E278" s="455">
        <v>31.736999999999998</v>
      </c>
      <c r="F278" s="455">
        <v>31.259599999999999</v>
      </c>
      <c r="G278" s="455">
        <v>31.748000000000001</v>
      </c>
      <c r="H278" s="461">
        <v>1.40384735515253E-2</v>
      </c>
      <c r="I278" s="462">
        <v>1.4243395127255801E-4</v>
      </c>
      <c r="J278" s="462">
        <v>-6.1483000068241998E-3</v>
      </c>
      <c r="K278" s="462">
        <v>-3.0267428832079198E-3</v>
      </c>
      <c r="L278" s="463">
        <v>7.7546062536670802E-4</v>
      </c>
      <c r="M278" s="256"/>
      <c r="N278" s="256"/>
      <c r="O278" s="256"/>
      <c r="P278" s="256"/>
      <c r="Q278" s="256"/>
      <c r="R278" s="256"/>
      <c r="S278" s="256"/>
      <c r="T278" s="256"/>
      <c r="U278" s="256"/>
      <c r="V278" s="256"/>
      <c r="W278" s="256"/>
      <c r="X278" s="256"/>
      <c r="Y278" s="256"/>
      <c r="Z278" s="256"/>
      <c r="AA278" s="256"/>
      <c r="AB278" s="256"/>
      <c r="AC278" s="256"/>
      <c r="AD278" s="256"/>
      <c r="AE278" s="256"/>
      <c r="AF278" s="256"/>
      <c r="AG278" s="256"/>
      <c r="AH278" s="256"/>
      <c r="AI278" s="256"/>
      <c r="AJ278" s="256"/>
      <c r="AK278" s="256"/>
      <c r="AL278" s="256"/>
      <c r="AM278" s="256"/>
      <c r="AN278" s="256"/>
      <c r="AO278" s="256"/>
      <c r="AP278" s="256"/>
      <c r="AQ278" s="256"/>
      <c r="AR278" s="256"/>
      <c r="AS278" s="256"/>
      <c r="AT278" s="256"/>
      <c r="AU278" s="256"/>
      <c r="AV278" s="256"/>
      <c r="AW278" s="256"/>
      <c r="AX278" s="256"/>
      <c r="AY278" s="256"/>
      <c r="AZ278" s="256"/>
      <c r="BA278" s="256"/>
      <c r="BB278" s="256"/>
      <c r="BC278" s="256"/>
      <c r="BD278" s="256"/>
      <c r="BE278" s="256"/>
      <c r="BF278" s="256"/>
      <c r="BG278" s="256"/>
      <c r="BH278" s="256"/>
      <c r="BI278" s="256"/>
      <c r="BJ278" s="256"/>
      <c r="BK278" s="256"/>
      <c r="BL278" s="256"/>
      <c r="BM278" s="256"/>
      <c r="BN278" s="256"/>
      <c r="BO278" s="256"/>
      <c r="BP278" s="256"/>
      <c r="BQ278" s="256"/>
      <c r="BR278" s="256"/>
      <c r="BS278" s="256"/>
      <c r="BT278" s="256"/>
      <c r="BU278" s="256"/>
      <c r="BV278" s="256"/>
      <c r="BW278" s="256"/>
      <c r="BX278" s="256"/>
      <c r="BY278" s="256"/>
      <c r="BZ278" s="256"/>
    </row>
    <row r="279" spans="1:78">
      <c r="A279" s="435" t="s">
        <v>179</v>
      </c>
      <c r="B279" s="455">
        <v>1.7838000000000001</v>
      </c>
      <c r="C279" s="455">
        <v>1.1121000000000001</v>
      </c>
      <c r="D279" s="455">
        <v>0.97289999999999999</v>
      </c>
      <c r="E279" s="455">
        <v>0.98340000000000005</v>
      </c>
      <c r="F279" s="455">
        <v>1.016</v>
      </c>
      <c r="G279" s="455">
        <v>1.0871</v>
      </c>
      <c r="H279" s="461">
        <v>-3.10087722550666E-2</v>
      </c>
      <c r="I279" s="462">
        <v>-2.63903438455984E-2</v>
      </c>
      <c r="J279" s="462">
        <v>2.1492369049878101E-3</v>
      </c>
      <c r="K279" s="462">
        <v>6.5438526851737703E-3</v>
      </c>
      <c r="L279" s="463">
        <v>3.38773801073589E-3</v>
      </c>
      <c r="M279" s="256"/>
      <c r="N279" s="256"/>
      <c r="O279" s="256"/>
      <c r="P279" s="256"/>
      <c r="Q279" s="256"/>
      <c r="R279" s="256"/>
      <c r="S279" s="256"/>
      <c r="T279" s="256"/>
      <c r="U279" s="256"/>
      <c r="V279" s="256"/>
      <c r="W279" s="256"/>
      <c r="X279" s="256"/>
      <c r="Y279" s="256"/>
      <c r="Z279" s="256"/>
      <c r="AA279" s="256"/>
      <c r="AB279" s="256"/>
      <c r="AC279" s="256"/>
      <c r="AD279" s="256"/>
      <c r="AE279" s="256"/>
      <c r="AF279" s="256"/>
      <c r="AG279" s="256"/>
      <c r="AH279" s="256"/>
      <c r="AI279" s="256"/>
      <c r="AJ279" s="256"/>
      <c r="AK279" s="256"/>
      <c r="AL279" s="256"/>
      <c r="AM279" s="256"/>
      <c r="AN279" s="256"/>
      <c r="AO279" s="256"/>
      <c r="AP279" s="256"/>
      <c r="AQ279" s="256"/>
      <c r="AR279" s="256"/>
      <c r="AS279" s="256"/>
      <c r="AT279" s="256"/>
      <c r="AU279" s="256"/>
      <c r="AV279" s="256"/>
      <c r="AW279" s="256"/>
      <c r="AX279" s="256"/>
      <c r="AY279" s="256"/>
      <c r="AZ279" s="256"/>
      <c r="BA279" s="256"/>
      <c r="BB279" s="256"/>
      <c r="BC279" s="256"/>
      <c r="BD279" s="256"/>
      <c r="BE279" s="256"/>
      <c r="BF279" s="256"/>
      <c r="BG279" s="256"/>
      <c r="BH279" s="256"/>
      <c r="BI279" s="256"/>
      <c r="BJ279" s="256"/>
      <c r="BK279" s="256"/>
      <c r="BL279" s="256"/>
      <c r="BM279" s="256"/>
      <c r="BN279" s="256"/>
      <c r="BO279" s="256"/>
      <c r="BP279" s="256"/>
      <c r="BQ279" s="256"/>
      <c r="BR279" s="256"/>
      <c r="BS279" s="256"/>
      <c r="BT279" s="256"/>
      <c r="BU279" s="256"/>
      <c r="BV279" s="256"/>
      <c r="BW279" s="256"/>
      <c r="BX279" s="256"/>
      <c r="BY279" s="256"/>
      <c r="BZ279" s="256"/>
    </row>
    <row r="280" spans="1:78">
      <c r="A280" s="435" t="s">
        <v>180</v>
      </c>
      <c r="B280" s="455">
        <v>0.20849999999999999</v>
      </c>
      <c r="C280" s="455">
        <v>0.15459999999999999</v>
      </c>
      <c r="D280" s="455">
        <v>0.152</v>
      </c>
      <c r="E280" s="455">
        <v>0.15179999999999999</v>
      </c>
      <c r="F280" s="455">
        <v>1.44E-2</v>
      </c>
      <c r="G280" s="455">
        <v>4.0000000000000001E-3</v>
      </c>
      <c r="H280" s="461">
        <v>-1.9742376104737801E-2</v>
      </c>
      <c r="I280" s="462">
        <v>-3.3863763117075699E-3</v>
      </c>
      <c r="J280" s="462">
        <v>-2.6329650833822898E-4</v>
      </c>
      <c r="K280" s="462">
        <v>-0.37566433569493302</v>
      </c>
      <c r="L280" s="463">
        <v>-6.20387970323922E-2</v>
      </c>
      <c r="M280" s="256"/>
      <c r="N280" s="256"/>
      <c r="O280" s="256"/>
      <c r="P280" s="256"/>
      <c r="Q280" s="256"/>
      <c r="R280" s="256"/>
      <c r="S280" s="256"/>
      <c r="T280" s="256"/>
      <c r="U280" s="256"/>
      <c r="V280" s="256"/>
      <c r="W280" s="256"/>
      <c r="X280" s="256"/>
      <c r="Y280" s="256"/>
      <c r="Z280" s="256"/>
      <c r="AA280" s="256"/>
      <c r="AB280" s="256"/>
      <c r="AC280" s="256"/>
      <c r="AD280" s="256"/>
      <c r="AE280" s="256"/>
      <c r="AF280" s="256"/>
      <c r="AG280" s="256"/>
      <c r="AH280" s="256"/>
      <c r="AI280" s="256"/>
      <c r="AJ280" s="256"/>
      <c r="AK280" s="256"/>
      <c r="AL280" s="256"/>
      <c r="AM280" s="256"/>
      <c r="AN280" s="256"/>
      <c r="AO280" s="256"/>
      <c r="AP280" s="256"/>
      <c r="AQ280" s="256"/>
      <c r="AR280" s="256"/>
      <c r="AS280" s="256"/>
      <c r="AT280" s="256"/>
      <c r="AU280" s="256"/>
      <c r="AV280" s="256"/>
      <c r="AW280" s="256"/>
      <c r="AX280" s="256"/>
      <c r="AY280" s="256"/>
      <c r="AZ280" s="256"/>
      <c r="BA280" s="256"/>
      <c r="BB280" s="256"/>
      <c r="BC280" s="256"/>
      <c r="BD280" s="256"/>
      <c r="BE280" s="256"/>
      <c r="BF280" s="256"/>
      <c r="BG280" s="256"/>
      <c r="BH280" s="256"/>
      <c r="BI280" s="256"/>
      <c r="BJ280" s="256"/>
      <c r="BK280" s="256"/>
      <c r="BL280" s="256"/>
      <c r="BM280" s="256"/>
      <c r="BN280" s="256"/>
      <c r="BO280" s="256"/>
      <c r="BP280" s="256"/>
      <c r="BQ280" s="256"/>
      <c r="BR280" s="256"/>
      <c r="BS280" s="256"/>
      <c r="BT280" s="256"/>
      <c r="BU280" s="256"/>
      <c r="BV280" s="256"/>
      <c r="BW280" s="256"/>
      <c r="BX280" s="256"/>
      <c r="BY280" s="256"/>
      <c r="BZ280" s="256"/>
    </row>
    <row r="281" spans="1:78">
      <c r="A281" s="435" t="s">
        <v>181</v>
      </c>
      <c r="B281" s="436">
        <v>0</v>
      </c>
      <c r="C281" s="506">
        <v>7.5200000000000003E-2</v>
      </c>
      <c r="D281" s="506">
        <v>8.6400000000000005E-2</v>
      </c>
      <c r="E281" s="506">
        <v>9.1899999999999996E-2</v>
      </c>
      <c r="F281" s="506">
        <v>9.7500000000000003E-2</v>
      </c>
      <c r="G281" s="506">
        <v>0.1215</v>
      </c>
      <c r="H281" s="461"/>
      <c r="I281" s="462">
        <v>2.8156393247250399E-2</v>
      </c>
      <c r="J281" s="462">
        <v>1.2419155823384201E-2</v>
      </c>
      <c r="K281" s="462">
        <v>1.1900524138891399E-2</v>
      </c>
      <c r="L281" s="463">
        <v>1.10638509129168E-2</v>
      </c>
      <c r="M281" s="256"/>
      <c r="N281" s="256"/>
      <c r="O281" s="256"/>
      <c r="P281" s="256"/>
      <c r="Q281" s="256"/>
      <c r="R281" s="256"/>
      <c r="S281" s="256"/>
      <c r="T281" s="256"/>
      <c r="U281" s="256"/>
      <c r="V281" s="256"/>
      <c r="W281" s="256"/>
      <c r="X281" s="256"/>
      <c r="Y281" s="256"/>
      <c r="Z281" s="256"/>
      <c r="AA281" s="256"/>
      <c r="AB281" s="256"/>
      <c r="AC281" s="256"/>
      <c r="AD281" s="256"/>
      <c r="AE281" s="256"/>
      <c r="AF281" s="256"/>
      <c r="AG281" s="256"/>
      <c r="AH281" s="256"/>
      <c r="AI281" s="256"/>
      <c r="AJ281" s="256"/>
      <c r="AK281" s="256"/>
      <c r="AL281" s="256"/>
      <c r="AM281" s="256"/>
      <c r="AN281" s="256"/>
      <c r="AO281" s="256"/>
      <c r="AP281" s="256"/>
      <c r="AQ281" s="256"/>
      <c r="AR281" s="256"/>
      <c r="AS281" s="256"/>
      <c r="AT281" s="256"/>
      <c r="AU281" s="256"/>
      <c r="AV281" s="256"/>
      <c r="AW281" s="256"/>
      <c r="AX281" s="256"/>
      <c r="AY281" s="256"/>
      <c r="AZ281" s="256"/>
      <c r="BA281" s="256"/>
      <c r="BB281" s="256"/>
      <c r="BC281" s="256"/>
      <c r="BD281" s="256"/>
      <c r="BE281" s="256"/>
      <c r="BF281" s="256"/>
      <c r="BG281" s="256"/>
      <c r="BH281" s="256"/>
      <c r="BI281" s="256"/>
      <c r="BJ281" s="256"/>
      <c r="BK281" s="256"/>
      <c r="BL281" s="256"/>
      <c r="BM281" s="256"/>
      <c r="BN281" s="256"/>
      <c r="BO281" s="256"/>
      <c r="BP281" s="256"/>
      <c r="BQ281" s="256"/>
      <c r="BR281" s="256"/>
      <c r="BS281" s="256"/>
      <c r="BT281" s="256"/>
      <c r="BU281" s="256"/>
      <c r="BV281" s="256"/>
      <c r="BW281" s="256"/>
      <c r="BX281" s="256"/>
      <c r="BY281" s="256"/>
      <c r="BZ281" s="256"/>
    </row>
    <row r="282" spans="1:78">
      <c r="A282" s="435" t="s">
        <v>104</v>
      </c>
      <c r="B282" s="455">
        <v>0.80669999999999997</v>
      </c>
      <c r="C282" s="455">
        <v>0.89270000000000005</v>
      </c>
      <c r="D282" s="455">
        <v>1.147</v>
      </c>
      <c r="E282" s="455">
        <v>1.4209000000000001</v>
      </c>
      <c r="F282" s="455">
        <v>1.8814</v>
      </c>
      <c r="G282" s="455">
        <v>4.0824999999999996</v>
      </c>
      <c r="H282" s="461">
        <v>6.7761030168769203E-3</v>
      </c>
      <c r="I282" s="462">
        <v>5.1408724958821497E-2</v>
      </c>
      <c r="J282" s="462">
        <v>4.3758485638497602E-2</v>
      </c>
      <c r="K282" s="462">
        <v>5.7751196062832501E-2</v>
      </c>
      <c r="L282" s="463">
        <v>3.9494636141248499E-2</v>
      </c>
      <c r="M282" s="256"/>
      <c r="N282" s="256"/>
      <c r="O282" s="256"/>
      <c r="P282" s="256"/>
      <c r="Q282" s="256"/>
      <c r="R282" s="256"/>
      <c r="S282" s="256"/>
      <c r="T282" s="256"/>
      <c r="U282" s="256"/>
      <c r="V282" s="256"/>
      <c r="W282" s="256"/>
      <c r="X282" s="256"/>
      <c r="Y282" s="256"/>
      <c r="Z282" s="256"/>
      <c r="AA282" s="256"/>
      <c r="AB282" s="256"/>
      <c r="AC282" s="256"/>
      <c r="AD282" s="256"/>
      <c r="AE282" s="256"/>
      <c r="AF282" s="256"/>
      <c r="AG282" s="256"/>
      <c r="AH282" s="256"/>
      <c r="AI282" s="256"/>
      <c r="AJ282" s="256"/>
      <c r="AK282" s="256"/>
      <c r="AL282" s="256"/>
      <c r="AM282" s="256"/>
      <c r="AN282" s="256"/>
      <c r="AO282" s="256"/>
      <c r="AP282" s="256"/>
      <c r="AQ282" s="256"/>
      <c r="AR282" s="256"/>
      <c r="AS282" s="256"/>
      <c r="AT282" s="256"/>
      <c r="AU282" s="256"/>
      <c r="AV282" s="256"/>
      <c r="AW282" s="256"/>
      <c r="AX282" s="256"/>
      <c r="AY282" s="256"/>
      <c r="AZ282" s="256"/>
      <c r="BA282" s="256"/>
      <c r="BB282" s="256"/>
      <c r="BC282" s="256"/>
      <c r="BD282" s="256"/>
      <c r="BE282" s="256"/>
      <c r="BF282" s="256"/>
      <c r="BG282" s="256"/>
      <c r="BH282" s="256"/>
      <c r="BI282" s="256"/>
      <c r="BJ282" s="256"/>
      <c r="BK282" s="256"/>
      <c r="BL282" s="256"/>
      <c r="BM282" s="256"/>
      <c r="BN282" s="256"/>
      <c r="BO282" s="256"/>
      <c r="BP282" s="256"/>
      <c r="BQ282" s="256"/>
      <c r="BR282" s="256"/>
      <c r="BS282" s="256"/>
      <c r="BT282" s="256"/>
      <c r="BU282" s="256"/>
      <c r="BV282" s="256"/>
      <c r="BW282" s="256"/>
      <c r="BX282" s="256"/>
      <c r="BY282" s="256"/>
      <c r="BZ282" s="256"/>
    </row>
    <row r="283" spans="1:78">
      <c r="A283" s="435" t="s">
        <v>109</v>
      </c>
      <c r="B283" s="455">
        <v>0</v>
      </c>
      <c r="C283" s="455">
        <v>0</v>
      </c>
      <c r="D283" s="455">
        <v>0</v>
      </c>
      <c r="E283" s="455">
        <v>0</v>
      </c>
      <c r="F283" s="494">
        <v>0</v>
      </c>
      <c r="G283" s="455">
        <v>0</v>
      </c>
      <c r="H283" s="461"/>
      <c r="I283" s="462"/>
      <c r="J283" s="462"/>
      <c r="K283" s="462"/>
      <c r="L283" s="463"/>
      <c r="M283" s="256"/>
      <c r="N283" s="256"/>
      <c r="O283" s="256"/>
      <c r="P283" s="256"/>
      <c r="Q283" s="256"/>
      <c r="R283" s="256"/>
      <c r="S283" s="256"/>
      <c r="T283" s="256"/>
      <c r="U283" s="256"/>
      <c r="V283" s="256"/>
      <c r="W283" s="256"/>
      <c r="X283" s="256"/>
      <c r="Y283" s="256"/>
      <c r="Z283" s="256"/>
      <c r="AA283" s="256"/>
      <c r="AB283" s="256"/>
      <c r="AC283" s="256"/>
      <c r="AD283" s="256"/>
      <c r="AE283" s="256"/>
      <c r="AF283" s="256"/>
      <c r="AG283" s="256"/>
      <c r="AH283" s="256"/>
      <c r="AI283" s="256"/>
      <c r="AJ283" s="256"/>
      <c r="AK283" s="256"/>
      <c r="AL283" s="256"/>
      <c r="AM283" s="256"/>
      <c r="AN283" s="256"/>
      <c r="AO283" s="256"/>
      <c r="AP283" s="256"/>
      <c r="AQ283" s="256"/>
      <c r="AR283" s="256"/>
      <c r="AS283" s="256"/>
      <c r="AT283" s="256"/>
      <c r="AU283" s="256"/>
      <c r="AV283" s="256"/>
      <c r="AW283" s="256"/>
      <c r="AX283" s="256"/>
      <c r="AY283" s="256"/>
      <c r="AZ283" s="256"/>
      <c r="BA283" s="256"/>
      <c r="BB283" s="256"/>
      <c r="BC283" s="256"/>
      <c r="BD283" s="256"/>
      <c r="BE283" s="256"/>
      <c r="BF283" s="256"/>
      <c r="BG283" s="256"/>
      <c r="BH283" s="256"/>
      <c r="BI283" s="256"/>
      <c r="BJ283" s="256"/>
      <c r="BK283" s="256"/>
      <c r="BL283" s="256"/>
      <c r="BM283" s="256"/>
      <c r="BN283" s="256"/>
      <c r="BO283" s="256"/>
      <c r="BP283" s="256"/>
      <c r="BQ283" s="256"/>
      <c r="BR283" s="256"/>
      <c r="BS283" s="256"/>
      <c r="BT283" s="256"/>
      <c r="BU283" s="256"/>
      <c r="BV283" s="256"/>
      <c r="BW283" s="256"/>
      <c r="BX283" s="256"/>
      <c r="BY283" s="256"/>
      <c r="BZ283" s="256"/>
    </row>
    <row r="284" spans="1:78">
      <c r="A284" s="435"/>
      <c r="B284" s="436"/>
      <c r="C284" s="436"/>
      <c r="D284" s="436"/>
      <c r="E284" s="436"/>
      <c r="F284" s="436"/>
      <c r="G284" s="436"/>
      <c r="H284" s="461"/>
      <c r="I284" s="462"/>
      <c r="J284" s="462"/>
      <c r="K284" s="462"/>
      <c r="L284" s="463"/>
      <c r="M284" s="256"/>
      <c r="N284" s="256"/>
      <c r="O284" s="256"/>
      <c r="P284" s="256"/>
      <c r="Q284" s="256"/>
      <c r="R284" s="256"/>
      <c r="S284" s="256"/>
      <c r="T284" s="256"/>
      <c r="U284" s="256"/>
      <c r="V284" s="256"/>
      <c r="W284" s="256"/>
      <c r="X284" s="256"/>
      <c r="Y284" s="256"/>
      <c r="Z284" s="256"/>
      <c r="AA284" s="256"/>
      <c r="AB284" s="256"/>
      <c r="AC284" s="256"/>
      <c r="AD284" s="256"/>
      <c r="AE284" s="256"/>
      <c r="AF284" s="256"/>
      <c r="AG284" s="256"/>
      <c r="AH284" s="256"/>
      <c r="AI284" s="256"/>
      <c r="AJ284" s="256"/>
      <c r="AK284" s="256"/>
      <c r="AL284" s="256"/>
      <c r="AM284" s="256"/>
      <c r="AN284" s="256"/>
      <c r="AO284" s="256"/>
      <c r="AP284" s="256"/>
      <c r="AQ284" s="256"/>
      <c r="AR284" s="256"/>
      <c r="AS284" s="256"/>
      <c r="AT284" s="256"/>
      <c r="AU284" s="256"/>
      <c r="AV284" s="256"/>
      <c r="AW284" s="256"/>
      <c r="AX284" s="256"/>
      <c r="AY284" s="256"/>
      <c r="AZ284" s="256"/>
      <c r="BA284" s="256"/>
      <c r="BB284" s="256"/>
      <c r="BC284" s="256"/>
      <c r="BD284" s="256"/>
      <c r="BE284" s="256"/>
      <c r="BF284" s="256"/>
      <c r="BG284" s="256"/>
      <c r="BH284" s="256"/>
      <c r="BI284" s="256"/>
      <c r="BJ284" s="256"/>
      <c r="BK284" s="256"/>
      <c r="BL284" s="256"/>
      <c r="BM284" s="256"/>
      <c r="BN284" s="256"/>
      <c r="BO284" s="256"/>
      <c r="BP284" s="256"/>
      <c r="BQ284" s="256"/>
      <c r="BR284" s="256"/>
      <c r="BS284" s="256"/>
      <c r="BT284" s="256"/>
      <c r="BU284" s="256"/>
      <c r="BV284" s="256"/>
      <c r="BW284" s="256"/>
      <c r="BX284" s="256"/>
      <c r="BY284" s="256"/>
      <c r="BZ284" s="256"/>
    </row>
    <row r="285" spans="1:78" ht="15" thickBot="1">
      <c r="A285" s="444" t="s">
        <v>10</v>
      </c>
      <c r="B285" s="464">
        <v>43.331899999999997</v>
      </c>
      <c r="C285" s="464">
        <v>42.177</v>
      </c>
      <c r="D285" s="464">
        <v>41.798699999999997</v>
      </c>
      <c r="E285" s="464">
        <v>40.798000000000002</v>
      </c>
      <c r="F285" s="464">
        <v>40.038899999999998</v>
      </c>
      <c r="G285" s="464">
        <v>40.614400000000003</v>
      </c>
      <c r="H285" s="466">
        <v>-1.7993149918053E-3</v>
      </c>
      <c r="I285" s="467">
        <v>-1.80033948060065E-3</v>
      </c>
      <c r="J285" s="467">
        <v>-4.83471057375173E-3</v>
      </c>
      <c r="K285" s="467">
        <v>-3.7492696827380301E-3</v>
      </c>
      <c r="L285" s="468">
        <v>7.1381474379505995E-4</v>
      </c>
      <c r="M285" s="256"/>
      <c r="N285" s="256"/>
      <c r="O285" s="256"/>
      <c r="P285" s="256"/>
      <c r="Q285" s="256"/>
      <c r="R285" s="256"/>
      <c r="S285" s="256"/>
      <c r="T285" s="256"/>
      <c r="U285" s="256"/>
      <c r="V285" s="256"/>
      <c r="W285" s="256"/>
      <c r="X285" s="256"/>
      <c r="Y285" s="256"/>
      <c r="Z285" s="256"/>
      <c r="AA285" s="256"/>
      <c r="AB285" s="256"/>
      <c r="AC285" s="256"/>
      <c r="AD285" s="256"/>
      <c r="AE285" s="256"/>
      <c r="AF285" s="256"/>
      <c r="AG285" s="256"/>
      <c r="AH285" s="256"/>
      <c r="AI285" s="256"/>
      <c r="AJ285" s="256"/>
      <c r="AK285" s="256"/>
      <c r="AL285" s="256"/>
      <c r="AM285" s="256"/>
      <c r="AN285" s="256"/>
      <c r="AO285" s="256"/>
      <c r="AP285" s="256"/>
      <c r="AQ285" s="256"/>
      <c r="AR285" s="256"/>
      <c r="AS285" s="256"/>
      <c r="AT285" s="256"/>
      <c r="AU285" s="256"/>
      <c r="AV285" s="256"/>
      <c r="AW285" s="256"/>
      <c r="AX285" s="256"/>
      <c r="AY285" s="256"/>
      <c r="AZ285" s="256"/>
      <c r="BA285" s="256"/>
      <c r="BB285" s="256"/>
      <c r="BC285" s="256"/>
      <c r="BD285" s="256"/>
      <c r="BE285" s="256"/>
      <c r="BF285" s="256"/>
      <c r="BG285" s="256"/>
      <c r="BH285" s="256"/>
      <c r="BI285" s="256"/>
      <c r="BJ285" s="256"/>
      <c r="BK285" s="256"/>
      <c r="BL285" s="256"/>
      <c r="BM285" s="256"/>
      <c r="BN285" s="256"/>
      <c r="BO285" s="256"/>
      <c r="BP285" s="256"/>
      <c r="BQ285" s="256"/>
      <c r="BR285" s="256"/>
      <c r="BS285" s="256"/>
      <c r="BT285" s="256"/>
      <c r="BU285" s="256"/>
      <c r="BV285" s="256"/>
      <c r="BW285" s="256"/>
      <c r="BX285" s="256"/>
      <c r="BY285" s="256"/>
      <c r="BZ285" s="256"/>
    </row>
    <row r="286" spans="1:78">
      <c r="A286" s="449"/>
      <c r="B286" s="427"/>
      <c r="C286" s="427"/>
      <c r="D286" s="427"/>
      <c r="E286" s="499"/>
      <c r="F286" s="499"/>
      <c r="G286" s="256"/>
      <c r="H286" s="256"/>
      <c r="I286" s="256"/>
      <c r="J286" s="256"/>
      <c r="K286" s="256"/>
      <c r="L286" s="256"/>
      <c r="M286" s="256"/>
      <c r="N286" s="256"/>
      <c r="O286" s="256"/>
      <c r="P286" s="256"/>
      <c r="Q286" s="256"/>
      <c r="R286" s="256"/>
      <c r="S286" s="256"/>
      <c r="T286" s="256"/>
      <c r="U286" s="256"/>
      <c r="V286" s="256"/>
      <c r="W286" s="256"/>
      <c r="X286" s="256"/>
      <c r="Y286" s="256"/>
      <c r="Z286" s="256"/>
      <c r="AA286" s="256"/>
      <c r="AB286" s="256"/>
      <c r="AC286" s="256"/>
      <c r="AD286" s="256"/>
      <c r="AE286" s="256"/>
      <c r="AF286" s="256"/>
      <c r="AG286" s="256"/>
      <c r="AH286" s="256"/>
      <c r="AI286" s="256"/>
      <c r="AJ286" s="256"/>
      <c r="AK286" s="256"/>
      <c r="AL286" s="256"/>
      <c r="AM286" s="256"/>
      <c r="AN286" s="256"/>
      <c r="AO286" s="256"/>
      <c r="AP286" s="256"/>
      <c r="AQ286" s="256"/>
      <c r="AR286" s="256"/>
      <c r="AS286" s="256"/>
      <c r="AT286" s="256"/>
      <c r="AU286" s="256"/>
      <c r="AV286" s="256"/>
      <c r="AW286" s="256"/>
      <c r="AX286" s="256"/>
      <c r="AY286" s="256"/>
      <c r="AZ286" s="256"/>
      <c r="BA286" s="256"/>
      <c r="BB286" s="256"/>
      <c r="BC286" s="256"/>
      <c r="BD286" s="256"/>
      <c r="BE286" s="256"/>
      <c r="BF286" s="256"/>
      <c r="BG286" s="256"/>
      <c r="BH286" s="256"/>
      <c r="BI286" s="256"/>
      <c r="BJ286" s="256"/>
      <c r="BK286" s="256"/>
      <c r="BL286" s="256"/>
      <c r="BM286" s="256"/>
      <c r="BN286" s="256"/>
      <c r="BO286" s="256"/>
      <c r="BP286" s="256"/>
      <c r="BQ286" s="256"/>
      <c r="BR286" s="256"/>
      <c r="BS286" s="256"/>
      <c r="BT286" s="256"/>
      <c r="BU286" s="256"/>
      <c r="BV286" s="256"/>
      <c r="BW286" s="256"/>
      <c r="BX286" s="256"/>
      <c r="BY286" s="256"/>
      <c r="BZ286" s="256"/>
    </row>
    <row r="287" spans="1:78">
      <c r="A287" s="449"/>
      <c r="B287" s="427"/>
      <c r="C287" s="427"/>
      <c r="D287" s="427"/>
      <c r="E287" s="499"/>
      <c r="F287" s="499"/>
      <c r="G287" s="256"/>
      <c r="H287" s="256"/>
      <c r="I287" s="256"/>
      <c r="J287" s="256"/>
      <c r="K287" s="256"/>
      <c r="L287" s="256"/>
      <c r="M287" s="256"/>
      <c r="N287" s="256"/>
      <c r="O287" s="256"/>
      <c r="P287" s="256"/>
      <c r="Q287" s="256"/>
      <c r="R287" s="256"/>
      <c r="S287" s="256"/>
      <c r="T287" s="256"/>
      <c r="U287" s="256"/>
      <c r="V287" s="256"/>
      <c r="W287" s="256"/>
      <c r="X287" s="256"/>
      <c r="Y287" s="256"/>
      <c r="Z287" s="256"/>
      <c r="AA287" s="256"/>
      <c r="AB287" s="256"/>
      <c r="AC287" s="256"/>
      <c r="AD287" s="256"/>
      <c r="AE287" s="256"/>
      <c r="AF287" s="256"/>
      <c r="AG287" s="256"/>
      <c r="AH287" s="256"/>
      <c r="AI287" s="256"/>
      <c r="AJ287" s="256"/>
      <c r="AK287" s="256"/>
      <c r="AL287" s="256"/>
      <c r="AM287" s="256"/>
      <c r="AN287" s="256"/>
      <c r="AO287" s="256"/>
      <c r="AP287" s="256"/>
      <c r="AQ287" s="256"/>
      <c r="AR287" s="256"/>
      <c r="AS287" s="256"/>
      <c r="AT287" s="256"/>
      <c r="AU287" s="256"/>
      <c r="AV287" s="256"/>
      <c r="AW287" s="256"/>
      <c r="AX287" s="256"/>
      <c r="AY287" s="256"/>
      <c r="AZ287" s="256"/>
      <c r="BA287" s="256"/>
      <c r="BB287" s="256"/>
      <c r="BC287" s="256"/>
      <c r="BD287" s="256"/>
      <c r="BE287" s="256"/>
      <c r="BF287" s="256"/>
      <c r="BG287" s="256"/>
      <c r="BH287" s="256"/>
      <c r="BI287" s="256"/>
      <c r="BJ287" s="256"/>
      <c r="BK287" s="256"/>
      <c r="BL287" s="256"/>
      <c r="BM287" s="256"/>
      <c r="BN287" s="256"/>
      <c r="BO287" s="256"/>
      <c r="BP287" s="256"/>
      <c r="BQ287" s="256"/>
      <c r="BR287" s="256"/>
      <c r="BS287" s="256"/>
      <c r="BT287" s="256"/>
      <c r="BU287" s="256"/>
      <c r="BV287" s="256"/>
      <c r="BW287" s="256"/>
      <c r="BX287" s="256"/>
      <c r="BY287" s="256"/>
      <c r="BZ287" s="256"/>
    </row>
    <row r="288" spans="1:78" ht="16" thickBot="1">
      <c r="A288" s="428" t="s">
        <v>182</v>
      </c>
      <c r="B288" s="430"/>
      <c r="C288" s="430"/>
      <c r="D288" s="430"/>
      <c r="E288" s="521"/>
      <c r="F288" s="521"/>
      <c r="G288" s="521"/>
      <c r="H288" s="430"/>
      <c r="I288" s="430"/>
      <c r="J288" s="430"/>
      <c r="K288" s="430"/>
      <c r="L288" s="430"/>
      <c r="M288" s="256"/>
      <c r="N288" s="256"/>
      <c r="O288" s="256"/>
      <c r="P288" s="256"/>
      <c r="Q288" s="256"/>
      <c r="R288" s="256"/>
      <c r="S288" s="256"/>
      <c r="T288" s="256"/>
      <c r="U288" s="256"/>
      <c r="V288" s="256"/>
      <c r="W288" s="256"/>
      <c r="X288" s="256"/>
      <c r="Y288" s="256"/>
      <c r="Z288" s="256"/>
      <c r="AA288" s="256"/>
      <c r="AB288" s="256"/>
      <c r="AC288" s="256"/>
      <c r="AD288" s="256"/>
      <c r="AE288" s="256"/>
      <c r="AF288" s="256"/>
      <c r="AG288" s="256"/>
      <c r="AH288" s="256"/>
      <c r="AI288" s="256"/>
      <c r="AJ288" s="256"/>
      <c r="AK288" s="256"/>
      <c r="AL288" s="256"/>
      <c r="AM288" s="256"/>
      <c r="AN288" s="256"/>
      <c r="AO288" s="256"/>
      <c r="AP288" s="256"/>
      <c r="AQ288" s="256"/>
      <c r="AR288" s="256"/>
      <c r="AS288" s="256"/>
      <c r="AT288" s="256"/>
      <c r="AU288" s="256"/>
      <c r="AV288" s="256"/>
      <c r="AW288" s="256"/>
      <c r="AX288" s="256"/>
      <c r="AY288" s="256"/>
      <c r="AZ288" s="256"/>
      <c r="BA288" s="256"/>
      <c r="BB288" s="256"/>
      <c r="BC288" s="256"/>
      <c r="BD288" s="256"/>
      <c r="BE288" s="256"/>
      <c r="BF288" s="256"/>
      <c r="BG288" s="256"/>
      <c r="BH288" s="256"/>
      <c r="BI288" s="256"/>
      <c r="BJ288" s="256"/>
      <c r="BK288" s="256"/>
      <c r="BL288" s="256"/>
      <c r="BM288" s="256"/>
      <c r="BN288" s="256"/>
      <c r="BO288" s="256"/>
      <c r="BP288" s="256"/>
      <c r="BQ288" s="256"/>
      <c r="BR288" s="256"/>
      <c r="BS288" s="256"/>
      <c r="BT288" s="256"/>
      <c r="BU288" s="256"/>
      <c r="BV288" s="256"/>
      <c r="BW288" s="256"/>
      <c r="BX288" s="256"/>
      <c r="BY288" s="256"/>
      <c r="BZ288" s="256"/>
    </row>
    <row r="289" spans="1:78" ht="15" thickBot="1">
      <c r="A289" s="431" t="s">
        <v>51</v>
      </c>
      <c r="B289" s="432">
        <v>2000</v>
      </c>
      <c r="C289" s="432">
        <v>2015</v>
      </c>
      <c r="D289" s="432">
        <v>2020</v>
      </c>
      <c r="E289" s="432">
        <v>2025</v>
      </c>
      <c r="F289" s="432">
        <v>2030</v>
      </c>
      <c r="G289" s="432">
        <v>2050</v>
      </c>
      <c r="H289" s="452" t="s">
        <v>98</v>
      </c>
      <c r="I289" s="453" t="s">
        <v>99</v>
      </c>
      <c r="J289" s="453" t="s">
        <v>100</v>
      </c>
      <c r="K289" s="453" t="s">
        <v>101</v>
      </c>
      <c r="L289" s="454" t="s">
        <v>384</v>
      </c>
      <c r="M289" s="256"/>
      <c r="N289" s="256"/>
      <c r="O289" s="256"/>
      <c r="P289" s="256"/>
      <c r="Q289" s="256"/>
      <c r="R289" s="256"/>
      <c r="S289" s="256"/>
      <c r="T289" s="256"/>
      <c r="U289" s="256"/>
      <c r="V289" s="256"/>
      <c r="W289" s="256"/>
      <c r="X289" s="256"/>
      <c r="Y289" s="256"/>
      <c r="Z289" s="256"/>
      <c r="AA289" s="256"/>
      <c r="AB289" s="256"/>
      <c r="AC289" s="256"/>
      <c r="AD289" s="256"/>
      <c r="AE289" s="256"/>
      <c r="AF289" s="256"/>
      <c r="AG289" s="256"/>
      <c r="AH289" s="256"/>
      <c r="AI289" s="256"/>
      <c r="AJ289" s="256"/>
      <c r="AK289" s="256"/>
      <c r="AL289" s="256"/>
      <c r="AM289" s="256"/>
      <c r="AN289" s="256"/>
      <c r="AO289" s="256"/>
      <c r="AP289" s="256"/>
      <c r="AQ289" s="256"/>
      <c r="AR289" s="256"/>
      <c r="AS289" s="256"/>
      <c r="AT289" s="256"/>
      <c r="AU289" s="256"/>
      <c r="AV289" s="256"/>
      <c r="AW289" s="256"/>
      <c r="AX289" s="256"/>
      <c r="AY289" s="256"/>
      <c r="AZ289" s="256"/>
      <c r="BA289" s="256"/>
      <c r="BB289" s="256"/>
      <c r="BC289" s="256"/>
      <c r="BD289" s="256"/>
      <c r="BE289" s="256"/>
      <c r="BF289" s="256"/>
      <c r="BG289" s="256"/>
      <c r="BH289" s="256"/>
      <c r="BI289" s="256"/>
      <c r="BJ289" s="256"/>
      <c r="BK289" s="256"/>
      <c r="BL289" s="256"/>
      <c r="BM289" s="256"/>
      <c r="BN289" s="256"/>
      <c r="BO289" s="256"/>
      <c r="BP289" s="256"/>
      <c r="BQ289" s="256"/>
      <c r="BR289" s="256"/>
      <c r="BS289" s="256"/>
      <c r="BT289" s="256"/>
      <c r="BU289" s="256"/>
      <c r="BV289" s="256"/>
      <c r="BW289" s="256"/>
      <c r="BX289" s="256"/>
      <c r="BY289" s="256"/>
      <c r="BZ289" s="256"/>
    </row>
    <row r="290" spans="1:78">
      <c r="A290" s="435" t="s">
        <v>183</v>
      </c>
      <c r="B290" s="436">
        <v>39.905799999999999</v>
      </c>
      <c r="C290" s="436">
        <v>39.588700000000003</v>
      </c>
      <c r="D290" s="436">
        <v>39.209800000000001</v>
      </c>
      <c r="E290" s="436">
        <v>38.1265</v>
      </c>
      <c r="F290" s="436">
        <v>37.241999999999997</v>
      </c>
      <c r="G290" s="436">
        <v>37.095799999999997</v>
      </c>
      <c r="H290" s="456">
        <v>-5.3172210141172504E-4</v>
      </c>
      <c r="I290" s="457">
        <v>-1.9215531388057101E-3</v>
      </c>
      <c r="J290" s="457">
        <v>-5.5877575097548196E-3</v>
      </c>
      <c r="K290" s="457">
        <v>-4.6834824823716002E-3</v>
      </c>
      <c r="L290" s="458">
        <v>-1.9665071180397E-4</v>
      </c>
      <c r="M290" s="256"/>
      <c r="N290" s="256"/>
      <c r="O290" s="256"/>
      <c r="P290" s="256"/>
      <c r="Q290" s="256"/>
      <c r="R290" s="256"/>
      <c r="S290" s="256"/>
      <c r="T290" s="256"/>
      <c r="U290" s="256"/>
      <c r="V290" s="256"/>
      <c r="W290" s="256"/>
      <c r="X290" s="256"/>
      <c r="Y290" s="256"/>
      <c r="Z290" s="256"/>
      <c r="AA290" s="256"/>
      <c r="AB290" s="256"/>
      <c r="AC290" s="256"/>
      <c r="AD290" s="256"/>
      <c r="AE290" s="256"/>
      <c r="AF290" s="256"/>
      <c r="AG290" s="256"/>
      <c r="AH290" s="256"/>
      <c r="AI290" s="256"/>
      <c r="AJ290" s="256"/>
      <c r="AK290" s="256"/>
      <c r="AL290" s="256"/>
      <c r="AM290" s="256"/>
      <c r="AN290" s="256"/>
      <c r="AO290" s="256"/>
      <c r="AP290" s="256"/>
      <c r="AQ290" s="256"/>
      <c r="AR290" s="256"/>
      <c r="AS290" s="256"/>
      <c r="AT290" s="256"/>
      <c r="AU290" s="256"/>
      <c r="AV290" s="256"/>
      <c r="AW290" s="256"/>
      <c r="AX290" s="256"/>
      <c r="AY290" s="256"/>
      <c r="AZ290" s="256"/>
      <c r="BA290" s="256"/>
      <c r="BB290" s="256"/>
      <c r="BC290" s="256"/>
      <c r="BD290" s="256"/>
      <c r="BE290" s="256"/>
      <c r="BF290" s="256"/>
      <c r="BG290" s="256"/>
      <c r="BH290" s="256"/>
      <c r="BI290" s="256"/>
      <c r="BJ290" s="256"/>
      <c r="BK290" s="256"/>
      <c r="BL290" s="256"/>
      <c r="BM290" s="256"/>
      <c r="BN290" s="256"/>
      <c r="BO290" s="256"/>
      <c r="BP290" s="256"/>
      <c r="BQ290" s="256"/>
      <c r="BR290" s="256"/>
      <c r="BS290" s="256"/>
      <c r="BT290" s="256"/>
      <c r="BU290" s="256"/>
      <c r="BV290" s="256"/>
      <c r="BW290" s="256"/>
      <c r="BX290" s="256"/>
      <c r="BY290" s="256"/>
      <c r="BZ290" s="256"/>
    </row>
    <row r="291" spans="1:78">
      <c r="A291" s="435" t="s">
        <v>184</v>
      </c>
      <c r="B291" s="455">
        <v>1.1697</v>
      </c>
      <c r="C291" s="455">
        <v>1.0153000000000001</v>
      </c>
      <c r="D291" s="455">
        <v>1.1104000000000001</v>
      </c>
      <c r="E291" s="455">
        <v>1.1695</v>
      </c>
      <c r="F291" s="455">
        <v>1.2481</v>
      </c>
      <c r="G291" s="455">
        <v>1.6429</v>
      </c>
      <c r="H291" s="461">
        <v>-9.3931508311854203E-3</v>
      </c>
      <c r="I291" s="462">
        <v>1.80685309726576E-2</v>
      </c>
      <c r="J291" s="462">
        <v>1.0425166548489399E-2</v>
      </c>
      <c r="K291" s="462">
        <v>1.3094205593694E-2</v>
      </c>
      <c r="L291" s="463">
        <v>1.3836884583680001E-2</v>
      </c>
      <c r="M291" s="256"/>
      <c r="N291" s="256"/>
      <c r="O291" s="256"/>
      <c r="P291" s="256"/>
      <c r="Q291" s="256"/>
      <c r="R291" s="256"/>
      <c r="S291" s="256"/>
      <c r="T291" s="256"/>
      <c r="U291" s="256"/>
      <c r="V291" s="256"/>
      <c r="W291" s="256"/>
      <c r="X291" s="256"/>
      <c r="Y291" s="256"/>
      <c r="Z291" s="256"/>
      <c r="AA291" s="256"/>
      <c r="AB291" s="256"/>
      <c r="AC291" s="256"/>
      <c r="AD291" s="256"/>
      <c r="AE291" s="256"/>
      <c r="AF291" s="256"/>
      <c r="AG291" s="256"/>
      <c r="AH291" s="256"/>
      <c r="AI291" s="256"/>
      <c r="AJ291" s="256"/>
      <c r="AK291" s="256"/>
      <c r="AL291" s="256"/>
      <c r="AM291" s="256"/>
      <c r="AN291" s="256"/>
      <c r="AO291" s="256"/>
      <c r="AP291" s="256"/>
      <c r="AQ291" s="256"/>
      <c r="AR291" s="256"/>
      <c r="AS291" s="256"/>
      <c r="AT291" s="256"/>
      <c r="AU291" s="256"/>
      <c r="AV291" s="256"/>
      <c r="AW291" s="256"/>
      <c r="AX291" s="256"/>
      <c r="AY291" s="256"/>
      <c r="AZ291" s="256"/>
      <c r="BA291" s="256"/>
      <c r="BB291" s="256"/>
      <c r="BC291" s="256"/>
      <c r="BD291" s="256"/>
      <c r="BE291" s="256"/>
      <c r="BF291" s="256"/>
      <c r="BG291" s="256"/>
      <c r="BH291" s="256"/>
      <c r="BI291" s="256"/>
      <c r="BJ291" s="256"/>
      <c r="BK291" s="256"/>
      <c r="BL291" s="256"/>
      <c r="BM291" s="256"/>
      <c r="BN291" s="256"/>
      <c r="BO291" s="256"/>
      <c r="BP291" s="256"/>
      <c r="BQ291" s="256"/>
      <c r="BR291" s="256"/>
      <c r="BS291" s="256"/>
      <c r="BT291" s="256"/>
      <c r="BU291" s="256"/>
      <c r="BV291" s="256"/>
      <c r="BW291" s="256"/>
      <c r="BX291" s="256"/>
      <c r="BY291" s="256"/>
      <c r="BZ291" s="256"/>
    </row>
    <row r="292" spans="1:78">
      <c r="A292" s="435" t="s">
        <v>185</v>
      </c>
      <c r="B292" s="455">
        <v>0.47260000000000002</v>
      </c>
      <c r="C292" s="455">
        <v>0.46089999999999998</v>
      </c>
      <c r="D292" s="455">
        <v>0.50560000000000005</v>
      </c>
      <c r="E292" s="455">
        <v>0.51859999999999995</v>
      </c>
      <c r="F292" s="455">
        <v>0.53280000000000005</v>
      </c>
      <c r="G292" s="455">
        <v>0.78859999999999997</v>
      </c>
      <c r="H292" s="461">
        <v>-1.6698219617935499E-3</v>
      </c>
      <c r="I292" s="462">
        <v>1.8685375655264701E-2</v>
      </c>
      <c r="J292" s="462">
        <v>5.0903179241896801E-3</v>
      </c>
      <c r="K292" s="462">
        <v>5.4172698518257798E-3</v>
      </c>
      <c r="L292" s="463">
        <v>1.9799108156683499E-2</v>
      </c>
      <c r="M292" s="256"/>
      <c r="N292" s="256"/>
      <c r="O292" s="256"/>
      <c r="P292" s="256"/>
      <c r="Q292" s="256"/>
      <c r="R292" s="256"/>
      <c r="S292" s="256"/>
      <c r="T292" s="256"/>
      <c r="U292" s="256"/>
      <c r="V292" s="256"/>
      <c r="W292" s="256"/>
      <c r="X292" s="256"/>
      <c r="Y292" s="256"/>
      <c r="Z292" s="256"/>
      <c r="AA292" s="256"/>
      <c r="AB292" s="256"/>
      <c r="AC292" s="256"/>
      <c r="AD292" s="256"/>
      <c r="AE292" s="256"/>
      <c r="AF292" s="256"/>
      <c r="AG292" s="256"/>
      <c r="AH292" s="256"/>
      <c r="AI292" s="256"/>
      <c r="AJ292" s="256"/>
      <c r="AK292" s="256"/>
      <c r="AL292" s="256"/>
      <c r="AM292" s="256"/>
      <c r="AN292" s="256"/>
      <c r="AO292" s="256"/>
      <c r="AP292" s="256"/>
      <c r="AQ292" s="256"/>
      <c r="AR292" s="256"/>
      <c r="AS292" s="256"/>
      <c r="AT292" s="256"/>
      <c r="AU292" s="256"/>
      <c r="AV292" s="256"/>
      <c r="AW292" s="256"/>
      <c r="AX292" s="256"/>
      <c r="AY292" s="256"/>
      <c r="AZ292" s="256"/>
      <c r="BA292" s="256"/>
      <c r="BB292" s="256"/>
      <c r="BC292" s="256"/>
      <c r="BD292" s="256"/>
      <c r="BE292" s="256"/>
      <c r="BF292" s="256"/>
      <c r="BG292" s="256"/>
      <c r="BH292" s="256"/>
      <c r="BI292" s="256"/>
      <c r="BJ292" s="256"/>
      <c r="BK292" s="256"/>
      <c r="BL292" s="256"/>
      <c r="BM292" s="256"/>
      <c r="BN292" s="256"/>
      <c r="BO292" s="256"/>
      <c r="BP292" s="256"/>
      <c r="BQ292" s="256"/>
      <c r="BR292" s="256"/>
      <c r="BS292" s="256"/>
      <c r="BT292" s="256"/>
      <c r="BU292" s="256"/>
      <c r="BV292" s="256"/>
      <c r="BW292" s="256"/>
      <c r="BX292" s="256"/>
      <c r="BY292" s="256"/>
      <c r="BZ292" s="256"/>
    </row>
    <row r="293" spans="1:78">
      <c r="A293" s="435" t="s">
        <v>186</v>
      </c>
      <c r="B293" s="455">
        <v>1.7838000000000001</v>
      </c>
      <c r="C293" s="455">
        <v>1.1121000000000001</v>
      </c>
      <c r="D293" s="455">
        <v>0.97289999999999999</v>
      </c>
      <c r="E293" s="455">
        <v>0.98340000000000005</v>
      </c>
      <c r="F293" s="455">
        <v>1.016</v>
      </c>
      <c r="G293" s="455">
        <v>1.0871</v>
      </c>
      <c r="H293" s="461">
        <v>-3.10087722550666E-2</v>
      </c>
      <c r="I293" s="462">
        <v>-2.63903438455984E-2</v>
      </c>
      <c r="J293" s="462">
        <v>2.1492369049878101E-3</v>
      </c>
      <c r="K293" s="462">
        <v>6.5438526851737703E-3</v>
      </c>
      <c r="L293" s="463">
        <v>3.38773801073589E-3</v>
      </c>
      <c r="M293" s="256"/>
      <c r="N293" s="256"/>
      <c r="O293" s="256"/>
      <c r="P293" s="256"/>
      <c r="Q293" s="256"/>
      <c r="R293" s="256"/>
      <c r="S293" s="256"/>
      <c r="T293" s="256"/>
      <c r="U293" s="256"/>
      <c r="V293" s="256"/>
      <c r="W293" s="256"/>
      <c r="X293" s="256"/>
      <c r="Y293" s="256"/>
      <c r="Z293" s="256"/>
      <c r="AA293" s="256"/>
      <c r="AB293" s="256"/>
      <c r="AC293" s="256"/>
      <c r="AD293" s="256"/>
      <c r="AE293" s="256"/>
      <c r="AF293" s="256"/>
      <c r="AG293" s="256"/>
      <c r="AH293" s="256"/>
      <c r="AI293" s="256"/>
      <c r="AJ293" s="256"/>
      <c r="AK293" s="256"/>
      <c r="AL293" s="256"/>
      <c r="AM293" s="256"/>
      <c r="AN293" s="256"/>
      <c r="AO293" s="256"/>
      <c r="AP293" s="256"/>
      <c r="AQ293" s="256"/>
      <c r="AR293" s="256"/>
      <c r="AS293" s="256"/>
      <c r="AT293" s="256"/>
      <c r="AU293" s="256"/>
      <c r="AV293" s="256"/>
      <c r="AW293" s="256"/>
      <c r="AX293" s="256"/>
      <c r="AY293" s="256"/>
      <c r="AZ293" s="256"/>
      <c r="BA293" s="256"/>
      <c r="BB293" s="256"/>
      <c r="BC293" s="256"/>
      <c r="BD293" s="256"/>
      <c r="BE293" s="256"/>
      <c r="BF293" s="256"/>
      <c r="BG293" s="256"/>
      <c r="BH293" s="256"/>
      <c r="BI293" s="256"/>
      <c r="BJ293" s="256"/>
      <c r="BK293" s="256"/>
      <c r="BL293" s="256"/>
      <c r="BM293" s="256"/>
      <c r="BN293" s="256"/>
      <c r="BO293" s="256"/>
      <c r="BP293" s="256"/>
      <c r="BQ293" s="256"/>
      <c r="BR293" s="256"/>
      <c r="BS293" s="256"/>
      <c r="BT293" s="256"/>
      <c r="BU293" s="256"/>
      <c r="BV293" s="256"/>
      <c r="BW293" s="256"/>
      <c r="BX293" s="256"/>
      <c r="BY293" s="256"/>
      <c r="BZ293" s="256"/>
    </row>
    <row r="294" spans="1:78">
      <c r="A294" s="435"/>
      <c r="B294" s="436"/>
      <c r="C294" s="436"/>
      <c r="D294" s="436"/>
      <c r="E294" s="436"/>
      <c r="F294" s="436"/>
      <c r="G294" s="436"/>
      <c r="H294" s="461"/>
      <c r="I294" s="462"/>
      <c r="J294" s="462"/>
      <c r="K294" s="462"/>
      <c r="L294" s="463"/>
      <c r="M294" s="256"/>
      <c r="N294" s="256"/>
      <c r="O294" s="256"/>
      <c r="P294" s="256"/>
      <c r="Q294" s="256"/>
      <c r="R294" s="256"/>
      <c r="S294" s="256"/>
      <c r="T294" s="256"/>
      <c r="U294" s="256"/>
      <c r="V294" s="256"/>
      <c r="W294" s="256"/>
      <c r="X294" s="256"/>
      <c r="Y294" s="256"/>
      <c r="Z294" s="256"/>
      <c r="AA294" s="256"/>
      <c r="AB294" s="256"/>
      <c r="AC294" s="256"/>
      <c r="AD294" s="256"/>
      <c r="AE294" s="256"/>
      <c r="AF294" s="256"/>
      <c r="AG294" s="256"/>
      <c r="AH294" s="256"/>
      <c r="AI294" s="256"/>
      <c r="AJ294" s="256"/>
      <c r="AK294" s="256"/>
      <c r="AL294" s="256"/>
      <c r="AM294" s="256"/>
      <c r="AN294" s="256"/>
      <c r="AO294" s="256"/>
      <c r="AP294" s="256"/>
      <c r="AQ294" s="256"/>
      <c r="AR294" s="256"/>
      <c r="AS294" s="256"/>
      <c r="AT294" s="256"/>
      <c r="AU294" s="256"/>
      <c r="AV294" s="256"/>
      <c r="AW294" s="256"/>
      <c r="AX294" s="256"/>
      <c r="AY294" s="256"/>
      <c r="AZ294" s="256"/>
      <c r="BA294" s="256"/>
      <c r="BB294" s="256"/>
      <c r="BC294" s="256"/>
      <c r="BD294" s="256"/>
      <c r="BE294" s="256"/>
      <c r="BF294" s="256"/>
      <c r="BG294" s="256"/>
      <c r="BH294" s="256"/>
      <c r="BI294" s="256"/>
      <c r="BJ294" s="256"/>
      <c r="BK294" s="256"/>
      <c r="BL294" s="256"/>
      <c r="BM294" s="256"/>
      <c r="BN294" s="256"/>
      <c r="BO294" s="256"/>
      <c r="BP294" s="256"/>
      <c r="BQ294" s="256"/>
      <c r="BR294" s="256"/>
      <c r="BS294" s="256"/>
      <c r="BT294" s="256"/>
      <c r="BU294" s="256"/>
      <c r="BV294" s="256"/>
      <c r="BW294" s="256"/>
      <c r="BX294" s="256"/>
      <c r="BY294" s="256"/>
      <c r="BZ294" s="256"/>
    </row>
    <row r="295" spans="1:78" ht="15" thickBot="1">
      <c r="A295" s="489" t="s">
        <v>10</v>
      </c>
      <c r="B295" s="464">
        <v>43.331899999999997</v>
      </c>
      <c r="C295" s="464">
        <v>42.177</v>
      </c>
      <c r="D295" s="464">
        <v>41.798699999999997</v>
      </c>
      <c r="E295" s="464">
        <v>40.798000000000002</v>
      </c>
      <c r="F295" s="464">
        <v>40.038899999999998</v>
      </c>
      <c r="G295" s="464">
        <v>40.614400000000003</v>
      </c>
      <c r="H295" s="466">
        <v>-1.7993149918053E-3</v>
      </c>
      <c r="I295" s="467">
        <v>-1.80033948060065E-3</v>
      </c>
      <c r="J295" s="467">
        <v>-4.83471057375173E-3</v>
      </c>
      <c r="K295" s="467">
        <v>-3.7492696827380301E-3</v>
      </c>
      <c r="L295" s="468">
        <v>7.1381474379505995E-4</v>
      </c>
      <c r="M295" s="256"/>
      <c r="N295" s="256"/>
      <c r="O295" s="256"/>
      <c r="P295" s="256"/>
      <c r="Q295" s="256"/>
      <c r="R295" s="256"/>
      <c r="S295" s="256"/>
      <c r="T295" s="256"/>
      <c r="U295" s="256"/>
      <c r="V295" s="256"/>
      <c r="W295" s="256"/>
      <c r="X295" s="256"/>
      <c r="Y295" s="256"/>
      <c r="Z295" s="256"/>
      <c r="AA295" s="256"/>
      <c r="AB295" s="256"/>
      <c r="AC295" s="256"/>
      <c r="AD295" s="256"/>
      <c r="AE295" s="256"/>
      <c r="AF295" s="256"/>
      <c r="AG295" s="256"/>
      <c r="AH295" s="256"/>
      <c r="AI295" s="256"/>
      <c r="AJ295" s="256"/>
      <c r="AK295" s="256"/>
      <c r="AL295" s="256"/>
      <c r="AM295" s="256"/>
      <c r="AN295" s="256"/>
      <c r="AO295" s="256"/>
      <c r="AP295" s="256"/>
      <c r="AQ295" s="256"/>
      <c r="AR295" s="256"/>
      <c r="AS295" s="256"/>
      <c r="AT295" s="256"/>
      <c r="AU295" s="256"/>
      <c r="AV295" s="256"/>
      <c r="AW295" s="256"/>
      <c r="AX295" s="256"/>
      <c r="AY295" s="256"/>
      <c r="AZ295" s="256"/>
      <c r="BA295" s="256"/>
      <c r="BB295" s="256"/>
      <c r="BC295" s="256"/>
      <c r="BD295" s="256"/>
      <c r="BE295" s="256"/>
      <c r="BF295" s="256"/>
      <c r="BG295" s="256"/>
      <c r="BH295" s="256"/>
      <c r="BI295" s="256"/>
      <c r="BJ295" s="256"/>
      <c r="BK295" s="256"/>
      <c r="BL295" s="256"/>
      <c r="BM295" s="256"/>
      <c r="BN295" s="256"/>
      <c r="BO295" s="256"/>
      <c r="BP295" s="256"/>
      <c r="BQ295" s="256"/>
      <c r="BR295" s="256"/>
      <c r="BS295" s="256"/>
      <c r="BT295" s="256"/>
      <c r="BU295" s="256"/>
      <c r="BV295" s="256"/>
      <c r="BW295" s="256"/>
      <c r="BX295" s="256"/>
      <c r="BY295" s="256"/>
      <c r="BZ295" s="256"/>
    </row>
    <row r="296" spans="1:78">
      <c r="A296" s="449"/>
      <c r="B296" s="522"/>
      <c r="C296" s="427"/>
      <c r="D296" s="427"/>
      <c r="E296" s="427"/>
      <c r="F296" s="256"/>
      <c r="G296" s="256"/>
      <c r="H296" s="256"/>
      <c r="I296" s="256"/>
      <c r="J296" s="256"/>
      <c r="K296" s="256"/>
      <c r="L296" s="256"/>
      <c r="M296" s="256"/>
      <c r="N296" s="256"/>
      <c r="O296" s="256"/>
      <c r="P296" s="256"/>
      <c r="Q296" s="256"/>
      <c r="R296" s="256"/>
      <c r="S296" s="256"/>
      <c r="T296" s="256"/>
      <c r="U296" s="256"/>
      <c r="V296" s="256"/>
      <c r="W296" s="256"/>
      <c r="X296" s="256"/>
      <c r="Y296" s="256"/>
      <c r="Z296" s="256"/>
      <c r="AA296" s="256"/>
      <c r="AB296" s="256"/>
      <c r="AC296" s="256"/>
      <c r="AD296" s="256"/>
      <c r="AE296" s="256"/>
      <c r="AF296" s="256"/>
      <c r="AG296" s="256"/>
      <c r="AH296" s="256"/>
      <c r="AI296" s="256"/>
      <c r="AJ296" s="256"/>
      <c r="AK296" s="256"/>
      <c r="AL296" s="256"/>
      <c r="AM296" s="256"/>
      <c r="AN296" s="256"/>
      <c r="AO296" s="256"/>
      <c r="AP296" s="256"/>
      <c r="AQ296" s="256"/>
      <c r="AR296" s="256"/>
      <c r="AS296" s="256"/>
      <c r="AT296" s="256"/>
      <c r="AU296" s="256"/>
      <c r="AV296" s="256"/>
      <c r="AW296" s="256"/>
      <c r="AX296" s="256"/>
      <c r="AY296" s="256"/>
      <c r="AZ296" s="256"/>
      <c r="BA296" s="256"/>
      <c r="BB296" s="256"/>
      <c r="BC296" s="256"/>
      <c r="BD296" s="256"/>
      <c r="BE296" s="256"/>
      <c r="BF296" s="256"/>
      <c r="BG296" s="256"/>
      <c r="BH296" s="256"/>
      <c r="BI296" s="256"/>
      <c r="BJ296" s="256"/>
      <c r="BK296" s="256"/>
      <c r="BL296" s="256"/>
      <c r="BM296" s="256"/>
      <c r="BN296" s="256"/>
      <c r="BO296" s="256"/>
      <c r="BP296" s="256"/>
      <c r="BQ296" s="256"/>
      <c r="BR296" s="256"/>
      <c r="BS296" s="256"/>
      <c r="BT296" s="256"/>
      <c r="BU296" s="256"/>
      <c r="BV296" s="256"/>
      <c r="BW296" s="256"/>
      <c r="BX296" s="256"/>
      <c r="BY296" s="256"/>
      <c r="BZ296" s="256"/>
    </row>
    <row r="297" spans="1:78">
      <c r="A297" s="449"/>
      <c r="B297" s="522"/>
      <c r="C297" s="427"/>
      <c r="D297" s="427"/>
      <c r="E297" s="427"/>
      <c r="F297" s="256"/>
      <c r="G297" s="256"/>
      <c r="H297" s="256"/>
      <c r="I297" s="256"/>
      <c r="J297" s="256"/>
      <c r="K297" s="256"/>
      <c r="L297" s="256"/>
      <c r="M297" s="256"/>
      <c r="N297" s="256"/>
      <c r="O297" s="256"/>
      <c r="P297" s="256"/>
      <c r="Q297" s="256"/>
      <c r="R297" s="256"/>
      <c r="S297" s="256"/>
      <c r="T297" s="256"/>
      <c r="U297" s="256"/>
      <c r="V297" s="256"/>
      <c r="W297" s="256"/>
      <c r="X297" s="256"/>
      <c r="Y297" s="256"/>
      <c r="Z297" s="256"/>
      <c r="AA297" s="256"/>
      <c r="AB297" s="256"/>
      <c r="AC297" s="256"/>
      <c r="AD297" s="256"/>
      <c r="AE297" s="256"/>
      <c r="AF297" s="256"/>
      <c r="AG297" s="256"/>
      <c r="AH297" s="256"/>
      <c r="AI297" s="256"/>
      <c r="AJ297" s="256"/>
      <c r="AK297" s="256"/>
      <c r="AL297" s="256"/>
      <c r="AM297" s="256"/>
      <c r="AN297" s="256"/>
      <c r="AO297" s="256"/>
      <c r="AP297" s="256"/>
      <c r="AQ297" s="256"/>
      <c r="AR297" s="256"/>
      <c r="AS297" s="256"/>
      <c r="AT297" s="256"/>
      <c r="AU297" s="256"/>
      <c r="AV297" s="256"/>
      <c r="AW297" s="256"/>
      <c r="AX297" s="256"/>
      <c r="AY297" s="256"/>
      <c r="AZ297" s="256"/>
      <c r="BA297" s="256"/>
      <c r="BB297" s="256"/>
      <c r="BC297" s="256"/>
      <c r="BD297" s="256"/>
      <c r="BE297" s="256"/>
      <c r="BF297" s="256"/>
      <c r="BG297" s="256"/>
      <c r="BH297" s="256"/>
      <c r="BI297" s="256"/>
      <c r="BJ297" s="256"/>
      <c r="BK297" s="256"/>
      <c r="BL297" s="256"/>
      <c r="BM297" s="256"/>
      <c r="BN297" s="256"/>
      <c r="BO297" s="256"/>
      <c r="BP297" s="256"/>
      <c r="BQ297" s="256"/>
      <c r="BR297" s="256"/>
      <c r="BS297" s="256"/>
      <c r="BT297" s="256"/>
      <c r="BU297" s="256"/>
      <c r="BV297" s="256"/>
      <c r="BW297" s="256"/>
      <c r="BX297" s="256"/>
      <c r="BY297" s="256"/>
      <c r="BZ297" s="256"/>
    </row>
    <row r="298" spans="1:78" ht="16" thickBot="1">
      <c r="A298" s="428" t="s">
        <v>187</v>
      </c>
      <c r="B298" s="523"/>
      <c r="C298" s="430"/>
      <c r="D298" s="430"/>
      <c r="E298" s="430"/>
      <c r="F298" s="430"/>
      <c r="G298" s="430"/>
      <c r="H298" s="430"/>
      <c r="I298" s="430"/>
      <c r="J298" s="430"/>
      <c r="K298" s="430"/>
      <c r="L298" s="430"/>
      <c r="M298" s="256"/>
      <c r="N298" s="256"/>
      <c r="O298" s="256"/>
      <c r="P298" s="256"/>
      <c r="Q298" s="256"/>
      <c r="R298" s="256"/>
      <c r="S298" s="256"/>
      <c r="T298" s="256"/>
      <c r="U298" s="256"/>
      <c r="V298" s="256"/>
      <c r="W298" s="256"/>
      <c r="X298" s="256"/>
      <c r="Y298" s="256"/>
      <c r="Z298" s="256"/>
      <c r="AA298" s="256"/>
      <c r="AB298" s="256"/>
      <c r="AC298" s="256"/>
      <c r="AD298" s="256"/>
      <c r="AE298" s="256"/>
      <c r="AF298" s="256"/>
      <c r="AG298" s="256"/>
      <c r="AH298" s="256"/>
      <c r="AI298" s="256"/>
      <c r="AJ298" s="256"/>
      <c r="AK298" s="256"/>
      <c r="AL298" s="256"/>
      <c r="AM298" s="256"/>
      <c r="AN298" s="256"/>
      <c r="AO298" s="256"/>
      <c r="AP298" s="256"/>
      <c r="AQ298" s="256"/>
      <c r="AR298" s="256"/>
      <c r="AS298" s="256"/>
      <c r="AT298" s="256"/>
      <c r="AU298" s="256"/>
      <c r="AV298" s="256"/>
      <c r="AW298" s="256"/>
      <c r="AX298" s="256"/>
      <c r="AY298" s="256"/>
      <c r="AZ298" s="256"/>
      <c r="BA298" s="256"/>
      <c r="BB298" s="256"/>
      <c r="BC298" s="256"/>
      <c r="BD298" s="256"/>
      <c r="BE298" s="256"/>
      <c r="BF298" s="256"/>
      <c r="BG298" s="256"/>
      <c r="BH298" s="256"/>
      <c r="BI298" s="256"/>
      <c r="BJ298" s="256"/>
      <c r="BK298" s="256"/>
      <c r="BL298" s="256"/>
      <c r="BM298" s="256"/>
      <c r="BN298" s="256"/>
      <c r="BO298" s="256"/>
      <c r="BP298" s="256"/>
      <c r="BQ298" s="256"/>
      <c r="BR298" s="256"/>
      <c r="BS298" s="256"/>
      <c r="BT298" s="256"/>
      <c r="BU298" s="256"/>
      <c r="BV298" s="256"/>
      <c r="BW298" s="256"/>
      <c r="BX298" s="256"/>
      <c r="BY298" s="256"/>
      <c r="BZ298" s="256"/>
    </row>
    <row r="299" spans="1:78" ht="15" thickBot="1">
      <c r="A299" s="431" t="s">
        <v>51</v>
      </c>
      <c r="B299" s="432">
        <v>2000</v>
      </c>
      <c r="C299" s="432">
        <v>2015</v>
      </c>
      <c r="D299" s="432">
        <v>2020</v>
      </c>
      <c r="E299" s="432">
        <v>2025</v>
      </c>
      <c r="F299" s="432">
        <v>2030</v>
      </c>
      <c r="G299" s="432">
        <v>2050</v>
      </c>
      <c r="H299" s="452" t="s">
        <v>98</v>
      </c>
      <c r="I299" s="453" t="s">
        <v>99</v>
      </c>
      <c r="J299" s="453" t="s">
        <v>100</v>
      </c>
      <c r="K299" s="453" t="s">
        <v>101</v>
      </c>
      <c r="L299" s="454" t="s">
        <v>384</v>
      </c>
      <c r="M299" s="256"/>
      <c r="N299" s="256"/>
      <c r="O299" s="256"/>
      <c r="P299" s="256"/>
      <c r="Q299" s="256"/>
      <c r="R299" s="256"/>
      <c r="S299" s="256"/>
      <c r="T299" s="256"/>
      <c r="U299" s="256"/>
      <c r="V299" s="256"/>
      <c r="W299" s="256"/>
      <c r="X299" s="256"/>
      <c r="Y299" s="256"/>
      <c r="Z299" s="256"/>
      <c r="AA299" s="256"/>
      <c r="AB299" s="256"/>
      <c r="AC299" s="256"/>
      <c r="AD299" s="256"/>
      <c r="AE299" s="256"/>
      <c r="AF299" s="256"/>
      <c r="AG299" s="256"/>
      <c r="AH299" s="256"/>
      <c r="AI299" s="256"/>
      <c r="AJ299" s="256"/>
      <c r="AK299" s="256"/>
      <c r="AL299" s="256"/>
      <c r="AM299" s="256"/>
      <c r="AN299" s="256"/>
      <c r="AO299" s="256"/>
      <c r="AP299" s="256"/>
      <c r="AQ299" s="256"/>
      <c r="AR299" s="256"/>
      <c r="AS299" s="256"/>
      <c r="AT299" s="256"/>
      <c r="AU299" s="256"/>
      <c r="AV299" s="256"/>
      <c r="AW299" s="256"/>
      <c r="AX299" s="256"/>
      <c r="AY299" s="256"/>
      <c r="AZ299" s="256"/>
      <c r="BA299" s="256"/>
      <c r="BB299" s="256"/>
      <c r="BC299" s="256"/>
      <c r="BD299" s="256"/>
      <c r="BE299" s="256"/>
      <c r="BF299" s="256"/>
      <c r="BG299" s="256"/>
      <c r="BH299" s="256"/>
      <c r="BI299" s="256"/>
      <c r="BJ299" s="256"/>
      <c r="BK299" s="256"/>
      <c r="BL299" s="256"/>
      <c r="BM299" s="256"/>
      <c r="BN299" s="256"/>
      <c r="BO299" s="256"/>
      <c r="BP299" s="256"/>
      <c r="BQ299" s="256"/>
      <c r="BR299" s="256"/>
      <c r="BS299" s="256"/>
      <c r="BT299" s="256"/>
      <c r="BU299" s="256"/>
      <c r="BV299" s="256"/>
      <c r="BW299" s="256"/>
      <c r="BX299" s="256"/>
      <c r="BY299" s="256"/>
      <c r="BZ299" s="256"/>
    </row>
    <row r="300" spans="1:78">
      <c r="A300" s="510" t="s">
        <v>188</v>
      </c>
      <c r="B300" s="436">
        <v>24.0273</v>
      </c>
      <c r="C300" s="436">
        <v>23.461400000000001</v>
      </c>
      <c r="D300" s="436">
        <v>22.6571</v>
      </c>
      <c r="E300" s="436">
        <v>21.686900000000001</v>
      </c>
      <c r="F300" s="436">
        <v>20.764600000000002</v>
      </c>
      <c r="G300" s="436">
        <v>18.468</v>
      </c>
      <c r="H300" s="456">
        <v>-1.58768272254539E-3</v>
      </c>
      <c r="I300" s="457">
        <v>-6.9523694561535202E-3</v>
      </c>
      <c r="J300" s="457">
        <v>-8.7147796291577907E-3</v>
      </c>
      <c r="K300" s="457">
        <v>-8.6540914747326204E-3</v>
      </c>
      <c r="L300" s="458">
        <v>-5.8433661893037003E-3</v>
      </c>
      <c r="M300" s="256"/>
      <c r="N300" s="256"/>
      <c r="O300" s="256"/>
      <c r="P300" s="256"/>
      <c r="Q300" s="256"/>
      <c r="R300" s="256"/>
      <c r="S300" s="256"/>
      <c r="T300" s="256"/>
      <c r="U300" s="256"/>
      <c r="V300" s="256"/>
      <c r="W300" s="256"/>
      <c r="X300" s="256"/>
      <c r="Y300" s="256"/>
      <c r="Z300" s="256"/>
      <c r="AA300" s="256"/>
      <c r="AB300" s="256"/>
      <c r="AC300" s="256"/>
      <c r="AD300" s="256"/>
      <c r="AE300" s="256"/>
      <c r="AF300" s="256"/>
      <c r="AG300" s="256"/>
      <c r="AH300" s="256"/>
      <c r="AI300" s="256"/>
      <c r="AJ300" s="256"/>
      <c r="AK300" s="256"/>
      <c r="AL300" s="256"/>
      <c r="AM300" s="256"/>
      <c r="AN300" s="256"/>
      <c r="AO300" s="256"/>
      <c r="AP300" s="256"/>
      <c r="AQ300" s="256"/>
      <c r="AR300" s="256"/>
      <c r="AS300" s="256"/>
      <c r="AT300" s="256"/>
      <c r="AU300" s="256"/>
      <c r="AV300" s="256"/>
      <c r="AW300" s="256"/>
      <c r="AX300" s="256"/>
      <c r="AY300" s="256"/>
      <c r="AZ300" s="256"/>
      <c r="BA300" s="256"/>
      <c r="BB300" s="256"/>
      <c r="BC300" s="256"/>
      <c r="BD300" s="256"/>
      <c r="BE300" s="256"/>
      <c r="BF300" s="256"/>
      <c r="BG300" s="256"/>
      <c r="BH300" s="256"/>
      <c r="BI300" s="256"/>
      <c r="BJ300" s="256"/>
      <c r="BK300" s="256"/>
      <c r="BL300" s="256"/>
      <c r="BM300" s="256"/>
      <c r="BN300" s="256"/>
      <c r="BO300" s="256"/>
      <c r="BP300" s="256"/>
      <c r="BQ300" s="256"/>
      <c r="BR300" s="256"/>
      <c r="BS300" s="256"/>
      <c r="BT300" s="256"/>
      <c r="BU300" s="256"/>
      <c r="BV300" s="256"/>
      <c r="BW300" s="256"/>
      <c r="BX300" s="256"/>
      <c r="BY300" s="256"/>
      <c r="BZ300" s="256"/>
    </row>
    <row r="301" spans="1:78">
      <c r="A301" s="435" t="s">
        <v>177</v>
      </c>
      <c r="B301" s="455">
        <v>13.3986</v>
      </c>
      <c r="C301" s="455">
        <v>6.5430999999999999</v>
      </c>
      <c r="D301" s="455">
        <v>6.0305999999999997</v>
      </c>
      <c r="E301" s="455">
        <v>5.7404999999999999</v>
      </c>
      <c r="F301" s="455">
        <v>5.0959000000000003</v>
      </c>
      <c r="G301" s="455">
        <v>2.8450000000000002</v>
      </c>
      <c r="H301" s="461">
        <v>-4.6658989573450098E-2</v>
      </c>
      <c r="I301" s="462">
        <v>-1.6180575247603999E-2</v>
      </c>
      <c r="J301" s="462">
        <v>-9.8115879359933506E-3</v>
      </c>
      <c r="K301" s="462">
        <v>-2.3540499767392E-2</v>
      </c>
      <c r="L301" s="463">
        <v>-2.8723080523118099E-2</v>
      </c>
      <c r="M301" s="256"/>
      <c r="N301" s="256"/>
      <c r="O301" s="256"/>
      <c r="P301" s="256"/>
      <c r="Q301" s="256"/>
      <c r="R301" s="256"/>
      <c r="S301" s="256"/>
      <c r="T301" s="256"/>
      <c r="U301" s="256"/>
      <c r="V301" s="256"/>
      <c r="W301" s="256"/>
      <c r="X301" s="256"/>
      <c r="Y301" s="256"/>
      <c r="Z301" s="256"/>
      <c r="AA301" s="256"/>
      <c r="AB301" s="256"/>
      <c r="AC301" s="256"/>
      <c r="AD301" s="256"/>
      <c r="AE301" s="256"/>
      <c r="AF301" s="256"/>
      <c r="AG301" s="256"/>
      <c r="AH301" s="256"/>
      <c r="AI301" s="256"/>
      <c r="AJ301" s="256"/>
      <c r="AK301" s="256"/>
      <c r="AL301" s="256"/>
      <c r="AM301" s="256"/>
      <c r="AN301" s="256"/>
      <c r="AO301" s="256"/>
      <c r="AP301" s="256"/>
      <c r="AQ301" s="256"/>
      <c r="AR301" s="256"/>
      <c r="AS301" s="256"/>
      <c r="AT301" s="256"/>
      <c r="AU301" s="256"/>
      <c r="AV301" s="256"/>
      <c r="AW301" s="256"/>
      <c r="AX301" s="256"/>
      <c r="AY301" s="256"/>
      <c r="AZ301" s="256"/>
      <c r="BA301" s="256"/>
      <c r="BB301" s="256"/>
      <c r="BC301" s="256"/>
      <c r="BD301" s="256"/>
      <c r="BE301" s="256"/>
      <c r="BF301" s="256"/>
      <c r="BG301" s="256"/>
      <c r="BH301" s="256"/>
      <c r="BI301" s="256"/>
      <c r="BJ301" s="256"/>
      <c r="BK301" s="256"/>
      <c r="BL301" s="256"/>
      <c r="BM301" s="256"/>
      <c r="BN301" s="256"/>
      <c r="BO301" s="256"/>
      <c r="BP301" s="256"/>
      <c r="BQ301" s="256"/>
      <c r="BR301" s="256"/>
      <c r="BS301" s="256"/>
      <c r="BT301" s="256"/>
      <c r="BU301" s="256"/>
      <c r="BV301" s="256"/>
      <c r="BW301" s="256"/>
      <c r="BX301" s="256"/>
      <c r="BY301" s="256"/>
      <c r="BZ301" s="256"/>
    </row>
    <row r="302" spans="1:78">
      <c r="A302" s="435" t="s">
        <v>178</v>
      </c>
      <c r="B302" s="455">
        <v>10.4703</v>
      </c>
      <c r="C302" s="455">
        <v>16.771000000000001</v>
      </c>
      <c r="D302" s="455">
        <v>16.402799999999999</v>
      </c>
      <c r="E302" s="455">
        <v>15.5016</v>
      </c>
      <c r="F302" s="455">
        <v>14.972300000000001</v>
      </c>
      <c r="G302" s="455">
        <v>13.1013</v>
      </c>
      <c r="H302" s="461">
        <v>3.1905646537125701E-2</v>
      </c>
      <c r="I302" s="462">
        <v>-4.4299889998889999E-3</v>
      </c>
      <c r="J302" s="462">
        <v>-1.1238136522470001E-2</v>
      </c>
      <c r="K302" s="462">
        <v>-6.9241999225698701E-3</v>
      </c>
      <c r="L302" s="463">
        <v>-6.6522931437719103E-3</v>
      </c>
      <c r="M302" s="256"/>
      <c r="N302" s="256"/>
      <c r="O302" s="256"/>
      <c r="P302" s="256"/>
      <c r="Q302" s="256"/>
      <c r="R302" s="256"/>
      <c r="S302" s="256"/>
      <c r="T302" s="256"/>
      <c r="U302" s="256"/>
      <c r="V302" s="256"/>
      <c r="W302" s="256"/>
      <c r="X302" s="256"/>
      <c r="Y302" s="256"/>
      <c r="Z302" s="256"/>
      <c r="AA302" s="256"/>
      <c r="AB302" s="256"/>
      <c r="AC302" s="256"/>
      <c r="AD302" s="256"/>
      <c r="AE302" s="256"/>
      <c r="AF302" s="256"/>
      <c r="AG302" s="256"/>
      <c r="AH302" s="256"/>
      <c r="AI302" s="256"/>
      <c r="AJ302" s="256"/>
      <c r="AK302" s="256"/>
      <c r="AL302" s="256"/>
      <c r="AM302" s="256"/>
      <c r="AN302" s="256"/>
      <c r="AO302" s="256"/>
      <c r="AP302" s="256"/>
      <c r="AQ302" s="256"/>
      <c r="AR302" s="256"/>
      <c r="AS302" s="256"/>
      <c r="AT302" s="256"/>
      <c r="AU302" s="256"/>
      <c r="AV302" s="256"/>
      <c r="AW302" s="256"/>
      <c r="AX302" s="256"/>
      <c r="AY302" s="256"/>
      <c r="AZ302" s="256"/>
      <c r="BA302" s="256"/>
      <c r="BB302" s="256"/>
      <c r="BC302" s="256"/>
      <c r="BD302" s="256"/>
      <c r="BE302" s="256"/>
      <c r="BF302" s="256"/>
      <c r="BG302" s="256"/>
      <c r="BH302" s="256"/>
      <c r="BI302" s="256"/>
      <c r="BJ302" s="256"/>
      <c r="BK302" s="256"/>
      <c r="BL302" s="256"/>
      <c r="BM302" s="256"/>
      <c r="BN302" s="256"/>
      <c r="BO302" s="256"/>
      <c r="BP302" s="256"/>
      <c r="BQ302" s="256"/>
      <c r="BR302" s="256"/>
      <c r="BS302" s="256"/>
      <c r="BT302" s="256"/>
      <c r="BU302" s="256"/>
      <c r="BV302" s="256"/>
      <c r="BW302" s="256"/>
      <c r="BX302" s="256"/>
      <c r="BY302" s="256"/>
      <c r="BZ302" s="256"/>
    </row>
    <row r="303" spans="1:78">
      <c r="A303" s="435" t="s">
        <v>180</v>
      </c>
      <c r="B303" s="455">
        <v>0.15840000000000001</v>
      </c>
      <c r="C303" s="455">
        <v>0.1298</v>
      </c>
      <c r="D303" s="455">
        <v>0.13150000000000001</v>
      </c>
      <c r="E303" s="455">
        <v>0.13489999999999999</v>
      </c>
      <c r="F303" s="455">
        <v>5.0000000000000001E-4</v>
      </c>
      <c r="G303" s="455">
        <v>-1E-4</v>
      </c>
      <c r="H303" s="461">
        <v>-1.31875175724918E-2</v>
      </c>
      <c r="I303" s="462">
        <v>2.6057986764866899E-3</v>
      </c>
      <c r="J303" s="462">
        <v>5.1184369903980497E-3</v>
      </c>
      <c r="K303" s="462">
        <v>-0.67356883803888701</v>
      </c>
      <c r="L303" s="463" t="e">
        <f>#NUM!</f>
        <v>#NUM!</v>
      </c>
      <c r="M303" s="256"/>
      <c r="N303" s="256"/>
      <c r="O303" s="256"/>
      <c r="P303" s="256"/>
      <c r="Q303" s="256"/>
      <c r="R303" s="256"/>
      <c r="S303" s="256"/>
      <c r="T303" s="256"/>
      <c r="U303" s="256"/>
      <c r="V303" s="256"/>
      <c r="W303" s="256"/>
      <c r="X303" s="256"/>
      <c r="Y303" s="256"/>
      <c r="Z303" s="256"/>
      <c r="AA303" s="256"/>
      <c r="AB303" s="256"/>
      <c r="AC303" s="256"/>
      <c r="AD303" s="256"/>
      <c r="AE303" s="256"/>
      <c r="AF303" s="256"/>
      <c r="AG303" s="256"/>
      <c r="AH303" s="256"/>
      <c r="AI303" s="256"/>
      <c r="AJ303" s="256"/>
      <c r="AK303" s="256"/>
      <c r="AL303" s="256"/>
      <c r="AM303" s="256"/>
      <c r="AN303" s="256"/>
      <c r="AO303" s="256"/>
      <c r="AP303" s="256"/>
      <c r="AQ303" s="256"/>
      <c r="AR303" s="256"/>
      <c r="AS303" s="256"/>
      <c r="AT303" s="256"/>
      <c r="AU303" s="256"/>
      <c r="AV303" s="256"/>
      <c r="AW303" s="256"/>
      <c r="AX303" s="256"/>
      <c r="AY303" s="256"/>
      <c r="AZ303" s="256"/>
      <c r="BA303" s="256"/>
      <c r="BB303" s="256"/>
      <c r="BC303" s="256"/>
      <c r="BD303" s="256"/>
      <c r="BE303" s="256"/>
      <c r="BF303" s="256"/>
      <c r="BG303" s="256"/>
      <c r="BH303" s="256"/>
      <c r="BI303" s="256"/>
      <c r="BJ303" s="256"/>
      <c r="BK303" s="256"/>
      <c r="BL303" s="256"/>
      <c r="BM303" s="256"/>
      <c r="BN303" s="256"/>
      <c r="BO303" s="256"/>
      <c r="BP303" s="256"/>
      <c r="BQ303" s="256"/>
      <c r="BR303" s="256"/>
      <c r="BS303" s="256"/>
      <c r="BT303" s="256"/>
      <c r="BU303" s="256"/>
      <c r="BV303" s="256"/>
      <c r="BW303" s="256"/>
      <c r="BX303" s="256"/>
      <c r="BY303" s="256"/>
      <c r="BZ303" s="256"/>
    </row>
    <row r="304" spans="1:78">
      <c r="A304" s="435" t="s">
        <v>181</v>
      </c>
      <c r="B304" s="455">
        <v>0</v>
      </c>
      <c r="C304" s="455">
        <v>0</v>
      </c>
      <c r="D304" s="455">
        <v>0</v>
      </c>
      <c r="E304" s="455">
        <v>0</v>
      </c>
      <c r="F304" s="455">
        <v>0</v>
      </c>
      <c r="G304" s="455">
        <v>0</v>
      </c>
      <c r="H304" s="461"/>
      <c r="I304" s="462"/>
      <c r="J304" s="462"/>
      <c r="K304" s="462"/>
      <c r="L304" s="463"/>
      <c r="M304" s="256"/>
      <c r="N304" s="256"/>
      <c r="O304" s="256"/>
      <c r="P304" s="256"/>
      <c r="Q304" s="256"/>
      <c r="R304" s="256"/>
      <c r="S304" s="256"/>
      <c r="T304" s="256"/>
      <c r="U304" s="256"/>
      <c r="V304" s="256"/>
      <c r="W304" s="256"/>
      <c r="X304" s="256"/>
      <c r="Y304" s="256"/>
      <c r="Z304" s="256"/>
      <c r="AA304" s="256"/>
      <c r="AB304" s="256"/>
      <c r="AC304" s="256"/>
      <c r="AD304" s="256"/>
      <c r="AE304" s="256"/>
      <c r="AF304" s="256"/>
      <c r="AG304" s="256"/>
      <c r="AH304" s="256"/>
      <c r="AI304" s="256"/>
      <c r="AJ304" s="256"/>
      <c r="AK304" s="256"/>
      <c r="AL304" s="256"/>
      <c r="AM304" s="256"/>
      <c r="AN304" s="256"/>
      <c r="AO304" s="256"/>
      <c r="AP304" s="256"/>
      <c r="AQ304" s="256"/>
      <c r="AR304" s="256"/>
      <c r="AS304" s="256"/>
      <c r="AT304" s="256"/>
      <c r="AU304" s="256"/>
      <c r="AV304" s="256"/>
      <c r="AW304" s="256"/>
      <c r="AX304" s="256"/>
      <c r="AY304" s="256"/>
      <c r="AZ304" s="256"/>
      <c r="BA304" s="256"/>
      <c r="BB304" s="256"/>
      <c r="BC304" s="256"/>
      <c r="BD304" s="256"/>
      <c r="BE304" s="256"/>
      <c r="BF304" s="256"/>
      <c r="BG304" s="256"/>
      <c r="BH304" s="256"/>
      <c r="BI304" s="256"/>
      <c r="BJ304" s="256"/>
      <c r="BK304" s="256"/>
      <c r="BL304" s="256"/>
      <c r="BM304" s="256"/>
      <c r="BN304" s="256"/>
      <c r="BO304" s="256"/>
      <c r="BP304" s="256"/>
      <c r="BQ304" s="256"/>
      <c r="BR304" s="256"/>
      <c r="BS304" s="256"/>
      <c r="BT304" s="256"/>
      <c r="BU304" s="256"/>
      <c r="BV304" s="256"/>
      <c r="BW304" s="256"/>
      <c r="BX304" s="256"/>
      <c r="BY304" s="256"/>
      <c r="BZ304" s="256"/>
    </row>
    <row r="305" spans="1:78">
      <c r="A305" s="435" t="s">
        <v>109</v>
      </c>
      <c r="B305" s="455">
        <v>0</v>
      </c>
      <c r="C305" s="455">
        <v>0</v>
      </c>
      <c r="D305" s="455">
        <v>0</v>
      </c>
      <c r="E305" s="455">
        <v>0</v>
      </c>
      <c r="F305" s="455">
        <v>0</v>
      </c>
      <c r="G305" s="455">
        <v>0</v>
      </c>
      <c r="H305" s="461"/>
      <c r="I305" s="462"/>
      <c r="J305" s="462"/>
      <c r="K305" s="462"/>
      <c r="L305" s="463"/>
      <c r="M305" s="256"/>
      <c r="N305" s="256"/>
      <c r="O305" s="256"/>
      <c r="P305" s="256"/>
      <c r="Q305" s="256"/>
      <c r="R305" s="256"/>
      <c r="S305" s="256"/>
      <c r="T305" s="256"/>
      <c r="U305" s="256"/>
      <c r="V305" s="256"/>
      <c r="W305" s="256"/>
      <c r="X305" s="256"/>
      <c r="Y305" s="256"/>
      <c r="Z305" s="256"/>
      <c r="AA305" s="256"/>
      <c r="AB305" s="256"/>
      <c r="AC305" s="256"/>
      <c r="AD305" s="256"/>
      <c r="AE305" s="256"/>
      <c r="AF305" s="256"/>
      <c r="AG305" s="256"/>
      <c r="AH305" s="256"/>
      <c r="AI305" s="256"/>
      <c r="AJ305" s="256"/>
      <c r="AK305" s="256"/>
      <c r="AL305" s="256"/>
      <c r="AM305" s="256"/>
      <c r="AN305" s="256"/>
      <c r="AO305" s="256"/>
      <c r="AP305" s="256"/>
      <c r="AQ305" s="256"/>
      <c r="AR305" s="256"/>
      <c r="AS305" s="256"/>
      <c r="AT305" s="256"/>
      <c r="AU305" s="256"/>
      <c r="AV305" s="256"/>
      <c r="AW305" s="256"/>
      <c r="AX305" s="256"/>
      <c r="AY305" s="256"/>
      <c r="AZ305" s="256"/>
      <c r="BA305" s="256"/>
      <c r="BB305" s="256"/>
      <c r="BC305" s="256"/>
      <c r="BD305" s="256"/>
      <c r="BE305" s="256"/>
      <c r="BF305" s="256"/>
      <c r="BG305" s="256"/>
      <c r="BH305" s="256"/>
      <c r="BI305" s="256"/>
      <c r="BJ305" s="256"/>
      <c r="BK305" s="256"/>
      <c r="BL305" s="256"/>
      <c r="BM305" s="256"/>
      <c r="BN305" s="256"/>
      <c r="BO305" s="256"/>
      <c r="BP305" s="256"/>
      <c r="BQ305" s="256"/>
      <c r="BR305" s="256"/>
      <c r="BS305" s="256"/>
      <c r="BT305" s="256"/>
      <c r="BU305" s="256"/>
      <c r="BV305" s="256"/>
      <c r="BW305" s="256"/>
      <c r="BX305" s="256"/>
      <c r="BY305" s="256"/>
      <c r="BZ305" s="256"/>
    </row>
    <row r="306" spans="1:78">
      <c r="A306" s="435" t="s">
        <v>104</v>
      </c>
      <c r="B306" s="455">
        <v>0</v>
      </c>
      <c r="C306" s="455">
        <v>1.7500000000000002E-2</v>
      </c>
      <c r="D306" s="455">
        <v>9.2200000000000004E-2</v>
      </c>
      <c r="E306" s="455">
        <v>0.30990000000000001</v>
      </c>
      <c r="F306" s="455">
        <v>0.69589999999999996</v>
      </c>
      <c r="G306" s="455">
        <v>2.5217999999999998</v>
      </c>
      <c r="H306" s="461"/>
      <c r="I306" s="462"/>
      <c r="J306" s="462"/>
      <c r="K306" s="462"/>
      <c r="L306" s="463"/>
      <c r="M306" s="256"/>
      <c r="N306" s="256"/>
      <c r="O306" s="256"/>
      <c r="P306" s="256"/>
      <c r="Q306" s="256"/>
      <c r="R306" s="256"/>
      <c r="S306" s="256"/>
      <c r="T306" s="256"/>
      <c r="U306" s="256"/>
      <c r="V306" s="256"/>
      <c r="W306" s="256"/>
      <c r="X306" s="256"/>
      <c r="Y306" s="256"/>
      <c r="Z306" s="256"/>
      <c r="AA306" s="256"/>
      <c r="AB306" s="256"/>
      <c r="AC306" s="256"/>
      <c r="AD306" s="256"/>
      <c r="AE306" s="256"/>
      <c r="AF306" s="256"/>
      <c r="AG306" s="256"/>
      <c r="AH306" s="256"/>
      <c r="AI306" s="256"/>
      <c r="AJ306" s="256"/>
      <c r="AK306" s="256"/>
      <c r="AL306" s="256"/>
      <c r="AM306" s="256"/>
      <c r="AN306" s="256"/>
      <c r="AO306" s="256"/>
      <c r="AP306" s="256"/>
      <c r="AQ306" s="256"/>
      <c r="AR306" s="256"/>
      <c r="AS306" s="256"/>
      <c r="AT306" s="256"/>
      <c r="AU306" s="256"/>
      <c r="AV306" s="256"/>
      <c r="AW306" s="256"/>
      <c r="AX306" s="256"/>
      <c r="AY306" s="256"/>
      <c r="AZ306" s="256"/>
      <c r="BA306" s="256"/>
      <c r="BB306" s="256"/>
      <c r="BC306" s="256"/>
      <c r="BD306" s="256"/>
      <c r="BE306" s="256"/>
      <c r="BF306" s="256"/>
      <c r="BG306" s="256"/>
      <c r="BH306" s="256"/>
      <c r="BI306" s="256"/>
      <c r="BJ306" s="256"/>
      <c r="BK306" s="256"/>
      <c r="BL306" s="256"/>
      <c r="BM306" s="256"/>
      <c r="BN306" s="256"/>
      <c r="BO306" s="256"/>
      <c r="BP306" s="256"/>
      <c r="BQ306" s="256"/>
      <c r="BR306" s="256"/>
      <c r="BS306" s="256"/>
      <c r="BT306" s="256"/>
      <c r="BU306" s="256"/>
      <c r="BV306" s="256"/>
      <c r="BW306" s="256"/>
      <c r="BX306" s="256"/>
      <c r="BY306" s="256"/>
      <c r="BZ306" s="256"/>
    </row>
    <row r="307" spans="1:78">
      <c r="A307" s="435"/>
      <c r="B307" s="436"/>
      <c r="C307" s="436"/>
      <c r="D307" s="436"/>
      <c r="E307" s="436"/>
      <c r="F307" s="436"/>
      <c r="G307" s="491"/>
      <c r="H307" s="461"/>
      <c r="I307" s="462"/>
      <c r="J307" s="462"/>
      <c r="K307" s="462"/>
      <c r="L307" s="463"/>
      <c r="M307" s="256"/>
      <c r="N307" s="256"/>
      <c r="O307" s="256"/>
      <c r="P307" s="256"/>
      <c r="Q307" s="256"/>
      <c r="R307" s="256"/>
      <c r="S307" s="256"/>
      <c r="T307" s="256"/>
      <c r="U307" s="256"/>
      <c r="V307" s="256"/>
      <c r="W307" s="256"/>
      <c r="X307" s="256"/>
      <c r="Y307" s="256"/>
      <c r="Z307" s="256"/>
      <c r="AA307" s="256"/>
      <c r="AB307" s="256"/>
      <c r="AC307" s="256"/>
      <c r="AD307" s="256"/>
      <c r="AE307" s="256"/>
      <c r="AF307" s="256"/>
      <c r="AG307" s="256"/>
      <c r="AH307" s="256"/>
      <c r="AI307" s="256"/>
      <c r="AJ307" s="256"/>
      <c r="AK307" s="256"/>
      <c r="AL307" s="256"/>
      <c r="AM307" s="256"/>
      <c r="AN307" s="256"/>
      <c r="AO307" s="256"/>
      <c r="AP307" s="256"/>
      <c r="AQ307" s="256"/>
      <c r="AR307" s="256"/>
      <c r="AS307" s="256"/>
      <c r="AT307" s="256"/>
      <c r="AU307" s="256"/>
      <c r="AV307" s="256"/>
      <c r="AW307" s="256"/>
      <c r="AX307" s="256"/>
      <c r="AY307" s="256"/>
      <c r="AZ307" s="256"/>
      <c r="BA307" s="256"/>
      <c r="BB307" s="256"/>
      <c r="BC307" s="256"/>
      <c r="BD307" s="256"/>
      <c r="BE307" s="256"/>
      <c r="BF307" s="256"/>
      <c r="BG307" s="256"/>
      <c r="BH307" s="256"/>
      <c r="BI307" s="256"/>
      <c r="BJ307" s="256"/>
      <c r="BK307" s="256"/>
      <c r="BL307" s="256"/>
      <c r="BM307" s="256"/>
      <c r="BN307" s="256"/>
      <c r="BO307" s="256"/>
      <c r="BP307" s="256"/>
      <c r="BQ307" s="256"/>
      <c r="BR307" s="256"/>
      <c r="BS307" s="256"/>
      <c r="BT307" s="256"/>
      <c r="BU307" s="256"/>
      <c r="BV307" s="256"/>
      <c r="BW307" s="256"/>
      <c r="BX307" s="256"/>
      <c r="BY307" s="256"/>
      <c r="BZ307" s="256"/>
    </row>
    <row r="308" spans="1:78">
      <c r="A308" s="510" t="s">
        <v>189</v>
      </c>
      <c r="B308" s="436">
        <v>14.8622</v>
      </c>
      <c r="C308" s="436">
        <v>14.641500000000001</v>
      </c>
      <c r="D308" s="436">
        <v>14.9407</v>
      </c>
      <c r="E308" s="436">
        <v>14.7842</v>
      </c>
      <c r="F308" s="436">
        <v>14.770899999999999</v>
      </c>
      <c r="G308" s="436">
        <v>16.707599999999999</v>
      </c>
      <c r="H308" s="461">
        <v>-9.9691038652360798E-4</v>
      </c>
      <c r="I308" s="462">
        <v>4.0540094321539497E-3</v>
      </c>
      <c r="J308" s="462">
        <v>-2.1037818910039099E-3</v>
      </c>
      <c r="K308" s="462">
        <v>-1.7998658709983401E-4</v>
      </c>
      <c r="L308" s="463">
        <v>6.1792470978452299E-3</v>
      </c>
      <c r="M308" s="256"/>
      <c r="N308" s="256"/>
      <c r="O308" s="256"/>
      <c r="P308" s="256"/>
      <c r="Q308" s="256"/>
      <c r="R308" s="256"/>
      <c r="S308" s="256"/>
      <c r="T308" s="256"/>
      <c r="U308" s="256"/>
      <c r="V308" s="256"/>
      <c r="W308" s="256"/>
      <c r="X308" s="256"/>
      <c r="Y308" s="256"/>
      <c r="Z308" s="256"/>
      <c r="AA308" s="256"/>
      <c r="AB308" s="256"/>
      <c r="AC308" s="256"/>
      <c r="AD308" s="256"/>
      <c r="AE308" s="256"/>
      <c r="AF308" s="256"/>
      <c r="AG308" s="256"/>
      <c r="AH308" s="256"/>
      <c r="AI308" s="256"/>
      <c r="AJ308" s="256"/>
      <c r="AK308" s="256"/>
      <c r="AL308" s="256"/>
      <c r="AM308" s="256"/>
      <c r="AN308" s="256"/>
      <c r="AO308" s="256"/>
      <c r="AP308" s="256"/>
      <c r="AQ308" s="256"/>
      <c r="AR308" s="256"/>
      <c r="AS308" s="256"/>
      <c r="AT308" s="256"/>
      <c r="AU308" s="256"/>
      <c r="AV308" s="256"/>
      <c r="AW308" s="256"/>
      <c r="AX308" s="256"/>
      <c r="AY308" s="256"/>
      <c r="AZ308" s="256"/>
      <c r="BA308" s="256"/>
      <c r="BB308" s="256"/>
      <c r="BC308" s="256"/>
      <c r="BD308" s="256"/>
      <c r="BE308" s="256"/>
      <c r="BF308" s="256"/>
      <c r="BG308" s="256"/>
      <c r="BH308" s="256"/>
      <c r="BI308" s="256"/>
      <c r="BJ308" s="256"/>
      <c r="BK308" s="256"/>
      <c r="BL308" s="256"/>
      <c r="BM308" s="256"/>
      <c r="BN308" s="256"/>
      <c r="BO308" s="256"/>
      <c r="BP308" s="256"/>
      <c r="BQ308" s="256"/>
      <c r="BR308" s="256"/>
      <c r="BS308" s="256"/>
      <c r="BT308" s="256"/>
      <c r="BU308" s="256"/>
      <c r="BV308" s="256"/>
      <c r="BW308" s="256"/>
      <c r="BX308" s="256"/>
      <c r="BY308" s="256"/>
      <c r="BZ308" s="256"/>
    </row>
    <row r="309" spans="1:78">
      <c r="A309" s="435" t="s">
        <v>177</v>
      </c>
      <c r="B309" s="455">
        <v>0.2555</v>
      </c>
      <c r="C309" s="455">
        <v>0.1265</v>
      </c>
      <c r="D309" s="455">
        <v>0.10440000000000001</v>
      </c>
      <c r="E309" s="455">
        <v>8.6099999999999996E-2</v>
      </c>
      <c r="F309" s="455">
        <v>7.0999999999999994E-2</v>
      </c>
      <c r="G309" s="455">
        <v>2.1299999999999999E-2</v>
      </c>
      <c r="H309" s="461"/>
      <c r="I309" s="462"/>
      <c r="J309" s="462"/>
      <c r="K309" s="462"/>
      <c r="L309" s="463"/>
      <c r="M309" s="256"/>
      <c r="N309" s="256"/>
      <c r="O309" s="256"/>
      <c r="P309" s="256"/>
      <c r="Q309" s="256"/>
      <c r="R309" s="256"/>
      <c r="S309" s="256"/>
      <c r="T309" s="256"/>
      <c r="U309" s="256"/>
      <c r="V309" s="256"/>
      <c r="W309" s="256"/>
      <c r="X309" s="256"/>
      <c r="Y309" s="256"/>
      <c r="Z309" s="256"/>
      <c r="AA309" s="256"/>
      <c r="AB309" s="256"/>
      <c r="AC309" s="256"/>
      <c r="AD309" s="256"/>
      <c r="AE309" s="256"/>
      <c r="AF309" s="256"/>
      <c r="AG309" s="256"/>
      <c r="AH309" s="256"/>
      <c r="AI309" s="256"/>
      <c r="AJ309" s="256"/>
      <c r="AK309" s="256"/>
      <c r="AL309" s="256"/>
      <c r="AM309" s="256"/>
      <c r="AN309" s="256"/>
      <c r="AO309" s="256"/>
      <c r="AP309" s="256"/>
      <c r="AQ309" s="256"/>
      <c r="AR309" s="256"/>
      <c r="AS309" s="256"/>
      <c r="AT309" s="256"/>
      <c r="AU309" s="256"/>
      <c r="AV309" s="256"/>
      <c r="AW309" s="256"/>
      <c r="AX309" s="256"/>
      <c r="AY309" s="256"/>
      <c r="AZ309" s="256"/>
      <c r="BA309" s="256"/>
      <c r="BB309" s="256"/>
      <c r="BC309" s="256"/>
      <c r="BD309" s="256"/>
      <c r="BE309" s="256"/>
      <c r="BF309" s="256"/>
      <c r="BG309" s="256"/>
      <c r="BH309" s="256"/>
      <c r="BI309" s="256"/>
      <c r="BJ309" s="256"/>
      <c r="BK309" s="256"/>
      <c r="BL309" s="256"/>
      <c r="BM309" s="256"/>
      <c r="BN309" s="256"/>
      <c r="BO309" s="256"/>
      <c r="BP309" s="256"/>
      <c r="BQ309" s="256"/>
      <c r="BR309" s="256"/>
      <c r="BS309" s="256"/>
      <c r="BT309" s="256"/>
      <c r="BU309" s="256"/>
      <c r="BV309" s="256"/>
      <c r="BW309" s="256"/>
      <c r="BX309" s="256"/>
      <c r="BY309" s="256"/>
      <c r="BZ309" s="256"/>
    </row>
    <row r="310" spans="1:78">
      <c r="A310" s="435" t="s">
        <v>178</v>
      </c>
      <c r="B310" s="455">
        <v>14.5566</v>
      </c>
      <c r="C310" s="455">
        <v>14.4419</v>
      </c>
      <c r="D310" s="455">
        <v>14.760999999999999</v>
      </c>
      <c r="E310" s="455">
        <v>14.6226</v>
      </c>
      <c r="F310" s="455">
        <v>14.6234</v>
      </c>
      <c r="G310" s="455">
        <v>16.6005</v>
      </c>
      <c r="H310" s="461">
        <v>-5.2724730689668298E-4</v>
      </c>
      <c r="I310" s="462">
        <v>4.3805393945668403E-3</v>
      </c>
      <c r="J310" s="462">
        <v>-1.88228437012594E-3</v>
      </c>
      <c r="K310" s="462">
        <v>1.09417270994783E-5</v>
      </c>
      <c r="L310" s="463">
        <v>6.3606349652314299E-3</v>
      </c>
      <c r="M310" s="256"/>
      <c r="N310" s="256"/>
      <c r="O310" s="256"/>
      <c r="P310" s="256"/>
      <c r="Q310" s="256"/>
      <c r="R310" s="256"/>
      <c r="S310" s="256"/>
      <c r="T310" s="256"/>
      <c r="U310" s="256"/>
      <c r="V310" s="256"/>
      <c r="W310" s="256"/>
      <c r="X310" s="256"/>
      <c r="Y310" s="256"/>
      <c r="Z310" s="256"/>
      <c r="AA310" s="256"/>
      <c r="AB310" s="256"/>
      <c r="AC310" s="256"/>
      <c r="AD310" s="256"/>
      <c r="AE310" s="256"/>
      <c r="AF310" s="256"/>
      <c r="AG310" s="256"/>
      <c r="AH310" s="256"/>
      <c r="AI310" s="256"/>
      <c r="AJ310" s="256"/>
      <c r="AK310" s="256"/>
      <c r="AL310" s="256"/>
      <c r="AM310" s="256"/>
      <c r="AN310" s="256"/>
      <c r="AO310" s="256"/>
      <c r="AP310" s="256"/>
      <c r="AQ310" s="256"/>
      <c r="AR310" s="256"/>
      <c r="AS310" s="256"/>
      <c r="AT310" s="256"/>
      <c r="AU310" s="256"/>
      <c r="AV310" s="256"/>
      <c r="AW310" s="256"/>
      <c r="AX310" s="256"/>
      <c r="AY310" s="256"/>
      <c r="AZ310" s="256"/>
      <c r="BA310" s="256"/>
      <c r="BB310" s="256"/>
      <c r="BC310" s="256"/>
      <c r="BD310" s="256"/>
      <c r="BE310" s="256"/>
      <c r="BF310" s="256"/>
      <c r="BG310" s="256"/>
      <c r="BH310" s="256"/>
      <c r="BI310" s="256"/>
      <c r="BJ310" s="256"/>
      <c r="BK310" s="256"/>
      <c r="BL310" s="256"/>
      <c r="BM310" s="256"/>
      <c r="BN310" s="256"/>
      <c r="BO310" s="256"/>
      <c r="BP310" s="256"/>
      <c r="BQ310" s="256"/>
      <c r="BR310" s="256"/>
      <c r="BS310" s="256"/>
      <c r="BT310" s="256"/>
      <c r="BU310" s="256"/>
      <c r="BV310" s="256"/>
      <c r="BW310" s="256"/>
      <c r="BX310" s="256"/>
      <c r="BY310" s="256"/>
      <c r="BZ310" s="256"/>
    </row>
    <row r="311" spans="1:78">
      <c r="A311" s="435" t="s">
        <v>180</v>
      </c>
      <c r="B311" s="455">
        <v>5.0099999999999999E-2</v>
      </c>
      <c r="C311" s="455">
        <v>2.4799999999999999E-2</v>
      </c>
      <c r="D311" s="455">
        <v>2.0500000000000001E-2</v>
      </c>
      <c r="E311" s="455">
        <v>1.6899999999999998E-2</v>
      </c>
      <c r="F311" s="455">
        <v>1.3899999999999999E-2</v>
      </c>
      <c r="G311" s="455">
        <v>4.1999999999999997E-3</v>
      </c>
      <c r="H311" s="461"/>
      <c r="I311" s="462"/>
      <c r="J311" s="462"/>
      <c r="K311" s="462"/>
      <c r="L311" s="463"/>
      <c r="M311" s="256"/>
      <c r="N311" s="256"/>
      <c r="O311" s="256"/>
      <c r="P311" s="256"/>
      <c r="Q311" s="256"/>
      <c r="R311" s="256"/>
      <c r="S311" s="256"/>
      <c r="T311" s="256"/>
      <c r="U311" s="256"/>
      <c r="V311" s="256"/>
      <c r="W311" s="256"/>
      <c r="X311" s="256"/>
      <c r="Y311" s="256"/>
      <c r="Z311" s="256"/>
      <c r="AA311" s="256"/>
      <c r="AB311" s="256"/>
      <c r="AC311" s="256"/>
      <c r="AD311" s="256"/>
      <c r="AE311" s="256"/>
      <c r="AF311" s="256"/>
      <c r="AG311" s="256"/>
      <c r="AH311" s="256"/>
      <c r="AI311" s="256"/>
      <c r="AJ311" s="256"/>
      <c r="AK311" s="256"/>
      <c r="AL311" s="256"/>
      <c r="AM311" s="256"/>
      <c r="AN311" s="256"/>
      <c r="AO311" s="256"/>
      <c r="AP311" s="256"/>
      <c r="AQ311" s="256"/>
      <c r="AR311" s="256"/>
      <c r="AS311" s="256"/>
      <c r="AT311" s="256"/>
      <c r="AU311" s="256"/>
      <c r="AV311" s="256"/>
      <c r="AW311" s="256"/>
      <c r="AX311" s="256"/>
      <c r="AY311" s="256"/>
      <c r="AZ311" s="256"/>
      <c r="BA311" s="256"/>
      <c r="BB311" s="256"/>
      <c r="BC311" s="256"/>
      <c r="BD311" s="256"/>
      <c r="BE311" s="256"/>
      <c r="BF311" s="256"/>
      <c r="BG311" s="256"/>
      <c r="BH311" s="256"/>
      <c r="BI311" s="256"/>
      <c r="BJ311" s="256"/>
      <c r="BK311" s="256"/>
      <c r="BL311" s="256"/>
      <c r="BM311" s="256"/>
      <c r="BN311" s="256"/>
      <c r="BO311" s="256"/>
      <c r="BP311" s="256"/>
      <c r="BQ311" s="256"/>
      <c r="BR311" s="256"/>
      <c r="BS311" s="256"/>
      <c r="BT311" s="256"/>
      <c r="BU311" s="256"/>
      <c r="BV311" s="256"/>
      <c r="BW311" s="256"/>
      <c r="BX311" s="256"/>
      <c r="BY311" s="256"/>
      <c r="BZ311" s="256"/>
    </row>
    <row r="312" spans="1:78">
      <c r="A312" s="435" t="s">
        <v>181</v>
      </c>
      <c r="B312" s="455">
        <v>0</v>
      </c>
      <c r="C312" s="455">
        <v>4.8300000000000003E-2</v>
      </c>
      <c r="D312" s="455">
        <v>5.4800000000000001E-2</v>
      </c>
      <c r="E312" s="455">
        <v>5.8599999999999999E-2</v>
      </c>
      <c r="F312" s="455">
        <v>6.2600000000000003E-2</v>
      </c>
      <c r="G312" s="455">
        <v>8.1600000000000006E-2</v>
      </c>
      <c r="H312" s="461"/>
      <c r="I312" s="462"/>
      <c r="J312" s="462"/>
      <c r="K312" s="462"/>
      <c r="L312" s="463"/>
      <c r="M312" s="256"/>
      <c r="N312" s="256"/>
      <c r="O312" s="256"/>
      <c r="P312" s="256"/>
      <c r="Q312" s="256"/>
      <c r="R312" s="256"/>
      <c r="S312" s="256"/>
      <c r="T312" s="256"/>
      <c r="U312" s="256"/>
      <c r="V312" s="256"/>
      <c r="W312" s="256"/>
      <c r="X312" s="256"/>
      <c r="Y312" s="256"/>
      <c r="Z312" s="256"/>
      <c r="AA312" s="256"/>
      <c r="AB312" s="256"/>
      <c r="AC312" s="256"/>
      <c r="AD312" s="256"/>
      <c r="AE312" s="256"/>
      <c r="AF312" s="256"/>
      <c r="AG312" s="256"/>
      <c r="AH312" s="256"/>
      <c r="AI312" s="256"/>
      <c r="AJ312" s="256"/>
      <c r="AK312" s="256"/>
      <c r="AL312" s="256"/>
      <c r="AM312" s="256"/>
      <c r="AN312" s="256"/>
      <c r="AO312" s="256"/>
      <c r="AP312" s="256"/>
      <c r="AQ312" s="256"/>
      <c r="AR312" s="256"/>
      <c r="AS312" s="256"/>
      <c r="AT312" s="256"/>
      <c r="AU312" s="256"/>
      <c r="AV312" s="256"/>
      <c r="AW312" s="256"/>
      <c r="AX312" s="256"/>
      <c r="AY312" s="256"/>
      <c r="AZ312" s="256"/>
      <c r="BA312" s="256"/>
      <c r="BB312" s="256"/>
      <c r="BC312" s="256"/>
      <c r="BD312" s="256"/>
      <c r="BE312" s="256"/>
      <c r="BF312" s="256"/>
      <c r="BG312" s="256"/>
      <c r="BH312" s="256"/>
      <c r="BI312" s="256"/>
      <c r="BJ312" s="256"/>
      <c r="BK312" s="256"/>
      <c r="BL312" s="256"/>
      <c r="BM312" s="256"/>
      <c r="BN312" s="256"/>
      <c r="BO312" s="256"/>
      <c r="BP312" s="256"/>
      <c r="BQ312" s="256"/>
      <c r="BR312" s="256"/>
      <c r="BS312" s="256"/>
      <c r="BT312" s="256"/>
      <c r="BU312" s="256"/>
      <c r="BV312" s="256"/>
      <c r="BW312" s="256"/>
      <c r="BX312" s="256"/>
      <c r="BY312" s="256"/>
      <c r="BZ312" s="256"/>
    </row>
    <row r="313" spans="1:78">
      <c r="A313" s="435" t="s">
        <v>109</v>
      </c>
      <c r="B313" s="455">
        <v>0</v>
      </c>
      <c r="C313" s="455">
        <v>0</v>
      </c>
      <c r="D313" s="455">
        <v>0</v>
      </c>
      <c r="E313" s="455">
        <v>0</v>
      </c>
      <c r="F313" s="455">
        <v>0</v>
      </c>
      <c r="G313" s="455">
        <v>0</v>
      </c>
      <c r="H313" s="461"/>
      <c r="I313" s="462"/>
      <c r="J313" s="462"/>
      <c r="K313" s="462"/>
      <c r="L313" s="463"/>
      <c r="M313" s="256"/>
      <c r="N313" s="256"/>
      <c r="O313" s="256"/>
      <c r="P313" s="256"/>
      <c r="Q313" s="256"/>
      <c r="R313" s="256"/>
      <c r="S313" s="256"/>
      <c r="T313" s="256"/>
      <c r="U313" s="256"/>
      <c r="V313" s="256"/>
      <c r="W313" s="256"/>
      <c r="X313" s="256"/>
      <c r="Y313" s="256"/>
      <c r="Z313" s="256"/>
      <c r="AA313" s="256"/>
      <c r="AB313" s="256"/>
      <c r="AC313" s="256"/>
      <c r="AD313" s="256"/>
      <c r="AE313" s="256"/>
      <c r="AF313" s="256"/>
      <c r="AG313" s="256"/>
      <c r="AH313" s="256"/>
      <c r="AI313" s="256"/>
      <c r="AJ313" s="256"/>
      <c r="AK313" s="256"/>
      <c r="AL313" s="256"/>
      <c r="AM313" s="256"/>
      <c r="AN313" s="256"/>
      <c r="AO313" s="256"/>
      <c r="AP313" s="256"/>
      <c r="AQ313" s="256"/>
      <c r="AR313" s="256"/>
      <c r="AS313" s="256"/>
      <c r="AT313" s="256"/>
      <c r="AU313" s="256"/>
      <c r="AV313" s="256"/>
      <c r="AW313" s="256"/>
      <c r="AX313" s="256"/>
      <c r="AY313" s="256"/>
      <c r="AZ313" s="256"/>
      <c r="BA313" s="256"/>
      <c r="BB313" s="256"/>
      <c r="BC313" s="256"/>
      <c r="BD313" s="256"/>
      <c r="BE313" s="256"/>
      <c r="BF313" s="256"/>
      <c r="BG313" s="256"/>
      <c r="BH313" s="256"/>
      <c r="BI313" s="256"/>
      <c r="BJ313" s="256"/>
      <c r="BK313" s="256"/>
      <c r="BL313" s="256"/>
      <c r="BM313" s="256"/>
      <c r="BN313" s="256"/>
      <c r="BO313" s="256"/>
      <c r="BP313" s="256"/>
      <c r="BQ313" s="256"/>
      <c r="BR313" s="256"/>
      <c r="BS313" s="256"/>
      <c r="BT313" s="256"/>
      <c r="BU313" s="256"/>
      <c r="BV313" s="256"/>
      <c r="BW313" s="256"/>
      <c r="BX313" s="256"/>
      <c r="BY313" s="256"/>
      <c r="BZ313" s="256"/>
    </row>
    <row r="314" spans="1:78">
      <c r="A314" s="435" t="s">
        <v>104</v>
      </c>
      <c r="B314" s="455">
        <v>0</v>
      </c>
      <c r="C314" s="455">
        <v>0</v>
      </c>
      <c r="D314" s="455">
        <v>0</v>
      </c>
      <c r="E314" s="455">
        <v>0</v>
      </c>
      <c r="F314" s="455">
        <v>0</v>
      </c>
      <c r="G314" s="455">
        <v>0</v>
      </c>
      <c r="H314" s="461"/>
      <c r="I314" s="462"/>
      <c r="J314" s="462"/>
      <c r="K314" s="462"/>
      <c r="L314" s="463"/>
      <c r="M314" s="256"/>
      <c r="N314" s="256"/>
      <c r="O314" s="256"/>
      <c r="P314" s="256"/>
      <c r="Q314" s="256"/>
      <c r="R314" s="256"/>
      <c r="S314" s="256"/>
      <c r="T314" s="256"/>
      <c r="U314" s="256"/>
      <c r="V314" s="256"/>
      <c r="W314" s="256"/>
      <c r="X314" s="256"/>
      <c r="Y314" s="256"/>
      <c r="Z314" s="256"/>
      <c r="AA314" s="256"/>
      <c r="AB314" s="256"/>
      <c r="AC314" s="256"/>
      <c r="AD314" s="256"/>
      <c r="AE314" s="256"/>
      <c r="AF314" s="256"/>
      <c r="AG314" s="256"/>
      <c r="AH314" s="256"/>
      <c r="AI314" s="256"/>
      <c r="AJ314" s="256"/>
      <c r="AK314" s="256"/>
      <c r="AL314" s="256"/>
      <c r="AM314" s="256"/>
      <c r="AN314" s="256"/>
      <c r="AO314" s="256"/>
      <c r="AP314" s="256"/>
      <c r="AQ314" s="256"/>
      <c r="AR314" s="256"/>
      <c r="AS314" s="256"/>
      <c r="AT314" s="256"/>
      <c r="AU314" s="256"/>
      <c r="AV314" s="256"/>
      <c r="AW314" s="256"/>
      <c r="AX314" s="256"/>
      <c r="AY314" s="256"/>
      <c r="AZ314" s="256"/>
      <c r="BA314" s="256"/>
      <c r="BB314" s="256"/>
      <c r="BC314" s="256"/>
      <c r="BD314" s="256"/>
      <c r="BE314" s="256"/>
      <c r="BF314" s="256"/>
      <c r="BG314" s="256"/>
      <c r="BH314" s="256"/>
      <c r="BI314" s="256"/>
      <c r="BJ314" s="256"/>
      <c r="BK314" s="256"/>
      <c r="BL314" s="256"/>
      <c r="BM314" s="256"/>
      <c r="BN314" s="256"/>
      <c r="BO314" s="256"/>
      <c r="BP314" s="256"/>
      <c r="BQ314" s="256"/>
      <c r="BR314" s="256"/>
      <c r="BS314" s="256"/>
      <c r="BT314" s="256"/>
      <c r="BU314" s="256"/>
      <c r="BV314" s="256"/>
      <c r="BW314" s="256"/>
      <c r="BX314" s="256"/>
      <c r="BY314" s="256"/>
      <c r="BZ314" s="256"/>
    </row>
    <row r="315" spans="1:78">
      <c r="A315" s="435"/>
      <c r="B315" s="436"/>
      <c r="C315" s="436"/>
      <c r="D315" s="436"/>
      <c r="E315" s="436"/>
      <c r="F315" s="436"/>
      <c r="G315" s="491"/>
      <c r="H315" s="461"/>
      <c r="I315" s="462"/>
      <c r="J315" s="462"/>
      <c r="K315" s="462"/>
      <c r="L315" s="463"/>
      <c r="M315" s="256"/>
      <c r="N315" s="256"/>
      <c r="O315" s="256"/>
      <c r="P315" s="256"/>
      <c r="Q315" s="256"/>
      <c r="R315" s="256"/>
      <c r="S315" s="256"/>
      <c r="T315" s="256"/>
      <c r="U315" s="256"/>
      <c r="V315" s="256"/>
      <c r="W315" s="256"/>
      <c r="X315" s="256"/>
      <c r="Y315" s="256"/>
      <c r="Z315" s="256"/>
      <c r="AA315" s="256"/>
      <c r="AB315" s="256"/>
      <c r="AC315" s="256"/>
      <c r="AD315" s="256"/>
      <c r="AE315" s="256"/>
      <c r="AF315" s="256"/>
      <c r="AG315" s="256"/>
      <c r="AH315" s="256"/>
      <c r="AI315" s="256"/>
      <c r="AJ315" s="256"/>
      <c r="AK315" s="256"/>
      <c r="AL315" s="256"/>
      <c r="AM315" s="256"/>
      <c r="AN315" s="256"/>
      <c r="AO315" s="256"/>
      <c r="AP315" s="256"/>
      <c r="AQ315" s="256"/>
      <c r="AR315" s="256"/>
      <c r="AS315" s="256"/>
      <c r="AT315" s="256"/>
      <c r="AU315" s="256"/>
      <c r="AV315" s="256"/>
      <c r="AW315" s="256"/>
      <c r="AX315" s="256"/>
      <c r="AY315" s="256"/>
      <c r="AZ315" s="256"/>
      <c r="BA315" s="256"/>
      <c r="BB315" s="256"/>
      <c r="BC315" s="256"/>
      <c r="BD315" s="256"/>
      <c r="BE315" s="256"/>
      <c r="BF315" s="256"/>
      <c r="BG315" s="256"/>
      <c r="BH315" s="256"/>
      <c r="BI315" s="256"/>
      <c r="BJ315" s="256"/>
      <c r="BK315" s="256"/>
      <c r="BL315" s="256"/>
      <c r="BM315" s="256"/>
      <c r="BN315" s="256"/>
      <c r="BO315" s="256"/>
      <c r="BP315" s="256"/>
      <c r="BQ315" s="256"/>
      <c r="BR315" s="256"/>
      <c r="BS315" s="256"/>
      <c r="BT315" s="256"/>
      <c r="BU315" s="256"/>
      <c r="BV315" s="256"/>
      <c r="BW315" s="256"/>
      <c r="BX315" s="256"/>
      <c r="BY315" s="256"/>
      <c r="BZ315" s="256"/>
    </row>
    <row r="316" spans="1:78">
      <c r="A316" s="510" t="s">
        <v>190</v>
      </c>
      <c r="B316" s="436">
        <v>0.67330000000000001</v>
      </c>
      <c r="C316" s="436">
        <v>0.92049999999999998</v>
      </c>
      <c r="D316" s="436">
        <v>1.0375000000000001</v>
      </c>
      <c r="E316" s="436">
        <v>1.0688</v>
      </c>
      <c r="F316" s="436">
        <v>1.1034999999999999</v>
      </c>
      <c r="G316" s="436">
        <v>1.2153</v>
      </c>
      <c r="H316" s="461">
        <v>2.1067246457709299E-2</v>
      </c>
      <c r="I316" s="462">
        <v>2.4219081269583699E-2</v>
      </c>
      <c r="J316" s="462">
        <v>5.9622137983643703E-3</v>
      </c>
      <c r="K316" s="462">
        <v>6.4105447308451203E-3</v>
      </c>
      <c r="L316" s="463">
        <v>4.8368606861448598E-3</v>
      </c>
      <c r="M316" s="256"/>
      <c r="N316" s="256"/>
      <c r="O316" s="256"/>
      <c r="P316" s="256"/>
      <c r="Q316" s="256"/>
      <c r="R316" s="256"/>
      <c r="S316" s="256"/>
      <c r="T316" s="256"/>
      <c r="U316" s="256"/>
      <c r="V316" s="256"/>
      <c r="W316" s="256"/>
      <c r="X316" s="256"/>
      <c r="Y316" s="256"/>
      <c r="Z316" s="256"/>
      <c r="AA316" s="256"/>
      <c r="AB316" s="256"/>
      <c r="AC316" s="256"/>
      <c r="AD316" s="256"/>
      <c r="AE316" s="256"/>
      <c r="AF316" s="256"/>
      <c r="AG316" s="256"/>
      <c r="AH316" s="256"/>
      <c r="AI316" s="256"/>
      <c r="AJ316" s="256"/>
      <c r="AK316" s="256"/>
      <c r="AL316" s="256"/>
      <c r="AM316" s="256"/>
      <c r="AN316" s="256"/>
      <c r="AO316" s="256"/>
      <c r="AP316" s="256"/>
      <c r="AQ316" s="256"/>
      <c r="AR316" s="256"/>
      <c r="AS316" s="256"/>
      <c r="AT316" s="256"/>
      <c r="AU316" s="256"/>
      <c r="AV316" s="256"/>
      <c r="AW316" s="256"/>
      <c r="AX316" s="256"/>
      <c r="AY316" s="256"/>
      <c r="AZ316" s="256"/>
      <c r="BA316" s="256"/>
      <c r="BB316" s="256"/>
      <c r="BC316" s="256"/>
      <c r="BD316" s="256"/>
      <c r="BE316" s="256"/>
      <c r="BF316" s="256"/>
      <c r="BG316" s="256"/>
      <c r="BH316" s="256"/>
      <c r="BI316" s="256"/>
      <c r="BJ316" s="256"/>
      <c r="BK316" s="256"/>
      <c r="BL316" s="256"/>
      <c r="BM316" s="256"/>
      <c r="BN316" s="256"/>
      <c r="BO316" s="256"/>
      <c r="BP316" s="256"/>
      <c r="BQ316" s="256"/>
      <c r="BR316" s="256"/>
      <c r="BS316" s="256"/>
      <c r="BT316" s="256"/>
      <c r="BU316" s="256"/>
      <c r="BV316" s="256"/>
      <c r="BW316" s="256"/>
      <c r="BX316" s="256"/>
      <c r="BY316" s="256"/>
      <c r="BZ316" s="256"/>
    </row>
    <row r="317" spans="1:78">
      <c r="A317" s="435" t="s">
        <v>177</v>
      </c>
      <c r="B317" s="455">
        <v>0</v>
      </c>
      <c r="C317" s="455">
        <v>0</v>
      </c>
      <c r="D317" s="455">
        <v>0</v>
      </c>
      <c r="E317" s="455">
        <v>0</v>
      </c>
      <c r="F317" s="455">
        <v>0</v>
      </c>
      <c r="G317" s="455">
        <v>0</v>
      </c>
      <c r="H317" s="461"/>
      <c r="I317" s="462"/>
      <c r="J317" s="462"/>
      <c r="K317" s="462"/>
      <c r="L317" s="463"/>
      <c r="M317" s="256"/>
      <c r="N317" s="524"/>
      <c r="O317" s="256"/>
      <c r="P317" s="256"/>
      <c r="Q317" s="256"/>
      <c r="R317" s="256"/>
      <c r="S317" s="256"/>
      <c r="T317" s="256"/>
      <c r="U317" s="256"/>
      <c r="V317" s="256"/>
      <c r="W317" s="256"/>
      <c r="X317" s="256"/>
      <c r="Y317" s="256"/>
      <c r="Z317" s="256"/>
      <c r="AA317" s="256"/>
      <c r="AB317" s="256"/>
      <c r="AC317" s="256"/>
      <c r="AD317" s="256"/>
      <c r="AE317" s="256"/>
      <c r="AF317" s="256"/>
      <c r="AG317" s="256"/>
      <c r="AH317" s="256"/>
      <c r="AI317" s="256"/>
      <c r="AJ317" s="256"/>
      <c r="AK317" s="256"/>
      <c r="AL317" s="256"/>
      <c r="AM317" s="256"/>
      <c r="AN317" s="256"/>
      <c r="AO317" s="256"/>
      <c r="AP317" s="256"/>
      <c r="AQ317" s="256"/>
      <c r="AR317" s="256"/>
      <c r="AS317" s="256"/>
      <c r="AT317" s="256"/>
      <c r="AU317" s="256"/>
      <c r="AV317" s="256"/>
      <c r="AW317" s="256"/>
      <c r="AX317" s="256"/>
      <c r="AY317" s="256"/>
      <c r="AZ317" s="256"/>
      <c r="BA317" s="256"/>
      <c r="BB317" s="256"/>
      <c r="BC317" s="256"/>
      <c r="BD317" s="256"/>
      <c r="BE317" s="256"/>
      <c r="BF317" s="256"/>
      <c r="BG317" s="256"/>
      <c r="BH317" s="256"/>
      <c r="BI317" s="256"/>
      <c r="BJ317" s="256"/>
      <c r="BK317" s="256"/>
      <c r="BL317" s="256"/>
      <c r="BM317" s="256"/>
      <c r="BN317" s="256"/>
      <c r="BO317" s="256"/>
      <c r="BP317" s="256"/>
      <c r="BQ317" s="256"/>
      <c r="BR317" s="256"/>
      <c r="BS317" s="256"/>
      <c r="BT317" s="256"/>
      <c r="BU317" s="256"/>
      <c r="BV317" s="256"/>
      <c r="BW317" s="256"/>
      <c r="BX317" s="256"/>
      <c r="BY317" s="256"/>
      <c r="BZ317" s="256"/>
    </row>
    <row r="318" spans="1:78">
      <c r="A318" s="435" t="s">
        <v>178</v>
      </c>
      <c r="B318" s="494">
        <v>0.67330000000000001</v>
      </c>
      <c r="C318" s="494">
        <v>0.89359999999999995</v>
      </c>
      <c r="D318" s="455">
        <v>1.0059</v>
      </c>
      <c r="E318" s="455">
        <v>1.0355000000000001</v>
      </c>
      <c r="F318" s="455">
        <v>1.0686</v>
      </c>
      <c r="G318" s="455">
        <v>1.1754</v>
      </c>
      <c r="H318" s="461">
        <v>1.90503356717273E-2</v>
      </c>
      <c r="I318" s="462">
        <v>2.3958438997417501E-2</v>
      </c>
      <c r="J318" s="462">
        <v>5.8172023277505199E-3</v>
      </c>
      <c r="K318" s="462">
        <v>6.3128382363661899E-3</v>
      </c>
      <c r="L318" s="463">
        <v>4.7743176411731997E-3</v>
      </c>
      <c r="M318" s="256"/>
      <c r="N318" s="524"/>
      <c r="O318" s="256"/>
      <c r="P318" s="256"/>
      <c r="Q318" s="256"/>
      <c r="R318" s="256"/>
      <c r="S318" s="256"/>
      <c r="T318" s="256"/>
      <c r="U318" s="256"/>
      <c r="V318" s="256"/>
      <c r="W318" s="256"/>
      <c r="X318" s="256"/>
      <c r="Y318" s="256"/>
      <c r="Z318" s="256"/>
      <c r="AA318" s="256"/>
      <c r="AB318" s="256"/>
      <c r="AC318" s="256"/>
      <c r="AD318" s="256"/>
      <c r="AE318" s="256"/>
      <c r="AF318" s="256"/>
      <c r="AG318" s="256"/>
      <c r="AH318" s="256"/>
      <c r="AI318" s="256"/>
      <c r="AJ318" s="256"/>
      <c r="AK318" s="256"/>
      <c r="AL318" s="256"/>
      <c r="AM318" s="256"/>
      <c r="AN318" s="256"/>
      <c r="AO318" s="256"/>
      <c r="AP318" s="256"/>
      <c r="AQ318" s="256"/>
      <c r="AR318" s="256"/>
      <c r="AS318" s="256"/>
      <c r="AT318" s="256"/>
      <c r="AU318" s="256"/>
      <c r="AV318" s="256"/>
      <c r="AW318" s="256"/>
      <c r="AX318" s="256"/>
      <c r="AY318" s="256"/>
      <c r="AZ318" s="256"/>
      <c r="BA318" s="256"/>
      <c r="BB318" s="256"/>
      <c r="BC318" s="256"/>
      <c r="BD318" s="256"/>
      <c r="BE318" s="256"/>
      <c r="BF318" s="256"/>
      <c r="BG318" s="256"/>
      <c r="BH318" s="256"/>
      <c r="BI318" s="256"/>
      <c r="BJ318" s="256"/>
      <c r="BK318" s="256"/>
      <c r="BL318" s="256"/>
      <c r="BM318" s="256"/>
      <c r="BN318" s="256"/>
      <c r="BO318" s="256"/>
      <c r="BP318" s="256"/>
      <c r="BQ318" s="256"/>
      <c r="BR318" s="256"/>
      <c r="BS318" s="256"/>
      <c r="BT318" s="256"/>
      <c r="BU318" s="256"/>
      <c r="BV318" s="256"/>
      <c r="BW318" s="256"/>
      <c r="BX318" s="256"/>
      <c r="BY318" s="256"/>
      <c r="BZ318" s="256"/>
    </row>
    <row r="319" spans="1:78">
      <c r="A319" s="435" t="s">
        <v>180</v>
      </c>
      <c r="B319" s="455">
        <v>0</v>
      </c>
      <c r="C319" s="455">
        <v>0</v>
      </c>
      <c r="D319" s="455">
        <v>0</v>
      </c>
      <c r="E319" s="455">
        <v>0</v>
      </c>
      <c r="F319" s="455">
        <v>0</v>
      </c>
      <c r="G319" s="455">
        <v>0</v>
      </c>
      <c r="H319" s="461"/>
      <c r="I319" s="462"/>
      <c r="J319" s="462"/>
      <c r="K319" s="462"/>
      <c r="L319" s="463"/>
      <c r="M319" s="256"/>
      <c r="N319" s="524"/>
      <c r="O319" s="256"/>
      <c r="P319" s="256"/>
      <c r="Q319" s="256"/>
      <c r="R319" s="256"/>
      <c r="S319" s="256"/>
      <c r="T319" s="256"/>
      <c r="U319" s="256"/>
      <c r="V319" s="256"/>
      <c r="W319" s="256"/>
      <c r="X319" s="256"/>
      <c r="Y319" s="256"/>
      <c r="Z319" s="256"/>
      <c r="AA319" s="256"/>
      <c r="AB319" s="256"/>
      <c r="AC319" s="256"/>
      <c r="AD319" s="256"/>
      <c r="AE319" s="256"/>
      <c r="AF319" s="256"/>
      <c r="AG319" s="256"/>
      <c r="AH319" s="256"/>
      <c r="AI319" s="256"/>
      <c r="AJ319" s="256"/>
      <c r="AK319" s="256"/>
      <c r="AL319" s="256"/>
      <c r="AM319" s="256"/>
      <c r="AN319" s="256"/>
      <c r="AO319" s="256"/>
      <c r="AP319" s="256"/>
      <c r="AQ319" s="256"/>
      <c r="AR319" s="256"/>
      <c r="AS319" s="256"/>
      <c r="AT319" s="256"/>
      <c r="AU319" s="256"/>
      <c r="AV319" s="256"/>
      <c r="AW319" s="256"/>
      <c r="AX319" s="256"/>
      <c r="AY319" s="256"/>
      <c r="AZ319" s="256"/>
      <c r="BA319" s="256"/>
      <c r="BB319" s="256"/>
      <c r="BC319" s="256"/>
      <c r="BD319" s="256"/>
      <c r="BE319" s="256"/>
      <c r="BF319" s="256"/>
      <c r="BG319" s="256"/>
      <c r="BH319" s="256"/>
      <c r="BI319" s="256"/>
      <c r="BJ319" s="256"/>
      <c r="BK319" s="256"/>
      <c r="BL319" s="256"/>
      <c r="BM319" s="256"/>
      <c r="BN319" s="256"/>
      <c r="BO319" s="256"/>
      <c r="BP319" s="256"/>
      <c r="BQ319" s="256"/>
      <c r="BR319" s="256"/>
      <c r="BS319" s="256"/>
      <c r="BT319" s="256"/>
      <c r="BU319" s="256"/>
      <c r="BV319" s="256"/>
      <c r="BW319" s="256"/>
      <c r="BX319" s="256"/>
      <c r="BY319" s="256"/>
      <c r="BZ319" s="256"/>
    </row>
    <row r="320" spans="1:78">
      <c r="A320" s="435" t="s">
        <v>181</v>
      </c>
      <c r="B320" s="455">
        <v>0</v>
      </c>
      <c r="C320" s="494">
        <v>2.69E-2</v>
      </c>
      <c r="D320" s="494">
        <v>3.1600000000000003E-2</v>
      </c>
      <c r="E320" s="494">
        <v>3.3300000000000003E-2</v>
      </c>
      <c r="F320" s="494">
        <v>3.49E-2</v>
      </c>
      <c r="G320" s="494">
        <v>3.9899999999999998E-2</v>
      </c>
      <c r="H320" s="461"/>
      <c r="I320" s="462">
        <v>3.2730398077005098E-2</v>
      </c>
      <c r="J320" s="462">
        <v>1.05351634018422E-2</v>
      </c>
      <c r="K320" s="462">
        <v>9.4300720086064604E-3</v>
      </c>
      <c r="L320" s="463">
        <v>6.7169328174092602E-3</v>
      </c>
      <c r="M320" s="256"/>
      <c r="N320" s="524"/>
      <c r="O320" s="256"/>
      <c r="P320" s="256"/>
      <c r="Q320" s="256"/>
      <c r="R320" s="256"/>
      <c r="S320" s="256"/>
      <c r="T320" s="256"/>
      <c r="U320" s="256"/>
      <c r="V320" s="256"/>
      <c r="W320" s="256"/>
      <c r="X320" s="256"/>
      <c r="Y320" s="256"/>
      <c r="Z320" s="256"/>
      <c r="AA320" s="256"/>
      <c r="AB320" s="256"/>
      <c r="AC320" s="256"/>
      <c r="AD320" s="256"/>
      <c r="AE320" s="256"/>
      <c r="AF320" s="256"/>
      <c r="AG320" s="256"/>
      <c r="AH320" s="256"/>
      <c r="AI320" s="256"/>
      <c r="AJ320" s="256"/>
      <c r="AK320" s="256"/>
      <c r="AL320" s="256"/>
      <c r="AM320" s="256"/>
      <c r="AN320" s="256"/>
      <c r="AO320" s="256"/>
      <c r="AP320" s="256"/>
      <c r="AQ320" s="256"/>
      <c r="AR320" s="256"/>
      <c r="AS320" s="256"/>
      <c r="AT320" s="256"/>
      <c r="AU320" s="256"/>
      <c r="AV320" s="256"/>
      <c r="AW320" s="256"/>
      <c r="AX320" s="256"/>
      <c r="AY320" s="256"/>
      <c r="AZ320" s="256"/>
      <c r="BA320" s="256"/>
      <c r="BB320" s="256"/>
      <c r="BC320" s="256"/>
      <c r="BD320" s="256"/>
      <c r="BE320" s="256"/>
      <c r="BF320" s="256"/>
      <c r="BG320" s="256"/>
      <c r="BH320" s="256"/>
      <c r="BI320" s="256"/>
      <c r="BJ320" s="256"/>
      <c r="BK320" s="256"/>
      <c r="BL320" s="256"/>
      <c r="BM320" s="256"/>
      <c r="BN320" s="256"/>
      <c r="BO320" s="256"/>
      <c r="BP320" s="256"/>
      <c r="BQ320" s="256"/>
      <c r="BR320" s="256"/>
      <c r="BS320" s="256"/>
      <c r="BT320" s="256"/>
      <c r="BU320" s="256"/>
      <c r="BV320" s="256"/>
      <c r="BW320" s="256"/>
      <c r="BX320" s="256"/>
      <c r="BY320" s="256"/>
      <c r="BZ320" s="256"/>
    </row>
    <row r="321" spans="1:78">
      <c r="A321" s="435" t="s">
        <v>109</v>
      </c>
      <c r="B321" s="455">
        <v>0</v>
      </c>
      <c r="C321" s="455">
        <v>0</v>
      </c>
      <c r="D321" s="455">
        <v>0</v>
      </c>
      <c r="E321" s="455">
        <v>0</v>
      </c>
      <c r="F321" s="455">
        <v>0</v>
      </c>
      <c r="G321" s="455">
        <v>0</v>
      </c>
      <c r="H321" s="461"/>
      <c r="I321" s="462"/>
      <c r="J321" s="462"/>
      <c r="K321" s="462"/>
      <c r="L321" s="463"/>
      <c r="M321" s="256"/>
      <c r="N321" s="524"/>
      <c r="O321" s="256"/>
      <c r="P321" s="256"/>
      <c r="Q321" s="256"/>
      <c r="R321" s="256"/>
      <c r="S321" s="256"/>
      <c r="T321" s="256"/>
      <c r="U321" s="256"/>
      <c r="V321" s="256"/>
      <c r="W321" s="256"/>
      <c r="X321" s="256"/>
      <c r="Y321" s="256"/>
      <c r="Z321" s="256"/>
      <c r="AA321" s="256"/>
      <c r="AB321" s="256"/>
      <c r="AC321" s="256"/>
      <c r="AD321" s="256"/>
      <c r="AE321" s="256"/>
      <c r="AF321" s="256"/>
      <c r="AG321" s="256"/>
      <c r="AH321" s="256"/>
      <c r="AI321" s="256"/>
      <c r="AJ321" s="256"/>
      <c r="AK321" s="256"/>
      <c r="AL321" s="256"/>
      <c r="AM321" s="256"/>
      <c r="AN321" s="256"/>
      <c r="AO321" s="256"/>
      <c r="AP321" s="256"/>
      <c r="AQ321" s="256"/>
      <c r="AR321" s="256"/>
      <c r="AS321" s="256"/>
      <c r="AT321" s="256"/>
      <c r="AU321" s="256"/>
      <c r="AV321" s="256"/>
      <c r="AW321" s="256"/>
      <c r="AX321" s="256"/>
      <c r="AY321" s="256"/>
      <c r="AZ321" s="256"/>
      <c r="BA321" s="256"/>
      <c r="BB321" s="256"/>
      <c r="BC321" s="256"/>
      <c r="BD321" s="256"/>
      <c r="BE321" s="256"/>
      <c r="BF321" s="256"/>
      <c r="BG321" s="256"/>
      <c r="BH321" s="256"/>
      <c r="BI321" s="256"/>
      <c r="BJ321" s="256"/>
      <c r="BK321" s="256"/>
      <c r="BL321" s="256"/>
      <c r="BM321" s="256"/>
      <c r="BN321" s="256"/>
      <c r="BO321" s="256"/>
      <c r="BP321" s="256"/>
      <c r="BQ321" s="256"/>
      <c r="BR321" s="256"/>
      <c r="BS321" s="256"/>
      <c r="BT321" s="256"/>
      <c r="BU321" s="256"/>
      <c r="BV321" s="256"/>
      <c r="BW321" s="256"/>
      <c r="BX321" s="256"/>
      <c r="BY321" s="256"/>
      <c r="BZ321" s="256"/>
    </row>
    <row r="322" spans="1:78">
      <c r="A322" s="435" t="s">
        <v>104</v>
      </c>
      <c r="B322" s="455">
        <v>0</v>
      </c>
      <c r="C322" s="455">
        <v>0</v>
      </c>
      <c r="D322" s="455">
        <v>0</v>
      </c>
      <c r="E322" s="455">
        <v>0</v>
      </c>
      <c r="F322" s="455">
        <v>0</v>
      </c>
      <c r="G322" s="455">
        <v>0</v>
      </c>
      <c r="H322" s="461"/>
      <c r="I322" s="462"/>
      <c r="J322" s="462"/>
      <c r="K322" s="462"/>
      <c r="L322" s="463"/>
      <c r="M322" s="256"/>
      <c r="N322" s="524"/>
      <c r="O322" s="256"/>
      <c r="P322" s="256"/>
      <c r="Q322" s="256"/>
      <c r="R322" s="256"/>
      <c r="S322" s="256"/>
      <c r="T322" s="256"/>
      <c r="U322" s="256"/>
      <c r="V322" s="256"/>
      <c r="W322" s="256"/>
      <c r="X322" s="256"/>
      <c r="Y322" s="256"/>
      <c r="Z322" s="256"/>
      <c r="AA322" s="256"/>
      <c r="AB322" s="256"/>
      <c r="AC322" s="256"/>
      <c r="AD322" s="256"/>
      <c r="AE322" s="256"/>
      <c r="AF322" s="256"/>
      <c r="AG322" s="256"/>
      <c r="AH322" s="256"/>
      <c r="AI322" s="256"/>
      <c r="AJ322" s="256"/>
      <c r="AK322" s="256"/>
      <c r="AL322" s="256"/>
      <c r="AM322" s="256"/>
      <c r="AN322" s="256"/>
      <c r="AO322" s="256"/>
      <c r="AP322" s="256"/>
      <c r="AQ322" s="256"/>
      <c r="AR322" s="256"/>
      <c r="AS322" s="256"/>
      <c r="AT322" s="256"/>
      <c r="AU322" s="256"/>
      <c r="AV322" s="256"/>
      <c r="AW322" s="256"/>
      <c r="AX322" s="256"/>
      <c r="AY322" s="256"/>
      <c r="AZ322" s="256"/>
      <c r="BA322" s="256"/>
      <c r="BB322" s="256"/>
      <c r="BC322" s="256"/>
      <c r="BD322" s="256"/>
      <c r="BE322" s="256"/>
      <c r="BF322" s="256"/>
      <c r="BG322" s="256"/>
      <c r="BH322" s="256"/>
      <c r="BI322" s="256"/>
      <c r="BJ322" s="256"/>
      <c r="BK322" s="256"/>
      <c r="BL322" s="256"/>
      <c r="BM322" s="256"/>
      <c r="BN322" s="256"/>
      <c r="BO322" s="256"/>
      <c r="BP322" s="256"/>
      <c r="BQ322" s="256"/>
      <c r="BR322" s="256"/>
      <c r="BS322" s="256"/>
      <c r="BT322" s="256"/>
      <c r="BU322" s="256"/>
      <c r="BV322" s="256"/>
      <c r="BW322" s="256"/>
      <c r="BX322" s="256"/>
      <c r="BY322" s="256"/>
      <c r="BZ322" s="256"/>
    </row>
    <row r="323" spans="1:78">
      <c r="A323" s="435"/>
      <c r="B323" s="436"/>
      <c r="C323" s="436"/>
      <c r="D323" s="436"/>
      <c r="E323" s="436"/>
      <c r="F323" s="436"/>
      <c r="G323" s="491"/>
      <c r="H323" s="461"/>
      <c r="I323" s="462"/>
      <c r="J323" s="462"/>
      <c r="K323" s="462"/>
      <c r="L323" s="463"/>
      <c r="M323" s="256"/>
      <c r="N323" s="256"/>
      <c r="O323" s="256"/>
      <c r="P323" s="256"/>
      <c r="Q323" s="256"/>
      <c r="R323" s="256"/>
      <c r="S323" s="256"/>
      <c r="T323" s="256"/>
      <c r="U323" s="256"/>
      <c r="V323" s="256"/>
      <c r="W323" s="256"/>
      <c r="X323" s="256"/>
      <c r="Y323" s="256"/>
      <c r="Z323" s="256"/>
      <c r="AA323" s="256"/>
      <c r="AB323" s="256"/>
      <c r="AC323" s="256"/>
      <c r="AD323" s="256"/>
      <c r="AE323" s="256"/>
      <c r="AF323" s="256"/>
      <c r="AG323" s="256"/>
      <c r="AH323" s="256"/>
      <c r="AI323" s="256"/>
      <c r="AJ323" s="256"/>
      <c r="AK323" s="256"/>
      <c r="AL323" s="256"/>
      <c r="AM323" s="256"/>
      <c r="AN323" s="256"/>
      <c r="AO323" s="256"/>
      <c r="AP323" s="256"/>
      <c r="AQ323" s="256"/>
      <c r="AR323" s="256"/>
      <c r="AS323" s="256"/>
      <c r="AT323" s="256"/>
      <c r="AU323" s="256"/>
      <c r="AV323" s="256"/>
      <c r="AW323" s="256"/>
      <c r="AX323" s="256"/>
      <c r="AY323" s="256"/>
      <c r="AZ323" s="256"/>
      <c r="BA323" s="256"/>
      <c r="BB323" s="256"/>
      <c r="BC323" s="256"/>
      <c r="BD323" s="256"/>
      <c r="BE323" s="256"/>
      <c r="BF323" s="256"/>
      <c r="BG323" s="256"/>
      <c r="BH323" s="256"/>
      <c r="BI323" s="256"/>
      <c r="BJ323" s="256"/>
      <c r="BK323" s="256"/>
      <c r="BL323" s="256"/>
      <c r="BM323" s="256"/>
      <c r="BN323" s="256"/>
      <c r="BO323" s="256"/>
      <c r="BP323" s="256"/>
      <c r="BQ323" s="256"/>
      <c r="BR323" s="256"/>
      <c r="BS323" s="256"/>
      <c r="BT323" s="256"/>
      <c r="BU323" s="256"/>
      <c r="BV323" s="256"/>
      <c r="BW323" s="256"/>
      <c r="BX323" s="256"/>
      <c r="BY323" s="256"/>
      <c r="BZ323" s="256"/>
    </row>
    <row r="324" spans="1:78">
      <c r="A324" s="510" t="s">
        <v>191</v>
      </c>
      <c r="B324" s="506">
        <v>0.34300000000000003</v>
      </c>
      <c r="C324" s="506">
        <v>0.56530000000000102</v>
      </c>
      <c r="D324" s="506">
        <v>0.57449999999999701</v>
      </c>
      <c r="E324" s="506">
        <v>0.586600000000008</v>
      </c>
      <c r="F324" s="506">
        <v>0.60300000000000198</v>
      </c>
      <c r="G324" s="506">
        <v>0.70489999999998798</v>
      </c>
      <c r="H324" s="461">
        <v>3.3869343414219398E-2</v>
      </c>
      <c r="I324" s="462">
        <v>3.2339246092236702E-3</v>
      </c>
      <c r="J324" s="462">
        <v>4.1773125991064796E-3</v>
      </c>
      <c r="K324" s="462">
        <v>5.5300425829301102E-3</v>
      </c>
      <c r="L324" s="463">
        <v>7.83749119824728E-3</v>
      </c>
      <c r="M324" s="256"/>
      <c r="N324" s="256"/>
      <c r="O324" s="256"/>
      <c r="P324" s="256"/>
      <c r="Q324" s="256"/>
      <c r="R324" s="256"/>
      <c r="S324" s="256"/>
      <c r="T324" s="256"/>
      <c r="U324" s="256"/>
      <c r="V324" s="256"/>
      <c r="W324" s="256"/>
      <c r="X324" s="256"/>
      <c r="Y324" s="256"/>
      <c r="Z324" s="256"/>
      <c r="AA324" s="256"/>
      <c r="AB324" s="256"/>
      <c r="AC324" s="256"/>
      <c r="AD324" s="256"/>
      <c r="AE324" s="256"/>
      <c r="AF324" s="256"/>
      <c r="AG324" s="256"/>
      <c r="AH324" s="256"/>
      <c r="AI324" s="256"/>
      <c r="AJ324" s="256"/>
      <c r="AK324" s="256"/>
      <c r="AL324" s="256"/>
      <c r="AM324" s="256"/>
      <c r="AN324" s="256"/>
      <c r="AO324" s="256"/>
      <c r="AP324" s="256"/>
      <c r="AQ324" s="256"/>
      <c r="AR324" s="256"/>
      <c r="AS324" s="256"/>
      <c r="AT324" s="256"/>
      <c r="AU324" s="256"/>
      <c r="AV324" s="256"/>
      <c r="AW324" s="256"/>
      <c r="AX324" s="256"/>
      <c r="AY324" s="256"/>
      <c r="AZ324" s="256"/>
      <c r="BA324" s="256"/>
      <c r="BB324" s="256"/>
      <c r="BC324" s="256"/>
      <c r="BD324" s="256"/>
      <c r="BE324" s="256"/>
      <c r="BF324" s="256"/>
      <c r="BG324" s="256"/>
      <c r="BH324" s="256"/>
      <c r="BI324" s="256"/>
      <c r="BJ324" s="256"/>
      <c r="BK324" s="256"/>
      <c r="BL324" s="256"/>
      <c r="BM324" s="256"/>
      <c r="BN324" s="256"/>
      <c r="BO324" s="256"/>
      <c r="BP324" s="256"/>
      <c r="BQ324" s="256"/>
      <c r="BR324" s="256"/>
      <c r="BS324" s="256"/>
      <c r="BT324" s="256"/>
      <c r="BU324" s="256"/>
      <c r="BV324" s="256"/>
      <c r="BW324" s="256"/>
      <c r="BX324" s="256"/>
      <c r="BY324" s="256"/>
      <c r="BZ324" s="256"/>
    </row>
    <row r="325" spans="1:78">
      <c r="A325" s="435"/>
      <c r="B325" s="436"/>
      <c r="C325" s="436"/>
      <c r="D325" s="436"/>
      <c r="E325" s="436"/>
      <c r="F325" s="436"/>
      <c r="G325" s="491"/>
      <c r="H325" s="461"/>
      <c r="I325" s="462"/>
      <c r="J325" s="462"/>
      <c r="K325" s="462"/>
      <c r="L325" s="463"/>
      <c r="M325" s="256"/>
      <c r="N325" s="256"/>
      <c r="O325" s="256"/>
      <c r="P325" s="256"/>
      <c r="Q325" s="256"/>
      <c r="R325" s="256"/>
      <c r="S325" s="256"/>
      <c r="T325" s="256"/>
      <c r="U325" s="256"/>
      <c r="V325" s="256"/>
      <c r="W325" s="256"/>
      <c r="X325" s="256"/>
      <c r="Y325" s="256"/>
      <c r="Z325" s="256"/>
      <c r="AA325" s="256"/>
      <c r="AB325" s="256"/>
      <c r="AC325" s="256"/>
      <c r="AD325" s="256"/>
      <c r="AE325" s="256"/>
      <c r="AF325" s="256"/>
      <c r="AG325" s="256"/>
      <c r="AH325" s="256"/>
      <c r="AI325" s="256"/>
      <c r="AJ325" s="256"/>
      <c r="AK325" s="256"/>
      <c r="AL325" s="256"/>
      <c r="AM325" s="256"/>
      <c r="AN325" s="256"/>
      <c r="AO325" s="256"/>
      <c r="AP325" s="256"/>
      <c r="AQ325" s="256"/>
      <c r="AR325" s="256"/>
      <c r="AS325" s="256"/>
      <c r="AT325" s="256"/>
      <c r="AU325" s="256"/>
      <c r="AV325" s="256"/>
      <c r="AW325" s="256"/>
      <c r="AX325" s="256"/>
      <c r="AY325" s="256"/>
      <c r="AZ325" s="256"/>
      <c r="BA325" s="256"/>
      <c r="BB325" s="256"/>
      <c r="BC325" s="256"/>
      <c r="BD325" s="256"/>
      <c r="BE325" s="256"/>
      <c r="BF325" s="256"/>
      <c r="BG325" s="256"/>
      <c r="BH325" s="256"/>
      <c r="BI325" s="256"/>
      <c r="BJ325" s="256"/>
      <c r="BK325" s="256"/>
      <c r="BL325" s="256"/>
      <c r="BM325" s="256"/>
      <c r="BN325" s="256"/>
      <c r="BO325" s="256"/>
      <c r="BP325" s="256"/>
      <c r="BQ325" s="256"/>
      <c r="BR325" s="256"/>
      <c r="BS325" s="256"/>
      <c r="BT325" s="256"/>
      <c r="BU325" s="256"/>
      <c r="BV325" s="256"/>
      <c r="BW325" s="256"/>
      <c r="BX325" s="256"/>
      <c r="BY325" s="256"/>
      <c r="BZ325" s="256"/>
    </row>
    <row r="326" spans="1:78" ht="15" thickBot="1">
      <c r="A326" s="489" t="s">
        <v>10</v>
      </c>
      <c r="B326" s="464">
        <v>39.905799999999999</v>
      </c>
      <c r="C326" s="464">
        <v>39.588700000000003</v>
      </c>
      <c r="D326" s="464">
        <v>39.209800000000001</v>
      </c>
      <c r="E326" s="464">
        <v>38.1265</v>
      </c>
      <c r="F326" s="464">
        <v>37.241999999999997</v>
      </c>
      <c r="G326" s="464">
        <v>37.095799999999997</v>
      </c>
      <c r="H326" s="466">
        <v>-5.3172210141172504E-4</v>
      </c>
      <c r="I326" s="467">
        <v>-1.9215531388057101E-3</v>
      </c>
      <c r="J326" s="467">
        <v>-5.5877575097548196E-3</v>
      </c>
      <c r="K326" s="467">
        <v>-4.6834824823716002E-3</v>
      </c>
      <c r="L326" s="468">
        <v>-1.9665071180397E-4</v>
      </c>
      <c r="M326" s="256"/>
      <c r="N326" s="256"/>
      <c r="O326" s="256"/>
      <c r="P326" s="256"/>
      <c r="Q326" s="256"/>
      <c r="R326" s="256"/>
      <c r="S326" s="256"/>
      <c r="T326" s="256"/>
      <c r="U326" s="256"/>
      <c r="V326" s="256"/>
      <c r="W326" s="256"/>
      <c r="X326" s="256"/>
      <c r="Y326" s="256"/>
      <c r="Z326" s="256"/>
      <c r="AA326" s="256"/>
      <c r="AB326" s="256"/>
      <c r="AC326" s="256"/>
      <c r="AD326" s="256"/>
      <c r="AE326" s="256"/>
      <c r="AF326" s="256"/>
      <c r="AG326" s="256"/>
      <c r="AH326" s="256"/>
      <c r="AI326" s="256"/>
      <c r="AJ326" s="256"/>
      <c r="AK326" s="256"/>
      <c r="AL326" s="256"/>
      <c r="AM326" s="256"/>
      <c r="AN326" s="256"/>
      <c r="AO326" s="256"/>
      <c r="AP326" s="256"/>
      <c r="AQ326" s="256"/>
      <c r="AR326" s="256"/>
      <c r="AS326" s="256"/>
      <c r="AT326" s="256"/>
      <c r="AU326" s="256"/>
      <c r="AV326" s="256"/>
      <c r="AW326" s="256"/>
      <c r="AX326" s="256"/>
      <c r="AY326" s="256"/>
      <c r="AZ326" s="256"/>
      <c r="BA326" s="256"/>
      <c r="BB326" s="256"/>
      <c r="BC326" s="256"/>
      <c r="BD326" s="256"/>
      <c r="BE326" s="256"/>
      <c r="BF326" s="256"/>
      <c r="BG326" s="256"/>
      <c r="BH326" s="256"/>
      <c r="BI326" s="256"/>
      <c r="BJ326" s="256"/>
      <c r="BK326" s="256"/>
      <c r="BL326" s="256"/>
      <c r="BM326" s="256"/>
      <c r="BN326" s="256"/>
      <c r="BO326" s="256"/>
      <c r="BP326" s="256"/>
      <c r="BQ326" s="256"/>
      <c r="BR326" s="256"/>
      <c r="BS326" s="256"/>
      <c r="BT326" s="256"/>
      <c r="BU326" s="256"/>
      <c r="BV326" s="256"/>
      <c r="BW326" s="256"/>
      <c r="BX326" s="256"/>
      <c r="BY326" s="256"/>
      <c r="BZ326" s="256"/>
    </row>
    <row r="327" spans="1:78">
      <c r="A327" s="449"/>
      <c r="B327" s="522"/>
      <c r="C327" s="427"/>
      <c r="D327" s="427"/>
      <c r="E327" s="427"/>
      <c r="F327" s="256"/>
      <c r="G327" s="256"/>
      <c r="H327" s="256"/>
      <c r="I327" s="256"/>
      <c r="J327" s="256"/>
      <c r="K327" s="256"/>
      <c r="L327" s="256"/>
      <c r="M327" s="256"/>
      <c r="N327" s="256"/>
      <c r="O327" s="256"/>
      <c r="P327" s="256"/>
      <c r="Q327" s="256"/>
      <c r="R327" s="256"/>
      <c r="S327" s="256"/>
      <c r="T327" s="256"/>
      <c r="U327" s="256"/>
      <c r="V327" s="256"/>
      <c r="W327" s="256"/>
      <c r="X327" s="256"/>
      <c r="Y327" s="256"/>
      <c r="Z327" s="256"/>
      <c r="AA327" s="256"/>
      <c r="AB327" s="256"/>
      <c r="AC327" s="256"/>
      <c r="AD327" s="256"/>
      <c r="AE327" s="256"/>
      <c r="AF327" s="256"/>
      <c r="AG327" s="256"/>
      <c r="AH327" s="256"/>
      <c r="AI327" s="256"/>
      <c r="AJ327" s="256"/>
      <c r="AK327" s="256"/>
      <c r="AL327" s="256"/>
      <c r="AM327" s="256"/>
      <c r="AN327" s="256"/>
      <c r="AO327" s="256"/>
      <c r="AP327" s="256"/>
      <c r="AQ327" s="256"/>
      <c r="AR327" s="256"/>
      <c r="AS327" s="256"/>
      <c r="AT327" s="256"/>
      <c r="AU327" s="256"/>
      <c r="AV327" s="256"/>
      <c r="AW327" s="256"/>
      <c r="AX327" s="256"/>
      <c r="AY327" s="256"/>
      <c r="AZ327" s="256"/>
      <c r="BA327" s="256"/>
      <c r="BB327" s="256"/>
      <c r="BC327" s="256"/>
      <c r="BD327" s="256"/>
      <c r="BE327" s="256"/>
      <c r="BF327" s="256"/>
      <c r="BG327" s="256"/>
      <c r="BH327" s="256"/>
      <c r="BI327" s="256"/>
      <c r="BJ327" s="256"/>
      <c r="BK327" s="256"/>
      <c r="BL327" s="256"/>
      <c r="BM327" s="256"/>
      <c r="BN327" s="256"/>
      <c r="BO327" s="256"/>
      <c r="BP327" s="256"/>
      <c r="BQ327" s="256"/>
      <c r="BR327" s="256"/>
      <c r="BS327" s="256"/>
      <c r="BT327" s="256"/>
      <c r="BU327" s="256"/>
      <c r="BV327" s="256"/>
      <c r="BW327" s="256"/>
      <c r="BX327" s="256"/>
      <c r="BY327" s="256"/>
      <c r="BZ327" s="256"/>
    </row>
    <row r="328" spans="1:78">
      <c r="A328" s="525"/>
      <c r="B328" s="522"/>
      <c r="C328" s="427"/>
      <c r="D328" s="427"/>
      <c r="E328" s="427"/>
      <c r="F328" s="256"/>
      <c r="G328" s="256"/>
      <c r="H328" s="256"/>
      <c r="I328" s="256"/>
      <c r="J328" s="256"/>
      <c r="K328" s="256"/>
      <c r="L328" s="256"/>
      <c r="M328" s="256"/>
      <c r="N328" s="256"/>
      <c r="O328" s="256"/>
      <c r="P328" s="256"/>
      <c r="Q328" s="256"/>
      <c r="R328" s="256"/>
      <c r="S328" s="256"/>
      <c r="T328" s="256"/>
      <c r="U328" s="256"/>
      <c r="V328" s="256"/>
      <c r="W328" s="256"/>
      <c r="X328" s="256"/>
      <c r="Y328" s="256"/>
      <c r="Z328" s="256"/>
      <c r="AA328" s="256"/>
      <c r="AB328" s="256"/>
      <c r="AC328" s="256"/>
      <c r="AD328" s="256"/>
      <c r="AE328" s="256"/>
      <c r="AF328" s="256"/>
      <c r="AG328" s="256"/>
      <c r="AH328" s="256"/>
      <c r="AI328" s="256"/>
      <c r="AJ328" s="256"/>
      <c r="AK328" s="256"/>
      <c r="AL328" s="256"/>
      <c r="AM328" s="256"/>
      <c r="AN328" s="256"/>
      <c r="AO328" s="256"/>
      <c r="AP328" s="256"/>
      <c r="AQ328" s="256"/>
      <c r="AR328" s="256"/>
      <c r="AS328" s="256"/>
      <c r="AT328" s="256"/>
      <c r="AU328" s="256"/>
      <c r="AV328" s="256"/>
      <c r="AW328" s="256"/>
      <c r="AX328" s="256"/>
      <c r="AY328" s="256"/>
      <c r="AZ328" s="256"/>
      <c r="BA328" s="256"/>
      <c r="BB328" s="256"/>
      <c r="BC328" s="256"/>
      <c r="BD328" s="256"/>
      <c r="BE328" s="256"/>
      <c r="BF328" s="256"/>
      <c r="BG328" s="256"/>
      <c r="BH328" s="256"/>
      <c r="BI328" s="256"/>
      <c r="BJ328" s="256"/>
      <c r="BK328" s="256"/>
      <c r="BL328" s="256"/>
      <c r="BM328" s="256"/>
      <c r="BN328" s="256"/>
      <c r="BO328" s="256"/>
      <c r="BP328" s="256"/>
      <c r="BQ328" s="256"/>
      <c r="BR328" s="256"/>
      <c r="BS328" s="256"/>
      <c r="BT328" s="256"/>
      <c r="BU328" s="256"/>
      <c r="BV328" s="256"/>
      <c r="BW328" s="256"/>
      <c r="BX328" s="256"/>
      <c r="BY328" s="256"/>
      <c r="BZ328" s="256"/>
    </row>
    <row r="329" spans="1:78" ht="16" thickBot="1">
      <c r="A329" s="428" t="s">
        <v>194</v>
      </c>
      <c r="B329" s="523"/>
      <c r="C329" s="430"/>
      <c r="D329" s="430"/>
      <c r="E329" s="430"/>
      <c r="F329" s="430"/>
      <c r="G329" s="430"/>
      <c r="H329" s="430"/>
      <c r="I329" s="430"/>
      <c r="J329" s="430"/>
      <c r="K329" s="430"/>
      <c r="L329" s="430"/>
      <c r="M329" s="256"/>
      <c r="N329" s="256"/>
      <c r="O329" s="256"/>
      <c r="P329" s="256"/>
      <c r="Q329" s="256"/>
      <c r="R329" s="256"/>
      <c r="S329" s="256"/>
      <c r="T329" s="256"/>
      <c r="U329" s="256"/>
      <c r="V329" s="256"/>
      <c r="W329" s="256"/>
      <c r="X329" s="256"/>
      <c r="Y329" s="256"/>
      <c r="Z329" s="256"/>
      <c r="AA329" s="256"/>
      <c r="AB329" s="256"/>
      <c r="AC329" s="256"/>
      <c r="AD329" s="256"/>
      <c r="AE329" s="256"/>
      <c r="AF329" s="256"/>
      <c r="AG329" s="256"/>
      <c r="AH329" s="256"/>
      <c r="AI329" s="256"/>
      <c r="AJ329" s="256"/>
      <c r="AK329" s="256"/>
      <c r="AL329" s="256"/>
      <c r="AM329" s="256"/>
      <c r="AN329" s="256"/>
      <c r="AO329" s="256"/>
      <c r="AP329" s="256"/>
      <c r="AQ329" s="256"/>
      <c r="AR329" s="256"/>
      <c r="AS329" s="256"/>
      <c r="AT329" s="256"/>
      <c r="AU329" s="256"/>
      <c r="AV329" s="256"/>
      <c r="AW329" s="256"/>
      <c r="AX329" s="256"/>
      <c r="AY329" s="256"/>
      <c r="AZ329" s="256"/>
      <c r="BA329" s="256"/>
      <c r="BB329" s="256"/>
      <c r="BC329" s="256"/>
      <c r="BD329" s="256"/>
      <c r="BE329" s="256"/>
      <c r="BF329" s="256"/>
      <c r="BG329" s="256"/>
      <c r="BH329" s="256"/>
      <c r="BI329" s="256"/>
      <c r="BJ329" s="256"/>
      <c r="BK329" s="256"/>
      <c r="BL329" s="256"/>
      <c r="BM329" s="256"/>
      <c r="BN329" s="256"/>
      <c r="BO329" s="256"/>
      <c r="BP329" s="256"/>
      <c r="BQ329" s="256"/>
      <c r="BR329" s="256"/>
      <c r="BS329" s="256"/>
      <c r="BT329" s="256"/>
      <c r="BU329" s="256"/>
      <c r="BV329" s="256"/>
      <c r="BW329" s="256"/>
      <c r="BX329" s="256"/>
      <c r="BY329" s="256"/>
      <c r="BZ329" s="256"/>
    </row>
    <row r="330" spans="1:78" ht="15" thickBot="1">
      <c r="A330" s="431"/>
      <c r="B330" s="432">
        <v>2000</v>
      </c>
      <c r="C330" s="432">
        <v>2015</v>
      </c>
      <c r="D330" s="432">
        <v>2020</v>
      </c>
      <c r="E330" s="432">
        <v>2025</v>
      </c>
      <c r="F330" s="432">
        <v>2030</v>
      </c>
      <c r="G330" s="432">
        <v>2050</v>
      </c>
      <c r="H330" s="452" t="s">
        <v>98</v>
      </c>
      <c r="I330" s="453" t="s">
        <v>99</v>
      </c>
      <c r="J330" s="453" t="s">
        <v>100</v>
      </c>
      <c r="K330" s="453" t="s">
        <v>101</v>
      </c>
      <c r="L330" s="454" t="s">
        <v>384</v>
      </c>
      <c r="M330" s="256"/>
      <c r="N330" s="256"/>
      <c r="O330" s="256"/>
      <c r="P330" s="256"/>
      <c r="Q330" s="256"/>
      <c r="R330" s="256"/>
      <c r="S330" s="256"/>
      <c r="T330" s="256"/>
      <c r="U330" s="256"/>
      <c r="V330" s="256"/>
      <c r="W330" s="256"/>
      <c r="X330" s="256"/>
      <c r="Y330" s="256"/>
      <c r="Z330" s="256"/>
      <c r="AA330" s="256"/>
      <c r="AB330" s="256"/>
      <c r="AC330" s="256"/>
      <c r="AD330" s="256"/>
      <c r="AE330" s="256"/>
      <c r="AF330" s="256"/>
      <c r="AG330" s="256"/>
      <c r="AH330" s="256"/>
      <c r="AI330" s="256"/>
      <c r="AJ330" s="256"/>
      <c r="AK330" s="256"/>
      <c r="AL330" s="256"/>
      <c r="AM330" s="256"/>
      <c r="AN330" s="256"/>
      <c r="AO330" s="256"/>
      <c r="AP330" s="256"/>
      <c r="AQ330" s="256"/>
      <c r="AR330" s="256"/>
      <c r="AS330" s="256"/>
      <c r="AT330" s="256"/>
      <c r="AU330" s="256"/>
      <c r="AV330" s="256"/>
      <c r="AW330" s="256"/>
      <c r="AX330" s="256"/>
      <c r="AY330" s="256"/>
      <c r="AZ330" s="256"/>
      <c r="BA330" s="256"/>
      <c r="BB330" s="256"/>
      <c r="BC330" s="256"/>
      <c r="BD330" s="256"/>
      <c r="BE330" s="256"/>
      <c r="BF330" s="256"/>
      <c r="BG330" s="256"/>
      <c r="BH330" s="256"/>
      <c r="BI330" s="256"/>
      <c r="BJ330" s="256"/>
      <c r="BK330" s="256"/>
      <c r="BL330" s="256"/>
      <c r="BM330" s="256"/>
      <c r="BN330" s="256"/>
      <c r="BO330" s="256"/>
      <c r="BP330" s="256"/>
      <c r="BQ330" s="256"/>
      <c r="BR330" s="256"/>
      <c r="BS330" s="256"/>
      <c r="BT330" s="256"/>
      <c r="BU330" s="256"/>
      <c r="BV330" s="256"/>
      <c r="BW330" s="256"/>
      <c r="BX330" s="256"/>
      <c r="BY330" s="256"/>
      <c r="BZ330" s="256"/>
    </row>
    <row r="331" spans="1:78">
      <c r="A331" s="526" t="s">
        <v>195</v>
      </c>
      <c r="B331" s="527">
        <v>29.760999999999999</v>
      </c>
      <c r="C331" s="528">
        <v>34.182400000000001</v>
      </c>
      <c r="D331" s="528">
        <v>34.690399999999997</v>
      </c>
      <c r="E331" s="528">
        <v>35.603400000000001</v>
      </c>
      <c r="F331" s="528">
        <v>36.435899999999997</v>
      </c>
      <c r="G331" s="529">
        <v>41.278700000000001</v>
      </c>
      <c r="H331" s="456">
        <v>9.2769048716843105E-3</v>
      </c>
      <c r="I331" s="457">
        <v>2.9547767512230201E-3</v>
      </c>
      <c r="J331" s="457">
        <v>5.2091501487479003E-3</v>
      </c>
      <c r="K331" s="457">
        <v>4.6333837654495297E-3</v>
      </c>
      <c r="L331" s="458">
        <v>6.2591106828908697E-3</v>
      </c>
      <c r="M331" s="256"/>
      <c r="N331" s="256"/>
      <c r="O331" s="256"/>
      <c r="P331" s="256"/>
      <c r="Q331" s="256"/>
      <c r="R331" s="256"/>
      <c r="S331" s="256"/>
      <c r="T331" s="256"/>
      <c r="U331" s="256"/>
      <c r="V331" s="256"/>
      <c r="W331" s="256"/>
      <c r="X331" s="256"/>
      <c r="Y331" s="256"/>
      <c r="Z331" s="256"/>
      <c r="AA331" s="256"/>
      <c r="AB331" s="256"/>
      <c r="AC331" s="256"/>
      <c r="AD331" s="256"/>
      <c r="AE331" s="256"/>
      <c r="AF331" s="256"/>
      <c r="AG331" s="256"/>
      <c r="AH331" s="256"/>
      <c r="AI331" s="256"/>
      <c r="AJ331" s="256"/>
      <c r="AK331" s="256"/>
      <c r="AL331" s="256"/>
      <c r="AM331" s="256"/>
      <c r="AN331" s="256"/>
      <c r="AO331" s="256"/>
      <c r="AP331" s="256"/>
      <c r="AQ331" s="256"/>
      <c r="AR331" s="256"/>
      <c r="AS331" s="256"/>
      <c r="AT331" s="256"/>
      <c r="AU331" s="256"/>
      <c r="AV331" s="256"/>
      <c r="AW331" s="256"/>
      <c r="AX331" s="256"/>
      <c r="AY331" s="256"/>
      <c r="AZ331" s="256"/>
      <c r="BA331" s="256"/>
      <c r="BB331" s="256"/>
      <c r="BC331" s="256"/>
      <c r="BD331" s="256"/>
      <c r="BE331" s="256"/>
      <c r="BF331" s="256"/>
      <c r="BG331" s="256"/>
      <c r="BH331" s="256"/>
      <c r="BI331" s="256"/>
      <c r="BJ331" s="256"/>
      <c r="BK331" s="256"/>
      <c r="BL331" s="256"/>
      <c r="BM331" s="256"/>
      <c r="BN331" s="256"/>
      <c r="BO331" s="256"/>
      <c r="BP331" s="256"/>
      <c r="BQ331" s="256"/>
      <c r="BR331" s="256"/>
      <c r="BS331" s="256"/>
      <c r="BT331" s="256"/>
      <c r="BU331" s="256"/>
      <c r="BV331" s="256"/>
      <c r="BW331" s="256"/>
      <c r="BX331" s="256"/>
      <c r="BY331" s="256"/>
      <c r="BZ331" s="256"/>
    </row>
    <row r="332" spans="1:78" ht="15" thickBot="1">
      <c r="A332" s="444" t="s">
        <v>196</v>
      </c>
      <c r="B332" s="530">
        <v>2.4457795079418001E-2</v>
      </c>
      <c r="C332" s="485">
        <v>2.01432401822897E-2</v>
      </c>
      <c r="D332" s="485">
        <v>1.84394466794023E-2</v>
      </c>
      <c r="E332" s="485">
        <v>1.68723959199223E-2</v>
      </c>
      <c r="F332" s="485">
        <v>1.54465057840343E-2</v>
      </c>
      <c r="G332" s="531">
        <v>1.11843074702006E-2</v>
      </c>
      <c r="H332" s="466">
        <v>-1.28553367686193E-2</v>
      </c>
      <c r="I332" s="467">
        <v>-1.7520017241700801E-2</v>
      </c>
      <c r="J332" s="467">
        <v>-1.7605834298643801E-2</v>
      </c>
      <c r="K332" s="467">
        <v>-1.75042086046443E-2</v>
      </c>
      <c r="L332" s="468">
        <v>-1.6013948063625699E-2</v>
      </c>
      <c r="M332" s="256"/>
      <c r="N332" s="256"/>
      <c r="O332" s="256"/>
      <c r="P332" s="256"/>
      <c r="Q332" s="256"/>
      <c r="R332" s="256"/>
      <c r="S332" s="256"/>
      <c r="T332" s="256"/>
      <c r="U332" s="256"/>
      <c r="V332" s="256"/>
      <c r="W332" s="256"/>
      <c r="X332" s="256"/>
      <c r="Y332" s="256"/>
      <c r="Z332" s="256"/>
      <c r="AA332" s="256"/>
      <c r="AB332" s="256"/>
      <c r="AC332" s="256"/>
      <c r="AD332" s="256"/>
      <c r="AE332" s="256"/>
      <c r="AF332" s="256"/>
      <c r="AG332" s="256"/>
      <c r="AH332" s="256"/>
      <c r="AI332" s="256"/>
      <c r="AJ332" s="256"/>
      <c r="AK332" s="256"/>
      <c r="AL332" s="256"/>
      <c r="AM332" s="256"/>
      <c r="AN332" s="256"/>
      <c r="AO332" s="256"/>
      <c r="AP332" s="256"/>
      <c r="AQ332" s="256"/>
      <c r="AR332" s="256"/>
      <c r="AS332" s="256"/>
      <c r="AT332" s="256"/>
      <c r="AU332" s="256"/>
      <c r="AV332" s="256"/>
      <c r="AW332" s="256"/>
      <c r="AX332" s="256"/>
      <c r="AY332" s="256"/>
      <c r="AZ332" s="256"/>
      <c r="BA332" s="256"/>
      <c r="BB332" s="256"/>
      <c r="BC332" s="256"/>
      <c r="BD332" s="256"/>
      <c r="BE332" s="256"/>
      <c r="BF332" s="256"/>
      <c r="BG332" s="256"/>
      <c r="BH332" s="256"/>
      <c r="BI332" s="256"/>
      <c r="BJ332" s="256"/>
      <c r="BK332" s="256"/>
      <c r="BL332" s="256"/>
      <c r="BM332" s="256"/>
      <c r="BN332" s="256"/>
      <c r="BO332" s="256"/>
      <c r="BP332" s="256"/>
      <c r="BQ332" s="256"/>
      <c r="BR332" s="256"/>
      <c r="BS332" s="256"/>
      <c r="BT332" s="256"/>
      <c r="BU332" s="256"/>
      <c r="BV332" s="256"/>
      <c r="BW332" s="256"/>
      <c r="BX332" s="256"/>
      <c r="BY332" s="256"/>
      <c r="BZ332" s="256"/>
    </row>
    <row r="333" spans="1:78">
      <c r="A333" s="486"/>
      <c r="B333" s="522"/>
      <c r="C333" s="427"/>
      <c r="D333" s="427"/>
      <c r="E333" s="427"/>
      <c r="F333" s="256"/>
      <c r="G333" s="256"/>
      <c r="H333" s="256"/>
      <c r="I333" s="256"/>
      <c r="J333" s="256"/>
      <c r="K333" s="256"/>
      <c r="L333" s="256"/>
      <c r="M333" s="256"/>
      <c r="N333" s="256"/>
      <c r="O333" s="256"/>
      <c r="P333" s="256"/>
      <c r="Q333" s="256"/>
      <c r="R333" s="256"/>
      <c r="S333" s="256"/>
      <c r="T333" s="256"/>
      <c r="U333" s="256"/>
      <c r="V333" s="256"/>
      <c r="W333" s="256"/>
      <c r="X333" s="256"/>
      <c r="Y333" s="256"/>
      <c r="Z333" s="256"/>
      <c r="AA333" s="256"/>
      <c r="AB333" s="256"/>
      <c r="AC333" s="256"/>
      <c r="AD333" s="256"/>
      <c r="AE333" s="256"/>
      <c r="AF333" s="256"/>
      <c r="AG333" s="256"/>
      <c r="AH333" s="256"/>
      <c r="AI333" s="256"/>
      <c r="AJ333" s="256"/>
      <c r="AK333" s="256"/>
      <c r="AL333" s="256"/>
      <c r="AM333" s="256"/>
      <c r="AN333" s="256"/>
      <c r="AO333" s="256"/>
      <c r="AP333" s="256"/>
      <c r="AQ333" s="256"/>
      <c r="AR333" s="256"/>
      <c r="AS333" s="256"/>
      <c r="AT333" s="256"/>
      <c r="AU333" s="256"/>
      <c r="AV333" s="256"/>
      <c r="AW333" s="256"/>
      <c r="AX333" s="256"/>
      <c r="AY333" s="256"/>
      <c r="AZ333" s="256"/>
      <c r="BA333" s="256"/>
      <c r="BB333" s="256"/>
      <c r="BC333" s="256"/>
      <c r="BD333" s="256"/>
      <c r="BE333" s="256"/>
      <c r="BF333" s="256"/>
      <c r="BG333" s="256"/>
      <c r="BH333" s="256"/>
      <c r="BI333" s="256"/>
      <c r="BJ333" s="256"/>
      <c r="BK333" s="256"/>
      <c r="BL333" s="256"/>
      <c r="BM333" s="256"/>
      <c r="BN333" s="256"/>
      <c r="BO333" s="256"/>
      <c r="BP333" s="256"/>
      <c r="BQ333" s="256"/>
      <c r="BR333" s="256"/>
      <c r="BS333" s="256"/>
      <c r="BT333" s="256"/>
      <c r="BU333" s="256"/>
      <c r="BV333" s="256"/>
      <c r="BW333" s="256"/>
      <c r="BX333" s="256"/>
      <c r="BY333" s="256"/>
      <c r="BZ333" s="256"/>
    </row>
    <row r="334" spans="1:78" ht="15.5">
      <c r="A334" s="532"/>
      <c r="B334" s="256"/>
      <c r="C334" s="256"/>
      <c r="D334" s="256"/>
      <c r="E334" s="256"/>
      <c r="F334" s="256"/>
      <c r="G334" s="256"/>
      <c r="H334" s="256"/>
      <c r="I334" s="256"/>
      <c r="J334" s="256"/>
      <c r="K334" s="256"/>
      <c r="L334" s="256"/>
      <c r="M334" s="256"/>
      <c r="N334" s="256"/>
      <c r="O334" s="256"/>
      <c r="P334" s="256"/>
      <c r="Q334" s="256"/>
      <c r="R334" s="256"/>
      <c r="S334" s="256"/>
      <c r="T334" s="256"/>
      <c r="U334" s="256"/>
      <c r="V334" s="256"/>
      <c r="W334" s="256"/>
      <c r="X334" s="256"/>
      <c r="Y334" s="256"/>
      <c r="Z334" s="256"/>
      <c r="AA334" s="256"/>
      <c r="AB334" s="256"/>
      <c r="AC334" s="256"/>
      <c r="AD334" s="256"/>
      <c r="AE334" s="256"/>
      <c r="AF334" s="256"/>
      <c r="AG334" s="256"/>
      <c r="AH334" s="256"/>
      <c r="AI334" s="256"/>
      <c r="AJ334" s="256"/>
      <c r="AK334" s="256"/>
      <c r="AL334" s="256"/>
      <c r="AM334" s="256"/>
      <c r="AN334" s="256"/>
      <c r="AO334" s="256"/>
      <c r="AP334" s="256"/>
      <c r="AQ334" s="256"/>
      <c r="AR334" s="256"/>
      <c r="AS334" s="256"/>
      <c r="AT334" s="256"/>
      <c r="AU334" s="256"/>
      <c r="AV334" s="256"/>
      <c r="AW334" s="256"/>
      <c r="AX334" s="256"/>
      <c r="AY334" s="256"/>
      <c r="AZ334" s="256"/>
      <c r="BA334" s="256"/>
      <c r="BB334" s="256"/>
      <c r="BC334" s="256"/>
      <c r="BD334" s="256"/>
      <c r="BE334" s="256"/>
      <c r="BF334" s="256"/>
      <c r="BG334" s="256"/>
      <c r="BH334" s="256"/>
      <c r="BI334" s="256"/>
      <c r="BJ334" s="256"/>
      <c r="BK334" s="256"/>
      <c r="BL334" s="256"/>
      <c r="BM334" s="256"/>
      <c r="BN334" s="256"/>
      <c r="BO334" s="256"/>
      <c r="BP334" s="256"/>
      <c r="BQ334" s="256"/>
      <c r="BR334" s="256"/>
      <c r="BS334" s="256"/>
      <c r="BT334" s="256"/>
      <c r="BU334" s="256"/>
      <c r="BV334" s="256"/>
      <c r="BW334" s="256"/>
      <c r="BX334" s="256"/>
      <c r="BY334" s="256"/>
      <c r="BZ334" s="256"/>
    </row>
    <row r="335" spans="1:78" ht="21">
      <c r="A335" s="425" t="s">
        <v>197</v>
      </c>
      <c r="B335" s="415"/>
      <c r="C335" s="415"/>
      <c r="D335" s="415"/>
      <c r="E335" s="415"/>
      <c r="F335" s="415"/>
      <c r="G335" s="487"/>
      <c r="H335" s="487"/>
      <c r="I335" s="487"/>
      <c r="J335" s="487"/>
      <c r="K335" s="487"/>
      <c r="L335" s="487"/>
      <c r="M335" s="256"/>
      <c r="N335" s="256"/>
      <c r="O335" s="256"/>
      <c r="P335" s="256"/>
      <c r="Q335" s="256"/>
      <c r="R335" s="256"/>
      <c r="S335" s="256"/>
      <c r="T335" s="256"/>
      <c r="U335" s="256"/>
      <c r="V335" s="256"/>
      <c r="W335" s="256"/>
      <c r="X335" s="256"/>
      <c r="Y335" s="256"/>
      <c r="Z335" s="256"/>
      <c r="AA335" s="256"/>
      <c r="AB335" s="256"/>
      <c r="AC335" s="256"/>
      <c r="AD335" s="256"/>
      <c r="AE335" s="256"/>
      <c r="AF335" s="256"/>
      <c r="AG335" s="256"/>
      <c r="AH335" s="256"/>
      <c r="AI335" s="256"/>
      <c r="AJ335" s="256"/>
      <c r="AK335" s="256"/>
      <c r="AL335" s="256"/>
      <c r="AM335" s="256"/>
      <c r="AN335" s="256"/>
      <c r="AO335" s="256"/>
      <c r="AP335" s="256"/>
      <c r="AQ335" s="256"/>
      <c r="AR335" s="256"/>
      <c r="AS335" s="256"/>
      <c r="AT335" s="256"/>
      <c r="AU335" s="256"/>
      <c r="AV335" s="256"/>
      <c r="AW335" s="256"/>
      <c r="AX335" s="256"/>
      <c r="AY335" s="256"/>
      <c r="AZ335" s="256"/>
      <c r="BA335" s="256"/>
      <c r="BB335" s="256"/>
      <c r="BC335" s="256"/>
      <c r="BD335" s="256"/>
      <c r="BE335" s="256"/>
      <c r="BF335" s="256"/>
      <c r="BG335" s="256"/>
      <c r="BH335" s="256"/>
      <c r="BI335" s="256"/>
      <c r="BJ335" s="256"/>
      <c r="BK335" s="256"/>
      <c r="BL335" s="256"/>
      <c r="BM335" s="256"/>
      <c r="BN335" s="256"/>
      <c r="BO335" s="256"/>
      <c r="BP335" s="256"/>
      <c r="BQ335" s="256"/>
      <c r="BR335" s="256"/>
      <c r="BS335" s="256"/>
      <c r="BT335" s="256"/>
      <c r="BU335" s="256"/>
      <c r="BV335" s="256"/>
      <c r="BW335" s="256"/>
      <c r="BX335" s="256"/>
      <c r="BY335" s="256"/>
      <c r="BZ335" s="256"/>
    </row>
    <row r="336" spans="1:78">
      <c r="A336" s="256"/>
      <c r="B336" s="256"/>
      <c r="C336" s="256"/>
      <c r="D336" s="256"/>
      <c r="E336" s="256"/>
      <c r="F336" s="451"/>
      <c r="G336" s="256"/>
      <c r="H336" s="256"/>
      <c r="I336" s="256"/>
      <c r="J336" s="256"/>
      <c r="K336" s="256"/>
      <c r="L336" s="256"/>
      <c r="M336" s="256"/>
      <c r="N336" s="256"/>
      <c r="O336" s="256"/>
      <c r="P336" s="256"/>
      <c r="Q336" s="256"/>
      <c r="R336" s="256"/>
      <c r="S336" s="256"/>
      <c r="T336" s="256"/>
      <c r="U336" s="256"/>
      <c r="V336" s="256"/>
      <c r="W336" s="256"/>
      <c r="X336" s="256"/>
      <c r="Y336" s="256"/>
      <c r="Z336" s="256"/>
      <c r="AA336" s="256"/>
      <c r="AB336" s="256"/>
      <c r="AC336" s="256"/>
      <c r="AD336" s="256"/>
      <c r="AE336" s="256"/>
      <c r="AF336" s="256"/>
      <c r="AG336" s="256"/>
      <c r="AH336" s="256"/>
      <c r="AI336" s="256"/>
      <c r="AJ336" s="256"/>
      <c r="AK336" s="256"/>
      <c r="AL336" s="256"/>
      <c r="AM336" s="256"/>
      <c r="AN336" s="256"/>
      <c r="AO336" s="256"/>
      <c r="AP336" s="256"/>
      <c r="AQ336" s="256"/>
      <c r="AR336" s="256"/>
      <c r="AS336" s="256"/>
      <c r="AT336" s="256"/>
      <c r="AU336" s="256"/>
      <c r="AV336" s="256"/>
      <c r="AW336" s="256"/>
      <c r="AX336" s="256"/>
      <c r="AY336" s="256"/>
      <c r="AZ336" s="256"/>
      <c r="BA336" s="256"/>
      <c r="BB336" s="256"/>
      <c r="BC336" s="256"/>
      <c r="BD336" s="256"/>
      <c r="BE336" s="256"/>
      <c r="BF336" s="256"/>
      <c r="BG336" s="256"/>
      <c r="BH336" s="256"/>
      <c r="BI336" s="256"/>
      <c r="BJ336" s="256"/>
      <c r="BK336" s="256"/>
      <c r="BL336" s="256"/>
      <c r="BM336" s="256"/>
      <c r="BN336" s="256"/>
      <c r="BO336" s="256"/>
      <c r="BP336" s="256"/>
      <c r="BQ336" s="256"/>
      <c r="BR336" s="256"/>
      <c r="BS336" s="256"/>
      <c r="BT336" s="256"/>
      <c r="BU336" s="256"/>
      <c r="BV336" s="256"/>
      <c r="BW336" s="256"/>
      <c r="BX336" s="256"/>
      <c r="BY336" s="256"/>
      <c r="BZ336" s="256"/>
    </row>
    <row r="337" spans="1:78" ht="16" thickBot="1">
      <c r="A337" s="428" t="s">
        <v>198</v>
      </c>
      <c r="B337" s="430"/>
      <c r="C337" s="430"/>
      <c r="D337" s="430"/>
      <c r="E337" s="430"/>
      <c r="F337" s="430"/>
      <c r="G337" s="430"/>
      <c r="H337" s="430"/>
      <c r="I337" s="430"/>
      <c r="J337" s="430"/>
      <c r="K337" s="430"/>
      <c r="L337" s="430"/>
      <c r="M337" s="256"/>
      <c r="N337" s="256"/>
      <c r="O337" s="256"/>
      <c r="P337" s="256"/>
      <c r="Q337" s="256"/>
      <c r="R337" s="256"/>
      <c r="S337" s="256"/>
      <c r="T337" s="256"/>
      <c r="U337" s="256"/>
      <c r="V337" s="256"/>
      <c r="W337" s="256"/>
      <c r="X337" s="256"/>
      <c r="Y337" s="256"/>
      <c r="Z337" s="256"/>
      <c r="AA337" s="256"/>
      <c r="AB337" s="256"/>
      <c r="AC337" s="256"/>
      <c r="AD337" s="256"/>
      <c r="AE337" s="256"/>
      <c r="AF337" s="256"/>
      <c r="AG337" s="256"/>
      <c r="AH337" s="256"/>
      <c r="AI337" s="256"/>
      <c r="AJ337" s="256"/>
      <c r="AK337" s="256"/>
      <c r="AL337" s="256"/>
      <c r="AM337" s="256"/>
      <c r="AN337" s="256"/>
      <c r="AO337" s="256"/>
      <c r="AP337" s="256"/>
      <c r="AQ337" s="256"/>
      <c r="AR337" s="256"/>
      <c r="AS337" s="256"/>
      <c r="AT337" s="256"/>
      <c r="AU337" s="256"/>
      <c r="AV337" s="256"/>
      <c r="AW337" s="256"/>
      <c r="AX337" s="256"/>
      <c r="AY337" s="256"/>
      <c r="AZ337" s="256"/>
      <c r="BA337" s="256"/>
      <c r="BB337" s="256"/>
      <c r="BC337" s="256"/>
      <c r="BD337" s="256"/>
      <c r="BE337" s="256"/>
      <c r="BF337" s="256"/>
      <c r="BG337" s="256"/>
      <c r="BH337" s="256"/>
      <c r="BI337" s="256"/>
      <c r="BJ337" s="256"/>
      <c r="BK337" s="256"/>
      <c r="BL337" s="256"/>
      <c r="BM337" s="256"/>
      <c r="BN337" s="256"/>
      <c r="BO337" s="256"/>
      <c r="BP337" s="256"/>
      <c r="BQ337" s="256"/>
      <c r="BR337" s="256"/>
      <c r="BS337" s="256"/>
      <c r="BT337" s="256"/>
      <c r="BU337" s="256"/>
      <c r="BV337" s="256"/>
      <c r="BW337" s="256"/>
      <c r="BX337" s="256"/>
      <c r="BY337" s="256"/>
      <c r="BZ337" s="256"/>
    </row>
    <row r="338" spans="1:78" ht="15" thickBot="1">
      <c r="A338" s="483" t="s">
        <v>51</v>
      </c>
      <c r="B338" s="432">
        <v>2000</v>
      </c>
      <c r="C338" s="432">
        <v>2015</v>
      </c>
      <c r="D338" s="432">
        <v>2020</v>
      </c>
      <c r="E338" s="432">
        <v>2025</v>
      </c>
      <c r="F338" s="432">
        <v>2030</v>
      </c>
      <c r="G338" s="432">
        <v>2050</v>
      </c>
      <c r="H338" s="452" t="s">
        <v>98</v>
      </c>
      <c r="I338" s="453" t="s">
        <v>99</v>
      </c>
      <c r="J338" s="453" t="s">
        <v>100</v>
      </c>
      <c r="K338" s="453" t="s">
        <v>101</v>
      </c>
      <c r="L338" s="454" t="s">
        <v>384</v>
      </c>
      <c r="M338" s="256"/>
      <c r="N338" s="256"/>
      <c r="O338" s="256"/>
      <c r="P338" s="256"/>
      <c r="Q338" s="256"/>
      <c r="R338" s="256"/>
      <c r="S338" s="256"/>
      <c r="T338" s="256"/>
      <c r="U338" s="256"/>
      <c r="V338" s="256"/>
      <c r="W338" s="256"/>
      <c r="X338" s="256"/>
      <c r="Y338" s="256"/>
      <c r="Z338" s="256"/>
      <c r="AA338" s="256"/>
      <c r="AB338" s="256"/>
      <c r="AC338" s="256"/>
      <c r="AD338" s="256"/>
      <c r="AE338" s="256"/>
      <c r="AF338" s="256"/>
      <c r="AG338" s="256"/>
      <c r="AH338" s="256"/>
      <c r="AI338" s="256"/>
      <c r="AJ338" s="256"/>
      <c r="AK338" s="256"/>
      <c r="AL338" s="256"/>
      <c r="AM338" s="256"/>
      <c r="AN338" s="256"/>
      <c r="AO338" s="256"/>
      <c r="AP338" s="256"/>
      <c r="AQ338" s="256"/>
      <c r="AR338" s="256"/>
      <c r="AS338" s="256"/>
      <c r="AT338" s="256"/>
      <c r="AU338" s="256"/>
      <c r="AV338" s="256"/>
      <c r="AW338" s="256"/>
      <c r="AX338" s="256"/>
      <c r="AY338" s="256"/>
      <c r="AZ338" s="256"/>
      <c r="BA338" s="256"/>
      <c r="BB338" s="256"/>
      <c r="BC338" s="256"/>
      <c r="BD338" s="256"/>
      <c r="BE338" s="256"/>
      <c r="BF338" s="256"/>
      <c r="BG338" s="256"/>
      <c r="BH338" s="256"/>
      <c r="BI338" s="256"/>
      <c r="BJ338" s="256"/>
      <c r="BK338" s="256"/>
      <c r="BL338" s="256"/>
      <c r="BM338" s="256"/>
      <c r="BN338" s="256"/>
      <c r="BO338" s="256"/>
      <c r="BP338" s="256"/>
      <c r="BQ338" s="256"/>
      <c r="BR338" s="256"/>
      <c r="BS338" s="256"/>
      <c r="BT338" s="256"/>
      <c r="BU338" s="256"/>
      <c r="BV338" s="256"/>
      <c r="BW338" s="256"/>
      <c r="BX338" s="256"/>
      <c r="BY338" s="256"/>
      <c r="BZ338" s="256"/>
    </row>
    <row r="339" spans="1:78">
      <c r="A339" s="435" t="s">
        <v>103</v>
      </c>
      <c r="B339" s="533">
        <v>3.48</v>
      </c>
      <c r="C339" s="455">
        <v>3.32</v>
      </c>
      <c r="D339" s="455">
        <v>3.2403790892055202</v>
      </c>
      <c r="E339" s="455">
        <v>3.1480557957396398</v>
      </c>
      <c r="F339" s="455">
        <v>3.0575434296915498</v>
      </c>
      <c r="G339" s="455">
        <v>2.7373456688112698</v>
      </c>
      <c r="H339" s="456">
        <v>-3.1329162010640399E-3</v>
      </c>
      <c r="I339" s="457">
        <v>-4.8431254885559199E-3</v>
      </c>
      <c r="J339" s="457">
        <v>-5.7643761037503597E-3</v>
      </c>
      <c r="K339" s="457">
        <v>-5.8176638310959402E-3</v>
      </c>
      <c r="L339" s="458">
        <v>-5.5158851293937196E-3</v>
      </c>
      <c r="M339" s="256"/>
      <c r="N339" s="256"/>
      <c r="O339" s="256"/>
      <c r="P339" s="256"/>
      <c r="Q339" s="256"/>
      <c r="R339" s="256"/>
      <c r="S339" s="256"/>
      <c r="T339" s="256"/>
      <c r="U339" s="256"/>
      <c r="V339" s="256"/>
      <c r="W339" s="256"/>
      <c r="X339" s="256"/>
      <c r="Y339" s="256"/>
      <c r="Z339" s="256"/>
      <c r="AA339" s="256"/>
      <c r="AB339" s="256"/>
      <c r="AC339" s="256"/>
      <c r="AD339" s="256"/>
      <c r="AE339" s="256"/>
      <c r="AF339" s="256"/>
      <c r="AG339" s="256"/>
      <c r="AH339" s="256"/>
      <c r="AI339" s="256"/>
      <c r="AJ339" s="256"/>
      <c r="AK339" s="256"/>
      <c r="AL339" s="256"/>
      <c r="AM339" s="256"/>
      <c r="AN339" s="256"/>
      <c r="AO339" s="256"/>
      <c r="AP339" s="256"/>
      <c r="AQ339" s="256"/>
      <c r="AR339" s="256"/>
      <c r="AS339" s="256"/>
      <c r="AT339" s="256"/>
      <c r="AU339" s="256"/>
      <c r="AV339" s="256"/>
      <c r="AW339" s="256"/>
      <c r="AX339" s="256"/>
      <c r="AY339" s="256"/>
      <c r="AZ339" s="256"/>
      <c r="BA339" s="256"/>
      <c r="BB339" s="256"/>
      <c r="BC339" s="256"/>
      <c r="BD339" s="256"/>
      <c r="BE339" s="256"/>
      <c r="BF339" s="256"/>
      <c r="BG339" s="256"/>
      <c r="BH339" s="256"/>
      <c r="BI339" s="256"/>
      <c r="BJ339" s="256"/>
      <c r="BK339" s="256"/>
      <c r="BL339" s="256"/>
      <c r="BM339" s="256"/>
      <c r="BN339" s="256"/>
      <c r="BO339" s="256"/>
      <c r="BP339" s="256"/>
      <c r="BQ339" s="256"/>
      <c r="BR339" s="256"/>
      <c r="BS339" s="256"/>
      <c r="BT339" s="256"/>
      <c r="BU339" s="256"/>
      <c r="BV339" s="256"/>
      <c r="BW339" s="256"/>
      <c r="BX339" s="256"/>
      <c r="BY339" s="256"/>
      <c r="BZ339" s="256"/>
    </row>
    <row r="340" spans="1:78">
      <c r="A340" s="435" t="s">
        <v>54</v>
      </c>
      <c r="B340" s="455">
        <v>0.29509000000000002</v>
      </c>
      <c r="C340" s="455">
        <v>0.28999999999999998</v>
      </c>
      <c r="D340" s="455">
        <v>0.28932774170376402</v>
      </c>
      <c r="E340" s="455">
        <v>0.28766042012747101</v>
      </c>
      <c r="F340" s="455">
        <v>0.28593442316422701</v>
      </c>
      <c r="G340" s="455">
        <v>0.27632213168832598</v>
      </c>
      <c r="H340" s="461">
        <v>-1.1592922726594301E-3</v>
      </c>
      <c r="I340" s="462">
        <v>-4.6405690900497298E-4</v>
      </c>
      <c r="J340" s="462">
        <v>-1.15521466960655E-3</v>
      </c>
      <c r="K340" s="462">
        <v>-1.20291447393783E-3</v>
      </c>
      <c r="L340" s="463">
        <v>-1.7082974939792699E-3</v>
      </c>
      <c r="M340" s="256"/>
      <c r="N340" s="256"/>
      <c r="O340" s="256"/>
      <c r="P340" s="256"/>
      <c r="Q340" s="256"/>
      <c r="R340" s="256"/>
      <c r="S340" s="256"/>
      <c r="T340" s="256"/>
      <c r="U340" s="256"/>
      <c r="V340" s="256"/>
      <c r="W340" s="256"/>
      <c r="X340" s="256"/>
      <c r="Y340" s="256"/>
      <c r="Z340" s="256"/>
      <c r="AA340" s="256"/>
      <c r="AB340" s="256"/>
      <c r="AC340" s="256"/>
      <c r="AD340" s="256"/>
      <c r="AE340" s="256"/>
      <c r="AF340" s="256"/>
      <c r="AG340" s="256"/>
      <c r="AH340" s="256"/>
      <c r="AI340" s="256"/>
      <c r="AJ340" s="256"/>
      <c r="AK340" s="256"/>
      <c r="AL340" s="256"/>
      <c r="AM340" s="256"/>
      <c r="AN340" s="256"/>
      <c r="AO340" s="256"/>
      <c r="AP340" s="256"/>
      <c r="AQ340" s="256"/>
      <c r="AR340" s="256"/>
      <c r="AS340" s="256"/>
      <c r="AT340" s="256"/>
      <c r="AU340" s="256"/>
      <c r="AV340" s="256"/>
      <c r="AW340" s="256"/>
      <c r="AX340" s="256"/>
      <c r="AY340" s="256"/>
      <c r="AZ340" s="256"/>
      <c r="BA340" s="256"/>
      <c r="BB340" s="256"/>
      <c r="BC340" s="256"/>
      <c r="BD340" s="256"/>
      <c r="BE340" s="256"/>
      <c r="BF340" s="256"/>
      <c r="BG340" s="256"/>
      <c r="BH340" s="256"/>
      <c r="BI340" s="256"/>
      <c r="BJ340" s="256"/>
      <c r="BK340" s="256"/>
      <c r="BL340" s="256"/>
      <c r="BM340" s="256"/>
      <c r="BN340" s="256"/>
      <c r="BO340" s="256"/>
      <c r="BP340" s="256"/>
      <c r="BQ340" s="256"/>
      <c r="BR340" s="256"/>
      <c r="BS340" s="256"/>
      <c r="BT340" s="256"/>
      <c r="BU340" s="256"/>
      <c r="BV340" s="256"/>
      <c r="BW340" s="256"/>
      <c r="BX340" s="256"/>
      <c r="BY340" s="256"/>
      <c r="BZ340" s="256"/>
    </row>
    <row r="341" spans="1:78">
      <c r="A341" s="435" t="s">
        <v>42</v>
      </c>
      <c r="B341" s="455">
        <v>0</v>
      </c>
      <c r="C341" s="455">
        <v>0</v>
      </c>
      <c r="D341" s="455">
        <v>0</v>
      </c>
      <c r="E341" s="455">
        <v>0</v>
      </c>
      <c r="F341" s="455">
        <v>0</v>
      </c>
      <c r="G341" s="455">
        <v>0</v>
      </c>
      <c r="H341" s="461"/>
      <c r="I341" s="462"/>
      <c r="J341" s="462"/>
      <c r="K341" s="462"/>
      <c r="L341" s="463"/>
      <c r="M341" s="256"/>
      <c r="N341" s="256"/>
      <c r="O341" s="256"/>
      <c r="P341" s="256"/>
      <c r="Q341" s="256"/>
      <c r="R341" s="256"/>
      <c r="S341" s="256"/>
      <c r="T341" s="256"/>
      <c r="U341" s="256"/>
      <c r="V341" s="256"/>
      <c r="W341" s="256"/>
      <c r="X341" s="256"/>
      <c r="Y341" s="256"/>
      <c r="Z341" s="256"/>
      <c r="AA341" s="256"/>
      <c r="AB341" s="256"/>
      <c r="AC341" s="256"/>
      <c r="AD341" s="256"/>
      <c r="AE341" s="256"/>
      <c r="AF341" s="256"/>
      <c r="AG341" s="256"/>
      <c r="AH341" s="256"/>
      <c r="AI341" s="256"/>
      <c r="AJ341" s="256"/>
      <c r="AK341" s="256"/>
      <c r="AL341" s="256"/>
      <c r="AM341" s="256"/>
      <c r="AN341" s="256"/>
      <c r="AO341" s="256"/>
      <c r="AP341" s="256"/>
      <c r="AQ341" s="256"/>
      <c r="AR341" s="256"/>
      <c r="AS341" s="256"/>
      <c r="AT341" s="256"/>
      <c r="AU341" s="256"/>
      <c r="AV341" s="256"/>
      <c r="AW341" s="256"/>
      <c r="AX341" s="256"/>
      <c r="AY341" s="256"/>
      <c r="AZ341" s="256"/>
      <c r="BA341" s="256"/>
      <c r="BB341" s="256"/>
      <c r="BC341" s="256"/>
      <c r="BD341" s="256"/>
      <c r="BE341" s="256"/>
      <c r="BF341" s="256"/>
      <c r="BG341" s="256"/>
      <c r="BH341" s="256"/>
      <c r="BI341" s="256"/>
      <c r="BJ341" s="256"/>
      <c r="BK341" s="256"/>
      <c r="BL341" s="256"/>
      <c r="BM341" s="256"/>
      <c r="BN341" s="256"/>
      <c r="BO341" s="256"/>
      <c r="BP341" s="256"/>
      <c r="BQ341" s="256"/>
      <c r="BR341" s="256"/>
      <c r="BS341" s="256"/>
      <c r="BT341" s="256"/>
      <c r="BU341" s="256"/>
      <c r="BV341" s="256"/>
      <c r="BW341" s="256"/>
      <c r="BX341" s="256"/>
      <c r="BY341" s="256"/>
      <c r="BZ341" s="256"/>
    </row>
    <row r="342" spans="1:78">
      <c r="A342" s="435" t="s">
        <v>104</v>
      </c>
      <c r="B342" s="455">
        <v>0.51178999999999997</v>
      </c>
      <c r="C342" s="455">
        <v>0.7</v>
      </c>
      <c r="D342" s="455">
        <v>0.67672325485005003</v>
      </c>
      <c r="E342" s="455">
        <v>0.655302823772964</v>
      </c>
      <c r="F342" s="455">
        <v>0.63033074879441797</v>
      </c>
      <c r="G342" s="455">
        <v>0.54480189739640505</v>
      </c>
      <c r="H342" s="461">
        <v>2.1097194477189801E-2</v>
      </c>
      <c r="I342" s="462">
        <v>-6.7407638997093499E-3</v>
      </c>
      <c r="J342" s="462">
        <v>-6.4123431274779596E-3</v>
      </c>
      <c r="K342" s="462">
        <v>-7.7404423762908996E-3</v>
      </c>
      <c r="L342" s="463">
        <v>-7.2646063585369803E-3</v>
      </c>
      <c r="M342" s="256"/>
      <c r="N342" s="256"/>
      <c r="O342" s="256"/>
      <c r="P342" s="256"/>
      <c r="Q342" s="256"/>
      <c r="R342" s="256"/>
      <c r="S342" s="256"/>
      <c r="T342" s="256"/>
      <c r="U342" s="256"/>
      <c r="V342" s="256"/>
      <c r="W342" s="256"/>
      <c r="X342" s="256"/>
      <c r="Y342" s="256"/>
      <c r="Z342" s="256"/>
      <c r="AA342" s="256"/>
      <c r="AB342" s="256"/>
      <c r="AC342" s="256"/>
      <c r="AD342" s="256"/>
      <c r="AE342" s="256"/>
      <c r="AF342" s="256"/>
      <c r="AG342" s="256"/>
      <c r="AH342" s="256"/>
      <c r="AI342" s="256"/>
      <c r="AJ342" s="256"/>
      <c r="AK342" s="256"/>
      <c r="AL342" s="256"/>
      <c r="AM342" s="256"/>
      <c r="AN342" s="256"/>
      <c r="AO342" s="256"/>
      <c r="AP342" s="256"/>
      <c r="AQ342" s="256"/>
      <c r="AR342" s="256"/>
      <c r="AS342" s="256"/>
      <c r="AT342" s="256"/>
      <c r="AU342" s="256"/>
      <c r="AV342" s="256"/>
      <c r="AW342" s="256"/>
      <c r="AX342" s="256"/>
      <c r="AY342" s="256"/>
      <c r="AZ342" s="256"/>
      <c r="BA342" s="256"/>
      <c r="BB342" s="256"/>
      <c r="BC342" s="256"/>
      <c r="BD342" s="256"/>
      <c r="BE342" s="256"/>
      <c r="BF342" s="256"/>
      <c r="BG342" s="256"/>
      <c r="BH342" s="256"/>
      <c r="BI342" s="256"/>
      <c r="BJ342" s="256"/>
      <c r="BK342" s="256"/>
      <c r="BL342" s="256"/>
      <c r="BM342" s="256"/>
      <c r="BN342" s="256"/>
      <c r="BO342" s="256"/>
      <c r="BP342" s="256"/>
      <c r="BQ342" s="256"/>
      <c r="BR342" s="256"/>
      <c r="BS342" s="256"/>
      <c r="BT342" s="256"/>
      <c r="BU342" s="256"/>
      <c r="BV342" s="256"/>
      <c r="BW342" s="256"/>
      <c r="BX342" s="256"/>
      <c r="BY342" s="256"/>
      <c r="BZ342" s="256"/>
    </row>
    <row r="343" spans="1:78">
      <c r="A343" s="435" t="s">
        <v>105</v>
      </c>
      <c r="B343" s="455">
        <v>0</v>
      </c>
      <c r="C343" s="455">
        <v>0</v>
      </c>
      <c r="D343" s="455">
        <v>0</v>
      </c>
      <c r="E343" s="455">
        <v>0</v>
      </c>
      <c r="F343" s="455">
        <v>0</v>
      </c>
      <c r="G343" s="455">
        <v>0</v>
      </c>
      <c r="H343" s="461"/>
      <c r="I343" s="462"/>
      <c r="J343" s="462"/>
      <c r="K343" s="462"/>
      <c r="L343" s="463"/>
      <c r="M343" s="256"/>
      <c r="N343" s="256"/>
      <c r="O343" s="256"/>
      <c r="P343" s="256"/>
      <c r="Q343" s="256"/>
      <c r="R343" s="256"/>
      <c r="S343" s="256"/>
      <c r="T343" s="256"/>
      <c r="U343" s="256"/>
      <c r="V343" s="256"/>
      <c r="W343" s="256"/>
      <c r="X343" s="256"/>
      <c r="Y343" s="256"/>
      <c r="Z343" s="256"/>
      <c r="AA343" s="256"/>
      <c r="AB343" s="256"/>
      <c r="AC343" s="256"/>
      <c r="AD343" s="256"/>
      <c r="AE343" s="256"/>
      <c r="AF343" s="256"/>
      <c r="AG343" s="256"/>
      <c r="AH343" s="256"/>
      <c r="AI343" s="256"/>
      <c r="AJ343" s="256"/>
      <c r="AK343" s="256"/>
      <c r="AL343" s="256"/>
      <c r="AM343" s="256"/>
      <c r="AN343" s="256"/>
      <c r="AO343" s="256"/>
      <c r="AP343" s="256"/>
      <c r="AQ343" s="256"/>
      <c r="AR343" s="256"/>
      <c r="AS343" s="256"/>
      <c r="AT343" s="256"/>
      <c r="AU343" s="256"/>
      <c r="AV343" s="256"/>
      <c r="AW343" s="256"/>
      <c r="AX343" s="256"/>
      <c r="AY343" s="256"/>
      <c r="AZ343" s="256"/>
      <c r="BA343" s="256"/>
      <c r="BB343" s="256"/>
      <c r="BC343" s="256"/>
      <c r="BD343" s="256"/>
      <c r="BE343" s="256"/>
      <c r="BF343" s="256"/>
      <c r="BG343" s="256"/>
      <c r="BH343" s="256"/>
      <c r="BI343" s="256"/>
      <c r="BJ343" s="256"/>
      <c r="BK343" s="256"/>
      <c r="BL343" s="256"/>
      <c r="BM343" s="256"/>
      <c r="BN343" s="256"/>
      <c r="BO343" s="256"/>
      <c r="BP343" s="256"/>
      <c r="BQ343" s="256"/>
      <c r="BR343" s="256"/>
      <c r="BS343" s="256"/>
      <c r="BT343" s="256"/>
      <c r="BU343" s="256"/>
      <c r="BV343" s="256"/>
      <c r="BW343" s="256"/>
      <c r="BX343" s="256"/>
      <c r="BY343" s="256"/>
      <c r="BZ343" s="256"/>
    </row>
    <row r="344" spans="1:78">
      <c r="A344" s="435" t="s">
        <v>134</v>
      </c>
      <c r="B344" s="455">
        <v>7.0879999999999999E-2</v>
      </c>
      <c r="C344" s="455">
        <v>0.15</v>
      </c>
      <c r="D344" s="455">
        <v>0.15</v>
      </c>
      <c r="E344" s="455">
        <v>0.15</v>
      </c>
      <c r="F344" s="455">
        <v>0.15</v>
      </c>
      <c r="G344" s="455">
        <v>0.15</v>
      </c>
      <c r="H344" s="461">
        <v>5.1246355898939798E-2</v>
      </c>
      <c r="I344" s="462">
        <v>0</v>
      </c>
      <c r="J344" s="462">
        <v>0</v>
      </c>
      <c r="K344" s="462">
        <v>0</v>
      </c>
      <c r="L344" s="463">
        <v>0</v>
      </c>
      <c r="M344" s="256"/>
      <c r="N344" s="256"/>
      <c r="O344" s="256"/>
      <c r="P344" s="256"/>
      <c r="Q344" s="256"/>
      <c r="R344" s="256"/>
      <c r="S344" s="256"/>
      <c r="T344" s="256"/>
      <c r="U344" s="256"/>
      <c r="V344" s="256"/>
      <c r="W344" s="256"/>
      <c r="X344" s="256"/>
      <c r="Y344" s="256"/>
      <c r="Z344" s="256"/>
      <c r="AA344" s="256"/>
      <c r="AB344" s="256"/>
      <c r="AC344" s="256"/>
      <c r="AD344" s="256"/>
      <c r="AE344" s="256"/>
      <c r="AF344" s="256"/>
      <c r="AG344" s="256"/>
      <c r="AH344" s="256"/>
      <c r="AI344" s="256"/>
      <c r="AJ344" s="256"/>
      <c r="AK344" s="256"/>
      <c r="AL344" s="256"/>
      <c r="AM344" s="256"/>
      <c r="AN344" s="256"/>
      <c r="AO344" s="256"/>
      <c r="AP344" s="256"/>
      <c r="AQ344" s="256"/>
      <c r="AR344" s="256"/>
      <c r="AS344" s="256"/>
      <c r="AT344" s="256"/>
      <c r="AU344" s="256"/>
      <c r="AV344" s="256"/>
      <c r="AW344" s="256"/>
      <c r="AX344" s="256"/>
      <c r="AY344" s="256"/>
      <c r="AZ344" s="256"/>
      <c r="BA344" s="256"/>
      <c r="BB344" s="256"/>
      <c r="BC344" s="256"/>
      <c r="BD344" s="256"/>
      <c r="BE344" s="256"/>
      <c r="BF344" s="256"/>
      <c r="BG344" s="256"/>
      <c r="BH344" s="256"/>
      <c r="BI344" s="256"/>
      <c r="BJ344" s="256"/>
      <c r="BK344" s="256"/>
      <c r="BL344" s="256"/>
      <c r="BM344" s="256"/>
      <c r="BN344" s="256"/>
      <c r="BO344" s="256"/>
      <c r="BP344" s="256"/>
      <c r="BQ344" s="256"/>
      <c r="BR344" s="256"/>
      <c r="BS344" s="256"/>
      <c r="BT344" s="256"/>
      <c r="BU344" s="256"/>
      <c r="BV344" s="256"/>
      <c r="BW344" s="256"/>
      <c r="BX344" s="256"/>
      <c r="BY344" s="256"/>
      <c r="BZ344" s="256"/>
    </row>
    <row r="345" spans="1:78">
      <c r="A345" s="435"/>
      <c r="B345" s="436"/>
      <c r="C345" s="436"/>
      <c r="D345" s="436"/>
      <c r="E345" s="436"/>
      <c r="F345" s="436"/>
      <c r="G345" s="436"/>
      <c r="H345" s="461"/>
      <c r="I345" s="462"/>
      <c r="J345" s="462"/>
      <c r="K345" s="462"/>
      <c r="L345" s="463"/>
      <c r="M345" s="256"/>
      <c r="N345" s="256"/>
      <c r="O345" s="256"/>
      <c r="P345" s="256"/>
      <c r="Q345" s="256"/>
      <c r="R345" s="256"/>
      <c r="S345" s="256"/>
      <c r="T345" s="256"/>
      <c r="U345" s="256"/>
      <c r="V345" s="256"/>
      <c r="W345" s="256"/>
      <c r="X345" s="256"/>
      <c r="Y345" s="256"/>
      <c r="Z345" s="256"/>
      <c r="AA345" s="256"/>
      <c r="AB345" s="256"/>
      <c r="AC345" s="256"/>
      <c r="AD345" s="256"/>
      <c r="AE345" s="256"/>
      <c r="AF345" s="256"/>
      <c r="AG345" s="256"/>
      <c r="AH345" s="256"/>
      <c r="AI345" s="256"/>
      <c r="AJ345" s="256"/>
      <c r="AK345" s="256"/>
      <c r="AL345" s="256"/>
      <c r="AM345" s="256"/>
      <c r="AN345" s="256"/>
      <c r="AO345" s="256"/>
      <c r="AP345" s="256"/>
      <c r="AQ345" s="256"/>
      <c r="AR345" s="256"/>
      <c r="AS345" s="256"/>
      <c r="AT345" s="256"/>
      <c r="AU345" s="256"/>
      <c r="AV345" s="256"/>
      <c r="AW345" s="256"/>
      <c r="AX345" s="256"/>
      <c r="AY345" s="256"/>
      <c r="AZ345" s="256"/>
      <c r="BA345" s="256"/>
      <c r="BB345" s="256"/>
      <c r="BC345" s="256"/>
      <c r="BD345" s="256"/>
      <c r="BE345" s="256"/>
      <c r="BF345" s="256"/>
      <c r="BG345" s="256"/>
      <c r="BH345" s="256"/>
      <c r="BI345" s="256"/>
      <c r="BJ345" s="256"/>
      <c r="BK345" s="256"/>
      <c r="BL345" s="256"/>
      <c r="BM345" s="256"/>
      <c r="BN345" s="256"/>
      <c r="BO345" s="256"/>
      <c r="BP345" s="256"/>
      <c r="BQ345" s="256"/>
      <c r="BR345" s="256"/>
      <c r="BS345" s="256"/>
      <c r="BT345" s="256"/>
      <c r="BU345" s="256"/>
      <c r="BV345" s="256"/>
      <c r="BW345" s="256"/>
      <c r="BX345" s="256"/>
      <c r="BY345" s="256"/>
      <c r="BZ345" s="256"/>
    </row>
    <row r="346" spans="1:78" ht="15" thickBot="1">
      <c r="A346" s="444" t="s">
        <v>10</v>
      </c>
      <c r="B346" s="464">
        <v>4.3577599999999999</v>
      </c>
      <c r="C346" s="464">
        <v>4.46</v>
      </c>
      <c r="D346" s="464">
        <v>4.3564300857593397</v>
      </c>
      <c r="E346" s="464">
        <v>4.2410190396400802</v>
      </c>
      <c r="F346" s="464">
        <v>4.1238086016501896</v>
      </c>
      <c r="G346" s="464">
        <v>3.7084696978960001</v>
      </c>
      <c r="H346" s="466">
        <v>1.54723588017358E-3</v>
      </c>
      <c r="I346" s="467">
        <v>-4.6881425382782104E-3</v>
      </c>
      <c r="J346" s="467">
        <v>-5.3554788952561204E-3</v>
      </c>
      <c r="K346" s="467">
        <v>-5.5896048360853899E-3</v>
      </c>
      <c r="L346" s="468">
        <v>-5.2938301838630899E-3</v>
      </c>
      <c r="M346" s="256"/>
      <c r="N346" s="256"/>
      <c r="O346" s="256"/>
      <c r="P346" s="256"/>
      <c r="Q346" s="256"/>
      <c r="R346" s="256"/>
      <c r="S346" s="256"/>
      <c r="T346" s="256"/>
      <c r="U346" s="256"/>
      <c r="V346" s="256"/>
      <c r="W346" s="256"/>
      <c r="X346" s="256"/>
      <c r="Y346" s="256"/>
      <c r="Z346" s="256"/>
      <c r="AA346" s="256"/>
      <c r="AB346" s="256"/>
      <c r="AC346" s="256"/>
      <c r="AD346" s="256"/>
      <c r="AE346" s="256"/>
      <c r="AF346" s="256"/>
      <c r="AG346" s="256"/>
      <c r="AH346" s="256"/>
      <c r="AI346" s="256"/>
      <c r="AJ346" s="256"/>
      <c r="AK346" s="256"/>
      <c r="AL346" s="256"/>
      <c r="AM346" s="256"/>
      <c r="AN346" s="256"/>
      <c r="AO346" s="256"/>
      <c r="AP346" s="256"/>
      <c r="AQ346" s="256"/>
      <c r="AR346" s="256"/>
      <c r="AS346" s="256"/>
      <c r="AT346" s="256"/>
      <c r="AU346" s="256"/>
      <c r="AV346" s="256"/>
      <c r="AW346" s="256"/>
      <c r="AX346" s="256"/>
      <c r="AY346" s="256"/>
      <c r="AZ346" s="256"/>
      <c r="BA346" s="256"/>
      <c r="BB346" s="256"/>
      <c r="BC346" s="256"/>
      <c r="BD346" s="256"/>
      <c r="BE346" s="256"/>
      <c r="BF346" s="256"/>
      <c r="BG346" s="256"/>
      <c r="BH346" s="256"/>
      <c r="BI346" s="256"/>
      <c r="BJ346" s="256"/>
      <c r="BK346" s="256"/>
      <c r="BL346" s="256"/>
      <c r="BM346" s="256"/>
      <c r="BN346" s="256"/>
      <c r="BO346" s="256"/>
      <c r="BP346" s="256"/>
      <c r="BQ346" s="256"/>
      <c r="BR346" s="256"/>
      <c r="BS346" s="256"/>
      <c r="BT346" s="256"/>
      <c r="BU346" s="256"/>
      <c r="BV346" s="256"/>
      <c r="BW346" s="256"/>
      <c r="BX346" s="256"/>
      <c r="BY346" s="256"/>
      <c r="BZ346" s="256"/>
    </row>
    <row r="347" spans="1:78" ht="15.5">
      <c r="A347" s="532"/>
      <c r="B347" s="256"/>
      <c r="C347" s="256"/>
      <c r="D347" s="256"/>
      <c r="E347" s="256"/>
      <c r="F347" s="256"/>
      <c r="G347" s="256"/>
      <c r="H347" s="256"/>
      <c r="I347" s="256"/>
      <c r="J347" s="256"/>
      <c r="K347" s="256"/>
      <c r="L347" s="256"/>
      <c r="M347" s="256"/>
      <c r="N347" s="256"/>
      <c r="O347" s="256"/>
      <c r="P347" s="256"/>
      <c r="Q347" s="256"/>
      <c r="R347" s="256"/>
      <c r="S347" s="256"/>
      <c r="T347" s="256"/>
      <c r="U347" s="256"/>
      <c r="V347" s="256"/>
      <c r="W347" s="256"/>
      <c r="X347" s="256"/>
      <c r="Y347" s="256"/>
      <c r="Z347" s="256"/>
      <c r="AA347" s="256"/>
      <c r="AB347" s="256"/>
      <c r="AC347" s="256"/>
      <c r="AD347" s="256"/>
      <c r="AE347" s="256"/>
      <c r="AF347" s="256"/>
      <c r="AG347" s="256"/>
      <c r="AH347" s="256"/>
      <c r="AI347" s="256"/>
      <c r="AJ347" s="256"/>
      <c r="AK347" s="256"/>
      <c r="AL347" s="256"/>
      <c r="AM347" s="256"/>
      <c r="AN347" s="256"/>
      <c r="AO347" s="256"/>
      <c r="AP347" s="256"/>
      <c r="AQ347" s="256"/>
      <c r="AR347" s="256"/>
      <c r="AS347" s="256"/>
      <c r="AT347" s="256"/>
      <c r="AU347" s="256"/>
      <c r="AV347" s="256"/>
      <c r="AW347" s="256"/>
      <c r="AX347" s="256"/>
      <c r="AY347" s="256"/>
      <c r="AZ347" s="256"/>
      <c r="BA347" s="256"/>
      <c r="BB347" s="256"/>
      <c r="BC347" s="256"/>
      <c r="BD347" s="256"/>
      <c r="BE347" s="256"/>
      <c r="BF347" s="256"/>
      <c r="BG347" s="256"/>
      <c r="BH347" s="256"/>
      <c r="BI347" s="256"/>
      <c r="BJ347" s="256"/>
      <c r="BK347" s="256"/>
      <c r="BL347" s="256"/>
      <c r="BM347" s="256"/>
      <c r="BN347" s="256"/>
      <c r="BO347" s="256"/>
      <c r="BP347" s="256"/>
      <c r="BQ347" s="256"/>
      <c r="BR347" s="256"/>
      <c r="BS347" s="256"/>
      <c r="BT347" s="256"/>
      <c r="BU347" s="256"/>
      <c r="BV347" s="256"/>
      <c r="BW347" s="256"/>
      <c r="BX347" s="256"/>
      <c r="BY347" s="256"/>
      <c r="BZ347" s="256"/>
    </row>
    <row r="348" spans="1:78" ht="15.5">
      <c r="A348" s="532"/>
      <c r="B348" s="256"/>
      <c r="C348" s="256"/>
      <c r="D348" s="256"/>
      <c r="E348" s="256"/>
      <c r="F348" s="256"/>
      <c r="G348" s="256"/>
      <c r="H348" s="256"/>
      <c r="I348" s="256"/>
      <c r="J348" s="256"/>
      <c r="K348" s="256"/>
      <c r="L348" s="256"/>
      <c r="M348" s="256"/>
      <c r="N348" s="256"/>
      <c r="O348" s="256"/>
      <c r="P348" s="256"/>
      <c r="Q348" s="256"/>
      <c r="R348" s="256"/>
      <c r="S348" s="256"/>
      <c r="T348" s="256"/>
      <c r="U348" s="256"/>
      <c r="V348" s="256"/>
      <c r="W348" s="256"/>
      <c r="X348" s="256"/>
      <c r="Y348" s="256"/>
      <c r="Z348" s="256"/>
      <c r="AA348" s="256"/>
      <c r="AB348" s="256"/>
      <c r="AC348" s="256"/>
      <c r="AD348" s="256"/>
      <c r="AE348" s="256"/>
      <c r="AF348" s="256"/>
      <c r="AG348" s="256"/>
      <c r="AH348" s="256"/>
      <c r="AI348" s="256"/>
      <c r="AJ348" s="256"/>
      <c r="AK348" s="256"/>
      <c r="AL348" s="256"/>
      <c r="AM348" s="256"/>
      <c r="AN348" s="256"/>
      <c r="AO348" s="256"/>
      <c r="AP348" s="256"/>
      <c r="AQ348" s="256"/>
      <c r="AR348" s="256"/>
      <c r="AS348" s="256"/>
      <c r="AT348" s="256"/>
      <c r="AU348" s="256"/>
      <c r="AV348" s="256"/>
      <c r="AW348" s="256"/>
      <c r="AX348" s="256"/>
      <c r="AY348" s="256"/>
      <c r="AZ348" s="256"/>
      <c r="BA348" s="256"/>
      <c r="BB348" s="256"/>
      <c r="BC348" s="256"/>
      <c r="BD348" s="256"/>
      <c r="BE348" s="256"/>
      <c r="BF348" s="256"/>
      <c r="BG348" s="256"/>
      <c r="BH348" s="256"/>
      <c r="BI348" s="256"/>
      <c r="BJ348" s="256"/>
      <c r="BK348" s="256"/>
      <c r="BL348" s="256"/>
      <c r="BM348" s="256"/>
      <c r="BN348" s="256"/>
      <c r="BO348" s="256"/>
      <c r="BP348" s="256"/>
      <c r="BQ348" s="256"/>
      <c r="BR348" s="256"/>
      <c r="BS348" s="256"/>
      <c r="BT348" s="256"/>
      <c r="BU348" s="256"/>
      <c r="BV348" s="256"/>
      <c r="BW348" s="256"/>
      <c r="BX348" s="256"/>
      <c r="BY348" s="256"/>
      <c r="BZ348" s="256"/>
    </row>
    <row r="349" spans="1:78" ht="21">
      <c r="A349" s="425" t="s">
        <v>199</v>
      </c>
      <c r="B349" s="415"/>
      <c r="C349" s="415"/>
      <c r="D349" s="415"/>
      <c r="E349" s="415"/>
      <c r="F349" s="415"/>
      <c r="G349" s="487"/>
      <c r="H349" s="487"/>
      <c r="I349" s="487"/>
      <c r="J349" s="487"/>
      <c r="K349" s="487"/>
      <c r="L349" s="487"/>
      <c r="M349" s="256"/>
      <c r="N349" s="256"/>
      <c r="O349" s="256"/>
      <c r="P349" s="256"/>
      <c r="Q349" s="256"/>
      <c r="R349" s="256"/>
      <c r="S349" s="256"/>
      <c r="T349" s="256"/>
      <c r="U349" s="256"/>
      <c r="V349" s="256"/>
      <c r="W349" s="256"/>
      <c r="X349" s="256"/>
      <c r="Y349" s="256"/>
      <c r="Z349" s="256"/>
      <c r="AA349" s="256"/>
      <c r="AB349" s="256"/>
      <c r="AC349" s="256"/>
      <c r="AD349" s="256"/>
      <c r="AE349" s="256"/>
      <c r="AF349" s="256"/>
      <c r="AG349" s="256"/>
      <c r="AH349" s="256"/>
      <c r="AI349" s="256"/>
      <c r="AJ349" s="256"/>
      <c r="AK349" s="256"/>
      <c r="AL349" s="256"/>
      <c r="AM349" s="256"/>
      <c r="AN349" s="256"/>
      <c r="AO349" s="256"/>
      <c r="AP349" s="256"/>
      <c r="AQ349" s="256"/>
      <c r="AR349" s="256"/>
      <c r="AS349" s="256"/>
      <c r="AT349" s="256"/>
      <c r="AU349" s="256"/>
      <c r="AV349" s="256"/>
      <c r="AW349" s="256"/>
      <c r="AX349" s="256"/>
      <c r="AY349" s="256"/>
      <c r="AZ349" s="256"/>
      <c r="BA349" s="256"/>
      <c r="BB349" s="256"/>
      <c r="BC349" s="256"/>
      <c r="BD349" s="256"/>
      <c r="BE349" s="256"/>
      <c r="BF349" s="256"/>
      <c r="BG349" s="256"/>
      <c r="BH349" s="256"/>
      <c r="BI349" s="256"/>
      <c r="BJ349" s="256"/>
      <c r="BK349" s="256"/>
      <c r="BL349" s="256"/>
      <c r="BM349" s="256"/>
      <c r="BN349" s="256"/>
      <c r="BO349" s="256"/>
      <c r="BP349" s="256"/>
      <c r="BQ349" s="256"/>
      <c r="BR349" s="256"/>
      <c r="BS349" s="256"/>
      <c r="BT349" s="256"/>
      <c r="BU349" s="256"/>
      <c r="BV349" s="256"/>
      <c r="BW349" s="256"/>
      <c r="BX349" s="256"/>
      <c r="BY349" s="256"/>
      <c r="BZ349" s="256"/>
    </row>
    <row r="350" spans="1:78">
      <c r="A350" s="256"/>
      <c r="B350" s="256"/>
      <c r="C350" s="256"/>
      <c r="D350" s="256"/>
      <c r="E350" s="256"/>
      <c r="F350" s="451"/>
      <c r="G350" s="256"/>
      <c r="H350" s="256"/>
      <c r="I350" s="256"/>
      <c r="J350" s="256"/>
      <c r="K350" s="256"/>
      <c r="L350" s="256"/>
      <c r="M350" s="256"/>
      <c r="N350" s="256"/>
      <c r="O350" s="256"/>
      <c r="P350" s="256"/>
      <c r="Q350" s="256"/>
      <c r="R350" s="256"/>
      <c r="S350" s="256"/>
      <c r="T350" s="256"/>
      <c r="U350" s="256"/>
      <c r="V350" s="256"/>
      <c r="W350" s="256"/>
      <c r="X350" s="256"/>
      <c r="Y350" s="256"/>
      <c r="Z350" s="256"/>
      <c r="AA350" s="256"/>
      <c r="AB350" s="256"/>
      <c r="AC350" s="256"/>
      <c r="AD350" s="256"/>
      <c r="AE350" s="256"/>
      <c r="AF350" s="256"/>
      <c r="AG350" s="256"/>
      <c r="AH350" s="256"/>
      <c r="AI350" s="256"/>
      <c r="AJ350" s="256"/>
      <c r="AK350" s="256"/>
      <c r="AL350" s="256"/>
      <c r="AM350" s="256"/>
      <c r="AN350" s="256"/>
      <c r="AO350" s="256"/>
      <c r="AP350" s="256"/>
      <c r="AQ350" s="256"/>
      <c r="AR350" s="256"/>
      <c r="AS350" s="256"/>
      <c r="AT350" s="256"/>
      <c r="AU350" s="256"/>
      <c r="AV350" s="256"/>
      <c r="AW350" s="256"/>
      <c r="AX350" s="256"/>
      <c r="AY350" s="256"/>
      <c r="AZ350" s="256"/>
      <c r="BA350" s="256"/>
      <c r="BB350" s="256"/>
      <c r="BC350" s="256"/>
      <c r="BD350" s="256"/>
      <c r="BE350" s="256"/>
      <c r="BF350" s="256"/>
      <c r="BG350" s="256"/>
      <c r="BH350" s="256"/>
      <c r="BI350" s="256"/>
      <c r="BJ350" s="256"/>
      <c r="BK350" s="256"/>
      <c r="BL350" s="256"/>
      <c r="BM350" s="256"/>
      <c r="BN350" s="256"/>
      <c r="BO350" s="256"/>
      <c r="BP350" s="256"/>
      <c r="BQ350" s="256"/>
      <c r="BR350" s="256"/>
      <c r="BS350" s="256"/>
      <c r="BT350" s="256"/>
      <c r="BU350" s="256"/>
      <c r="BV350" s="256"/>
      <c r="BW350" s="256"/>
      <c r="BX350" s="256"/>
      <c r="BY350" s="256"/>
      <c r="BZ350" s="256"/>
    </row>
    <row r="351" spans="1:78" ht="16" thickBot="1">
      <c r="A351" s="428" t="s">
        <v>200</v>
      </c>
      <c r="B351" s="430"/>
      <c r="C351" s="430"/>
      <c r="D351" s="430"/>
      <c r="E351" s="430"/>
      <c r="F351" s="430"/>
      <c r="G351" s="430"/>
      <c r="H351" s="430"/>
      <c r="I351" s="430"/>
      <c r="J351" s="430"/>
      <c r="K351" s="430"/>
      <c r="L351" s="430"/>
      <c r="M351" s="256"/>
      <c r="N351" s="256"/>
      <c r="O351" s="256"/>
      <c r="P351" s="256"/>
      <c r="Q351" s="256"/>
      <c r="R351" s="256"/>
      <c r="S351" s="256"/>
      <c r="T351" s="256"/>
      <c r="U351" s="256"/>
      <c r="V351" s="256"/>
      <c r="W351" s="256"/>
      <c r="X351" s="256"/>
      <c r="Y351" s="256"/>
      <c r="Z351" s="256"/>
      <c r="AA351" s="256"/>
      <c r="AB351" s="256"/>
      <c r="AC351" s="256"/>
      <c r="AD351" s="256"/>
      <c r="AE351" s="256"/>
      <c r="AF351" s="256"/>
      <c r="AG351" s="256"/>
      <c r="AH351" s="256"/>
      <c r="AI351" s="256"/>
      <c r="AJ351" s="256"/>
      <c r="AK351" s="256"/>
      <c r="AL351" s="256"/>
      <c r="AM351" s="256"/>
      <c r="AN351" s="256"/>
      <c r="AO351" s="256"/>
      <c r="AP351" s="256"/>
      <c r="AQ351" s="256"/>
      <c r="AR351" s="256"/>
      <c r="AS351" s="256"/>
      <c r="AT351" s="256"/>
      <c r="AU351" s="256"/>
      <c r="AV351" s="256"/>
      <c r="AW351" s="256"/>
      <c r="AX351" s="256"/>
      <c r="AY351" s="256"/>
      <c r="AZ351" s="256"/>
      <c r="BA351" s="256"/>
      <c r="BB351" s="256"/>
      <c r="BC351" s="256"/>
      <c r="BD351" s="256"/>
      <c r="BE351" s="256"/>
      <c r="BF351" s="256"/>
      <c r="BG351" s="256"/>
      <c r="BH351" s="256"/>
      <c r="BI351" s="256"/>
      <c r="BJ351" s="256"/>
      <c r="BK351" s="256"/>
      <c r="BL351" s="256"/>
      <c r="BM351" s="256"/>
      <c r="BN351" s="256"/>
      <c r="BO351" s="256"/>
      <c r="BP351" s="256"/>
      <c r="BQ351" s="256"/>
      <c r="BR351" s="256"/>
      <c r="BS351" s="256"/>
      <c r="BT351" s="256"/>
      <c r="BU351" s="256"/>
      <c r="BV351" s="256"/>
      <c r="BW351" s="256"/>
      <c r="BX351" s="256"/>
      <c r="BY351" s="256"/>
      <c r="BZ351" s="256"/>
    </row>
    <row r="352" spans="1:78" ht="15" thickBot="1">
      <c r="A352" s="483" t="s">
        <v>51</v>
      </c>
      <c r="B352" s="432">
        <v>2000</v>
      </c>
      <c r="C352" s="432">
        <v>2015</v>
      </c>
      <c r="D352" s="432">
        <v>2020</v>
      </c>
      <c r="E352" s="432">
        <v>2025</v>
      </c>
      <c r="F352" s="432">
        <v>2030</v>
      </c>
      <c r="G352" s="432">
        <v>2050</v>
      </c>
      <c r="H352" s="452" t="s">
        <v>98</v>
      </c>
      <c r="I352" s="453" t="s">
        <v>99</v>
      </c>
      <c r="J352" s="453" t="s">
        <v>100</v>
      </c>
      <c r="K352" s="453" t="s">
        <v>101</v>
      </c>
      <c r="L352" s="454" t="s">
        <v>384</v>
      </c>
      <c r="M352" s="256"/>
      <c r="N352" s="256"/>
      <c r="O352" s="256"/>
      <c r="P352" s="256"/>
      <c r="Q352" s="256"/>
      <c r="R352" s="256"/>
      <c r="S352" s="256"/>
      <c r="T352" s="256"/>
      <c r="U352" s="256"/>
      <c r="V352" s="256"/>
      <c r="W352" s="256"/>
      <c r="X352" s="256"/>
      <c r="Y352" s="256"/>
      <c r="Z352" s="256"/>
      <c r="AA352" s="256"/>
      <c r="AB352" s="256"/>
      <c r="AC352" s="256"/>
      <c r="AD352" s="256"/>
      <c r="AE352" s="256"/>
      <c r="AF352" s="256"/>
      <c r="AG352" s="256"/>
      <c r="AH352" s="256"/>
      <c r="AI352" s="256"/>
      <c r="AJ352" s="256"/>
      <c r="AK352" s="256"/>
      <c r="AL352" s="256"/>
      <c r="AM352" s="256"/>
      <c r="AN352" s="256"/>
      <c r="AO352" s="256"/>
      <c r="AP352" s="256"/>
      <c r="AQ352" s="256"/>
      <c r="AR352" s="256"/>
      <c r="AS352" s="256"/>
      <c r="AT352" s="256"/>
      <c r="AU352" s="256"/>
      <c r="AV352" s="256"/>
      <c r="AW352" s="256"/>
      <c r="AX352" s="256"/>
      <c r="AY352" s="256"/>
      <c r="AZ352" s="256"/>
      <c r="BA352" s="256"/>
      <c r="BB352" s="256"/>
      <c r="BC352" s="256"/>
      <c r="BD352" s="256"/>
      <c r="BE352" s="256"/>
      <c r="BF352" s="256"/>
      <c r="BG352" s="256"/>
      <c r="BH352" s="256"/>
      <c r="BI352" s="256"/>
      <c r="BJ352" s="256"/>
      <c r="BK352" s="256"/>
      <c r="BL352" s="256"/>
      <c r="BM352" s="256"/>
      <c r="BN352" s="256"/>
      <c r="BO352" s="256"/>
      <c r="BP352" s="256"/>
      <c r="BQ352" s="256"/>
      <c r="BR352" s="256"/>
      <c r="BS352" s="256"/>
      <c r="BT352" s="256"/>
      <c r="BU352" s="256"/>
      <c r="BV352" s="256"/>
      <c r="BW352" s="256"/>
      <c r="BX352" s="256"/>
      <c r="BY352" s="256"/>
      <c r="BZ352" s="256"/>
    </row>
    <row r="353" spans="1:78">
      <c r="A353" s="435" t="s">
        <v>103</v>
      </c>
      <c r="B353" s="455">
        <v>22.8002</v>
      </c>
      <c r="C353" s="455">
        <v>15.527200000000001</v>
      </c>
      <c r="D353" s="455">
        <v>12.9569790892055</v>
      </c>
      <c r="E353" s="455">
        <v>10.973955795739601</v>
      </c>
      <c r="F353" s="455">
        <v>9.1719434296915505</v>
      </c>
      <c r="G353" s="455">
        <v>7.5903456688112696</v>
      </c>
      <c r="H353" s="456">
        <v>-2.5286534008190101E-2</v>
      </c>
      <c r="I353" s="457">
        <v>-3.5544659702188099E-2</v>
      </c>
      <c r="J353" s="457">
        <v>-3.2676163359987201E-2</v>
      </c>
      <c r="K353" s="457">
        <v>-3.52392372773008E-2</v>
      </c>
      <c r="L353" s="458">
        <v>-9.4189642445359194E-3</v>
      </c>
      <c r="M353" s="256"/>
      <c r="N353" s="256"/>
      <c r="O353" s="256"/>
      <c r="P353" s="256"/>
      <c r="Q353" s="256"/>
      <c r="R353" s="256"/>
      <c r="S353" s="256"/>
      <c r="T353" s="256"/>
      <c r="U353" s="256"/>
      <c r="V353" s="256"/>
      <c r="W353" s="256"/>
      <c r="X353" s="256"/>
      <c r="Y353" s="256"/>
      <c r="Z353" s="256"/>
      <c r="AA353" s="256"/>
      <c r="AB353" s="256"/>
      <c r="AC353" s="256"/>
      <c r="AD353" s="256"/>
      <c r="AE353" s="256"/>
      <c r="AF353" s="256"/>
      <c r="AG353" s="256"/>
      <c r="AH353" s="256"/>
      <c r="AI353" s="256"/>
      <c r="AJ353" s="256"/>
      <c r="AK353" s="256"/>
      <c r="AL353" s="256"/>
      <c r="AM353" s="256"/>
      <c r="AN353" s="256"/>
      <c r="AO353" s="256"/>
      <c r="AP353" s="256"/>
      <c r="AQ353" s="256"/>
      <c r="AR353" s="256"/>
      <c r="AS353" s="256"/>
      <c r="AT353" s="256"/>
      <c r="AU353" s="256"/>
      <c r="AV353" s="256"/>
      <c r="AW353" s="256"/>
      <c r="AX353" s="256"/>
      <c r="AY353" s="256"/>
      <c r="AZ353" s="256"/>
      <c r="BA353" s="256"/>
      <c r="BB353" s="256"/>
      <c r="BC353" s="256"/>
      <c r="BD353" s="256"/>
      <c r="BE353" s="256"/>
      <c r="BF353" s="256"/>
      <c r="BG353" s="256"/>
      <c r="BH353" s="256"/>
      <c r="BI353" s="256"/>
      <c r="BJ353" s="256"/>
      <c r="BK353" s="256"/>
      <c r="BL353" s="256"/>
      <c r="BM353" s="256"/>
      <c r="BN353" s="256"/>
      <c r="BO353" s="256"/>
      <c r="BP353" s="256"/>
      <c r="BQ353" s="256"/>
      <c r="BR353" s="256"/>
      <c r="BS353" s="256"/>
      <c r="BT353" s="256"/>
      <c r="BU353" s="256"/>
      <c r="BV353" s="256"/>
      <c r="BW353" s="256"/>
      <c r="BX353" s="256"/>
      <c r="BY353" s="256"/>
      <c r="BZ353" s="256"/>
    </row>
    <row r="354" spans="1:78">
      <c r="A354" s="435" t="s">
        <v>201</v>
      </c>
      <c r="B354" s="455">
        <v>42.525199999999998</v>
      </c>
      <c r="C354" s="455">
        <v>41.209099999999999</v>
      </c>
      <c r="D354" s="455">
        <v>40.565300000000001</v>
      </c>
      <c r="E354" s="455">
        <v>39.285200000000003</v>
      </c>
      <c r="F354" s="455">
        <v>38.06</v>
      </c>
      <c r="G354" s="455">
        <v>36.410400000000003</v>
      </c>
      <c r="H354" s="461"/>
      <c r="I354" s="462"/>
      <c r="J354" s="462"/>
      <c r="K354" s="462"/>
      <c r="L354" s="463"/>
      <c r="M354" s="256"/>
      <c r="N354" s="256"/>
      <c r="O354" s="256"/>
      <c r="P354" s="256"/>
      <c r="Q354" s="256"/>
      <c r="R354" s="256"/>
      <c r="S354" s="256"/>
      <c r="T354" s="256"/>
      <c r="U354" s="256"/>
      <c r="V354" s="256"/>
      <c r="W354" s="256"/>
      <c r="X354" s="256"/>
      <c r="Y354" s="256"/>
      <c r="Z354" s="256"/>
      <c r="AA354" s="256"/>
      <c r="AB354" s="256"/>
      <c r="AC354" s="256"/>
      <c r="AD354" s="256"/>
      <c r="AE354" s="256"/>
      <c r="AF354" s="256"/>
      <c r="AG354" s="256"/>
      <c r="AH354" s="256"/>
      <c r="AI354" s="256"/>
      <c r="AJ354" s="256"/>
      <c r="AK354" s="256"/>
      <c r="AL354" s="256"/>
      <c r="AM354" s="256"/>
      <c r="AN354" s="256"/>
      <c r="AO354" s="256"/>
      <c r="AP354" s="256"/>
      <c r="AQ354" s="256"/>
      <c r="AR354" s="256"/>
      <c r="AS354" s="256"/>
      <c r="AT354" s="256"/>
      <c r="AU354" s="256"/>
      <c r="AV354" s="256"/>
      <c r="AW354" s="256"/>
      <c r="AX354" s="256"/>
      <c r="AY354" s="256"/>
      <c r="AZ354" s="256"/>
      <c r="BA354" s="256"/>
      <c r="BB354" s="256"/>
      <c r="BC354" s="256"/>
      <c r="BD354" s="256"/>
      <c r="BE354" s="256"/>
      <c r="BF354" s="256"/>
      <c r="BG354" s="256"/>
      <c r="BH354" s="256"/>
      <c r="BI354" s="256"/>
      <c r="BJ354" s="256"/>
      <c r="BK354" s="256"/>
      <c r="BL354" s="256"/>
      <c r="BM354" s="256"/>
      <c r="BN354" s="256"/>
      <c r="BO354" s="256"/>
      <c r="BP354" s="256"/>
      <c r="BQ354" s="256"/>
      <c r="BR354" s="256"/>
      <c r="BS354" s="256"/>
      <c r="BT354" s="256"/>
      <c r="BU354" s="256"/>
      <c r="BV354" s="256"/>
      <c r="BW354" s="256"/>
      <c r="BX354" s="256"/>
      <c r="BY354" s="256"/>
      <c r="BZ354" s="256"/>
    </row>
    <row r="355" spans="1:78">
      <c r="A355" s="435" t="s">
        <v>202</v>
      </c>
      <c r="B355" s="436">
        <v>32.84769</v>
      </c>
      <c r="C355" s="436">
        <v>31.136600000000001</v>
      </c>
      <c r="D355" s="436">
        <v>29.728227741703801</v>
      </c>
      <c r="E355" s="436">
        <v>28.822360420127499</v>
      </c>
      <c r="F355" s="436">
        <v>27.8636344231642</v>
      </c>
      <c r="G355" s="436">
        <v>26.639622131688299</v>
      </c>
      <c r="H355" s="461">
        <v>-3.5601440528808502E-3</v>
      </c>
      <c r="I355" s="462">
        <v>-9.2146728131732303E-3</v>
      </c>
      <c r="J355" s="462">
        <v>-6.1699937451433796E-3</v>
      </c>
      <c r="K355" s="462">
        <v>-6.7429786909308804E-3</v>
      </c>
      <c r="L355" s="463">
        <v>-2.2436169011268402E-3</v>
      </c>
      <c r="M355" s="256"/>
      <c r="N355" s="256"/>
      <c r="O355" s="256"/>
      <c r="P355" s="256"/>
      <c r="Q355" s="256"/>
      <c r="R355" s="256"/>
      <c r="S355" s="256"/>
      <c r="T355" s="256"/>
      <c r="U355" s="256"/>
      <c r="V355" s="256"/>
      <c r="W355" s="256"/>
      <c r="X355" s="256"/>
      <c r="Y355" s="256"/>
      <c r="Z355" s="256"/>
      <c r="AA355" s="256"/>
      <c r="AB355" s="256"/>
      <c r="AC355" s="256"/>
      <c r="AD355" s="256"/>
      <c r="AE355" s="256"/>
      <c r="AF355" s="256"/>
      <c r="AG355" s="256"/>
      <c r="AH355" s="256"/>
      <c r="AI355" s="256"/>
      <c r="AJ355" s="256"/>
      <c r="AK355" s="256"/>
      <c r="AL355" s="256"/>
      <c r="AM355" s="256"/>
      <c r="AN355" s="256"/>
      <c r="AO355" s="256"/>
      <c r="AP355" s="256"/>
      <c r="AQ355" s="256"/>
      <c r="AR355" s="256"/>
      <c r="AS355" s="256"/>
      <c r="AT355" s="256"/>
      <c r="AU355" s="256"/>
      <c r="AV355" s="256"/>
      <c r="AW355" s="256"/>
      <c r="AX355" s="256"/>
      <c r="AY355" s="256"/>
      <c r="AZ355" s="256"/>
      <c r="BA355" s="256"/>
      <c r="BB355" s="256"/>
      <c r="BC355" s="256"/>
      <c r="BD355" s="256"/>
      <c r="BE355" s="256"/>
      <c r="BF355" s="256"/>
      <c r="BG355" s="256"/>
      <c r="BH355" s="256"/>
      <c r="BI355" s="256"/>
      <c r="BJ355" s="256"/>
      <c r="BK355" s="256"/>
      <c r="BL355" s="256"/>
      <c r="BM355" s="256"/>
      <c r="BN355" s="256"/>
      <c r="BO355" s="256"/>
      <c r="BP355" s="256"/>
      <c r="BQ355" s="256"/>
      <c r="BR355" s="256"/>
      <c r="BS355" s="256"/>
      <c r="BT355" s="256"/>
      <c r="BU355" s="256"/>
      <c r="BV355" s="256"/>
      <c r="BW355" s="256"/>
      <c r="BX355" s="256"/>
      <c r="BY355" s="256"/>
      <c r="BZ355" s="256"/>
    </row>
    <row r="356" spans="1:78">
      <c r="A356" s="435" t="s">
        <v>203</v>
      </c>
      <c r="B356" s="436">
        <v>0</v>
      </c>
      <c r="C356" s="436">
        <v>7.5200000000000003E-2</v>
      </c>
      <c r="D356" s="436">
        <v>8.6400000000000005E-2</v>
      </c>
      <c r="E356" s="436">
        <v>9.1899999999999996E-2</v>
      </c>
      <c r="F356" s="436">
        <v>9.7500000000000003E-2</v>
      </c>
      <c r="G356" s="436">
        <v>0.1215</v>
      </c>
      <c r="H356" s="461"/>
      <c r="I356" s="462"/>
      <c r="J356" s="462"/>
      <c r="K356" s="462"/>
      <c r="L356" s="463"/>
      <c r="M356" s="256"/>
      <c r="N356" s="256"/>
      <c r="O356" s="256"/>
      <c r="P356" s="256"/>
      <c r="Q356" s="256"/>
      <c r="R356" s="256"/>
      <c r="S356" s="256"/>
      <c r="T356" s="256"/>
      <c r="U356" s="256"/>
      <c r="V356" s="256"/>
      <c r="W356" s="256"/>
      <c r="X356" s="256"/>
      <c r="Y356" s="256"/>
      <c r="Z356" s="256"/>
      <c r="AA356" s="256"/>
      <c r="AB356" s="256"/>
      <c r="AC356" s="256"/>
      <c r="AD356" s="256"/>
      <c r="AE356" s="256"/>
      <c r="AF356" s="256"/>
      <c r="AG356" s="256"/>
      <c r="AH356" s="256"/>
      <c r="AI356" s="256"/>
      <c r="AJ356" s="256"/>
      <c r="AK356" s="256"/>
      <c r="AL356" s="256"/>
      <c r="AM356" s="256"/>
      <c r="AN356" s="256"/>
      <c r="AO356" s="256"/>
      <c r="AP356" s="256"/>
      <c r="AQ356" s="256"/>
      <c r="AR356" s="256"/>
      <c r="AS356" s="256"/>
      <c r="AT356" s="256"/>
      <c r="AU356" s="256"/>
      <c r="AV356" s="256"/>
      <c r="AW356" s="256"/>
      <c r="AX356" s="256"/>
      <c r="AY356" s="256"/>
      <c r="AZ356" s="256"/>
      <c r="BA356" s="256"/>
      <c r="BB356" s="256"/>
      <c r="BC356" s="256"/>
      <c r="BD356" s="256"/>
      <c r="BE356" s="256"/>
      <c r="BF356" s="256"/>
      <c r="BG356" s="256"/>
      <c r="BH356" s="256"/>
      <c r="BI356" s="256"/>
      <c r="BJ356" s="256"/>
      <c r="BK356" s="256"/>
      <c r="BL356" s="256"/>
      <c r="BM356" s="256"/>
      <c r="BN356" s="256"/>
      <c r="BO356" s="256"/>
      <c r="BP356" s="256"/>
      <c r="BQ356" s="256"/>
      <c r="BR356" s="256"/>
      <c r="BS356" s="256"/>
      <c r="BT356" s="256"/>
      <c r="BU356" s="256"/>
      <c r="BV356" s="256"/>
      <c r="BW356" s="256"/>
      <c r="BX356" s="256"/>
      <c r="BY356" s="256"/>
      <c r="BZ356" s="256"/>
    </row>
    <row r="357" spans="1:78">
      <c r="A357" s="435" t="s">
        <v>42</v>
      </c>
      <c r="B357" s="436">
        <v>6.7202999999999999</v>
      </c>
      <c r="C357" s="436">
        <v>4.5881999999999996</v>
      </c>
      <c r="D357" s="436">
        <v>3.5859999999999999</v>
      </c>
      <c r="E357" s="436">
        <v>3.1928999999999998</v>
      </c>
      <c r="F357" s="436">
        <v>2.7932000000000001</v>
      </c>
      <c r="G357" s="436">
        <v>2.3936000000000002</v>
      </c>
      <c r="H357" s="461">
        <v>-2.5122054971455799E-2</v>
      </c>
      <c r="I357" s="462">
        <v>-4.8095041823419102E-2</v>
      </c>
      <c r="J357" s="462">
        <v>-2.2954010697805699E-2</v>
      </c>
      <c r="K357" s="462">
        <v>-2.6393772094375299E-2</v>
      </c>
      <c r="L357" s="463">
        <v>-7.6897505772605098E-3</v>
      </c>
      <c r="M357" s="256"/>
      <c r="N357" s="256"/>
      <c r="O357" s="256"/>
      <c r="P357" s="256"/>
      <c r="Q357" s="256"/>
      <c r="R357" s="256"/>
      <c r="S357" s="256"/>
      <c r="T357" s="256"/>
      <c r="U357" s="256"/>
      <c r="V357" s="256"/>
      <c r="W357" s="256"/>
      <c r="X357" s="256"/>
      <c r="Y357" s="256"/>
      <c r="Z357" s="256"/>
      <c r="AA357" s="256"/>
      <c r="AB357" s="256"/>
      <c r="AC357" s="256"/>
      <c r="AD357" s="256"/>
      <c r="AE357" s="256"/>
      <c r="AF357" s="256"/>
      <c r="AG357" s="256"/>
      <c r="AH357" s="256"/>
      <c r="AI357" s="256"/>
      <c r="AJ357" s="256"/>
      <c r="AK357" s="256"/>
      <c r="AL357" s="256"/>
      <c r="AM357" s="256"/>
      <c r="AN357" s="256"/>
      <c r="AO357" s="256"/>
      <c r="AP357" s="256"/>
      <c r="AQ357" s="256"/>
      <c r="AR357" s="256"/>
      <c r="AS357" s="256"/>
      <c r="AT357" s="256"/>
      <c r="AU357" s="256"/>
      <c r="AV357" s="256"/>
      <c r="AW357" s="256"/>
      <c r="AX357" s="256"/>
      <c r="AY357" s="256"/>
      <c r="AZ357" s="256"/>
      <c r="BA357" s="256"/>
      <c r="BB357" s="256"/>
      <c r="BC357" s="256"/>
      <c r="BD357" s="256"/>
      <c r="BE357" s="256"/>
      <c r="BF357" s="256"/>
      <c r="BG357" s="256"/>
      <c r="BH357" s="256"/>
      <c r="BI357" s="256"/>
      <c r="BJ357" s="256"/>
      <c r="BK357" s="256"/>
      <c r="BL357" s="256"/>
      <c r="BM357" s="256"/>
      <c r="BN357" s="256"/>
      <c r="BO357" s="256"/>
      <c r="BP357" s="256"/>
      <c r="BQ357" s="256"/>
      <c r="BR357" s="256"/>
      <c r="BS357" s="256"/>
      <c r="BT357" s="256"/>
      <c r="BU357" s="256"/>
      <c r="BV357" s="256"/>
      <c r="BW357" s="256"/>
      <c r="BX357" s="256"/>
      <c r="BY357" s="256"/>
      <c r="BZ357" s="256"/>
    </row>
    <row r="358" spans="1:78">
      <c r="A358" s="435" t="s">
        <v>104</v>
      </c>
      <c r="B358" s="436">
        <v>32.60819</v>
      </c>
      <c r="C358" s="436">
        <v>36.597999999999999</v>
      </c>
      <c r="D358" s="436">
        <v>37.262223254849999</v>
      </c>
      <c r="E358" s="436">
        <v>38.180502823772997</v>
      </c>
      <c r="F358" s="436">
        <v>39.433830748794399</v>
      </c>
      <c r="G358" s="436">
        <v>47.122501897396397</v>
      </c>
      <c r="H358" s="461">
        <v>7.7250259173500301E-3</v>
      </c>
      <c r="I358" s="462">
        <v>3.60376559710485E-3</v>
      </c>
      <c r="J358" s="462">
        <v>4.8808639919555299E-3</v>
      </c>
      <c r="K358" s="462">
        <v>6.4807313060155601E-3</v>
      </c>
      <c r="L358" s="463">
        <v>8.9461062328843894E-3</v>
      </c>
      <c r="M358" s="256"/>
      <c r="N358" s="256"/>
      <c r="O358" s="256"/>
      <c r="P358" s="256"/>
      <c r="Q358" s="256"/>
      <c r="R358" s="256"/>
      <c r="S358" s="256"/>
      <c r="T358" s="256"/>
      <c r="U358" s="256"/>
      <c r="V358" s="256"/>
      <c r="W358" s="256"/>
      <c r="X358" s="256"/>
      <c r="Y358" s="256"/>
      <c r="Z358" s="256"/>
      <c r="AA358" s="256"/>
      <c r="AB358" s="256"/>
      <c r="AC358" s="256"/>
      <c r="AD358" s="256"/>
      <c r="AE358" s="256"/>
      <c r="AF358" s="256"/>
      <c r="AG358" s="256"/>
      <c r="AH358" s="256"/>
      <c r="AI358" s="256"/>
      <c r="AJ358" s="256"/>
      <c r="AK358" s="256"/>
      <c r="AL358" s="256"/>
      <c r="AM358" s="256"/>
      <c r="AN358" s="256"/>
      <c r="AO358" s="256"/>
      <c r="AP358" s="256"/>
      <c r="AQ358" s="256"/>
      <c r="AR358" s="256"/>
      <c r="AS358" s="256"/>
      <c r="AT358" s="256"/>
      <c r="AU358" s="256"/>
      <c r="AV358" s="256"/>
      <c r="AW358" s="256"/>
      <c r="AX358" s="256"/>
      <c r="AY358" s="256"/>
      <c r="AZ358" s="256"/>
      <c r="BA358" s="256"/>
      <c r="BB358" s="256"/>
      <c r="BC358" s="256"/>
      <c r="BD358" s="256"/>
      <c r="BE358" s="256"/>
      <c r="BF358" s="256"/>
      <c r="BG358" s="256"/>
      <c r="BH358" s="256"/>
      <c r="BI358" s="256"/>
      <c r="BJ358" s="256"/>
      <c r="BK358" s="256"/>
      <c r="BL358" s="256"/>
      <c r="BM358" s="256"/>
      <c r="BN358" s="256"/>
      <c r="BO358" s="256"/>
      <c r="BP358" s="256"/>
      <c r="BQ358" s="256"/>
      <c r="BR358" s="256"/>
      <c r="BS358" s="256"/>
      <c r="BT358" s="256"/>
      <c r="BU358" s="256"/>
      <c r="BV358" s="256"/>
      <c r="BW358" s="256"/>
      <c r="BX358" s="256"/>
      <c r="BY358" s="256"/>
      <c r="BZ358" s="256"/>
    </row>
    <row r="359" spans="1:78">
      <c r="A359" s="435" t="s">
        <v>105</v>
      </c>
      <c r="B359" s="436">
        <v>3.6135999999999999</v>
      </c>
      <c r="C359" s="436">
        <v>3.9512999999999998</v>
      </c>
      <c r="D359" s="436">
        <v>3.5781000000000001</v>
      </c>
      <c r="E359" s="436">
        <v>3.5065</v>
      </c>
      <c r="F359" s="436">
        <v>3.4788000000000001</v>
      </c>
      <c r="G359" s="436">
        <v>3.5687000000000002</v>
      </c>
      <c r="H359" s="461">
        <v>5.9737811762374804E-3</v>
      </c>
      <c r="I359" s="462">
        <v>-1.96469735209325E-2</v>
      </c>
      <c r="J359" s="462">
        <v>-4.0345481085878303E-3</v>
      </c>
      <c r="K359" s="462">
        <v>-1.5849391075648501E-3</v>
      </c>
      <c r="L359" s="463">
        <v>1.27651290404129E-3</v>
      </c>
      <c r="M359" s="256"/>
      <c r="N359" s="256"/>
      <c r="O359" s="256"/>
      <c r="P359" s="256"/>
      <c r="Q359" s="256"/>
      <c r="R359" s="256"/>
      <c r="S359" s="256"/>
      <c r="T359" s="256"/>
      <c r="U359" s="256"/>
      <c r="V359" s="256"/>
      <c r="W359" s="256"/>
      <c r="X359" s="256"/>
      <c r="Y359" s="256"/>
      <c r="Z359" s="256"/>
      <c r="AA359" s="256"/>
      <c r="AB359" s="256"/>
      <c r="AC359" s="256"/>
      <c r="AD359" s="256"/>
      <c r="AE359" s="256"/>
      <c r="AF359" s="256"/>
      <c r="AG359" s="256"/>
      <c r="AH359" s="256"/>
      <c r="AI359" s="256"/>
      <c r="AJ359" s="256"/>
      <c r="AK359" s="256"/>
      <c r="AL359" s="256"/>
      <c r="AM359" s="256"/>
      <c r="AN359" s="256"/>
      <c r="AO359" s="256"/>
      <c r="AP359" s="256"/>
      <c r="AQ359" s="256"/>
      <c r="AR359" s="256"/>
      <c r="AS359" s="256"/>
      <c r="AT359" s="256"/>
      <c r="AU359" s="256"/>
      <c r="AV359" s="256"/>
      <c r="AW359" s="256"/>
      <c r="AX359" s="256"/>
      <c r="AY359" s="256"/>
      <c r="AZ359" s="256"/>
      <c r="BA359" s="256"/>
      <c r="BB359" s="256"/>
      <c r="BC359" s="256"/>
      <c r="BD359" s="256"/>
      <c r="BE359" s="256"/>
      <c r="BF359" s="256"/>
      <c r="BG359" s="256"/>
      <c r="BH359" s="256"/>
      <c r="BI359" s="256"/>
      <c r="BJ359" s="256"/>
      <c r="BK359" s="256"/>
      <c r="BL359" s="256"/>
      <c r="BM359" s="256"/>
      <c r="BN359" s="256"/>
      <c r="BO359" s="256"/>
      <c r="BP359" s="256"/>
      <c r="BQ359" s="256"/>
      <c r="BR359" s="256"/>
      <c r="BS359" s="256"/>
      <c r="BT359" s="256"/>
      <c r="BU359" s="256"/>
      <c r="BV359" s="256"/>
      <c r="BW359" s="256"/>
      <c r="BX359" s="256"/>
      <c r="BY359" s="256"/>
      <c r="BZ359" s="256"/>
    </row>
    <row r="360" spans="1:78">
      <c r="A360" s="435" t="s">
        <v>106</v>
      </c>
      <c r="B360" s="455">
        <v>8.2636800000000008</v>
      </c>
      <c r="C360" s="455">
        <v>9.1921999999999997</v>
      </c>
      <c r="D360" s="455">
        <v>10.196300000000001</v>
      </c>
      <c r="E360" s="455">
        <v>10.681900000000001</v>
      </c>
      <c r="F360" s="455">
        <v>11.135300000000001</v>
      </c>
      <c r="G360" s="455">
        <v>11.346500000000001</v>
      </c>
      <c r="H360" s="461">
        <v>7.1242770679884604E-3</v>
      </c>
      <c r="I360" s="462">
        <v>2.0950363272350399E-2</v>
      </c>
      <c r="J360" s="462">
        <v>9.3485898068528302E-3</v>
      </c>
      <c r="K360" s="462">
        <v>8.3485608983049405E-3</v>
      </c>
      <c r="L360" s="463">
        <v>9.3989562064478204E-4</v>
      </c>
      <c r="M360" s="256"/>
      <c r="N360" s="256"/>
      <c r="O360" s="256"/>
      <c r="P360" s="256"/>
      <c r="Q360" s="256"/>
      <c r="R360" s="256"/>
      <c r="S360" s="256"/>
      <c r="T360" s="256"/>
      <c r="U360" s="256"/>
      <c r="V360" s="256"/>
      <c r="W360" s="256"/>
      <c r="X360" s="256"/>
      <c r="Y360" s="256"/>
      <c r="Z360" s="256"/>
      <c r="AA360" s="256"/>
      <c r="AB360" s="256"/>
      <c r="AC360" s="256"/>
      <c r="AD360" s="256"/>
      <c r="AE360" s="256"/>
      <c r="AF360" s="256"/>
      <c r="AG360" s="256"/>
      <c r="AH360" s="256"/>
      <c r="AI360" s="256"/>
      <c r="AJ360" s="256"/>
      <c r="AK360" s="256"/>
      <c r="AL360" s="256"/>
      <c r="AM360" s="256"/>
      <c r="AN360" s="256"/>
      <c r="AO360" s="256"/>
      <c r="AP360" s="256"/>
      <c r="AQ360" s="256"/>
      <c r="AR360" s="256"/>
      <c r="AS360" s="256"/>
      <c r="AT360" s="256"/>
      <c r="AU360" s="256"/>
      <c r="AV360" s="256"/>
      <c r="AW360" s="256"/>
      <c r="AX360" s="256"/>
      <c r="AY360" s="256"/>
      <c r="AZ360" s="256"/>
      <c r="BA360" s="256"/>
      <c r="BB360" s="256"/>
      <c r="BC360" s="256"/>
      <c r="BD360" s="256"/>
      <c r="BE360" s="256"/>
      <c r="BF360" s="256"/>
      <c r="BG360" s="256"/>
      <c r="BH360" s="256"/>
      <c r="BI360" s="256"/>
      <c r="BJ360" s="256"/>
      <c r="BK360" s="256"/>
      <c r="BL360" s="256"/>
      <c r="BM360" s="256"/>
      <c r="BN360" s="256"/>
      <c r="BO360" s="256"/>
      <c r="BP360" s="256"/>
      <c r="BQ360" s="256"/>
      <c r="BR360" s="256"/>
      <c r="BS360" s="256"/>
      <c r="BT360" s="256"/>
      <c r="BU360" s="256"/>
      <c r="BV360" s="256"/>
      <c r="BW360" s="256"/>
      <c r="BX360" s="256"/>
      <c r="BY360" s="256"/>
      <c r="BZ360" s="256"/>
    </row>
    <row r="361" spans="1:78">
      <c r="A361" s="435" t="s">
        <v>135</v>
      </c>
      <c r="B361" s="455">
        <v>2.0799999999999999E-2</v>
      </c>
      <c r="C361" s="455">
        <v>0.1744</v>
      </c>
      <c r="D361" s="455">
        <v>0.18060000000000001</v>
      </c>
      <c r="E361" s="455">
        <v>0.18149999999999999</v>
      </c>
      <c r="F361" s="455">
        <v>0.17069999999999999</v>
      </c>
      <c r="G361" s="455">
        <v>0.1588</v>
      </c>
      <c r="H361" s="461"/>
      <c r="I361" s="462"/>
      <c r="J361" s="462"/>
      <c r="K361" s="462"/>
      <c r="L361" s="463"/>
      <c r="M361" s="256"/>
      <c r="N361" s="256"/>
      <c r="O361" s="256"/>
      <c r="P361" s="256"/>
      <c r="Q361" s="256"/>
      <c r="R361" s="256"/>
      <c r="S361" s="256"/>
      <c r="T361" s="256"/>
      <c r="U361" s="256"/>
      <c r="V361" s="256"/>
      <c r="W361" s="256"/>
      <c r="X361" s="256"/>
      <c r="Y361" s="256"/>
      <c r="Z361" s="256"/>
      <c r="AA361" s="256"/>
      <c r="AB361" s="256"/>
      <c r="AC361" s="256"/>
      <c r="AD361" s="256"/>
      <c r="AE361" s="256"/>
      <c r="AF361" s="256"/>
      <c r="AG361" s="256"/>
      <c r="AH361" s="256"/>
      <c r="AI361" s="256"/>
      <c r="AJ361" s="256"/>
      <c r="AK361" s="256"/>
      <c r="AL361" s="256"/>
      <c r="AM361" s="256"/>
      <c r="AN361" s="256"/>
      <c r="AO361" s="256"/>
      <c r="AP361" s="256"/>
      <c r="AQ361" s="256"/>
      <c r="AR361" s="256"/>
      <c r="AS361" s="256"/>
      <c r="AT361" s="256"/>
      <c r="AU361" s="256"/>
      <c r="AV361" s="256"/>
      <c r="AW361" s="256"/>
      <c r="AX361" s="256"/>
      <c r="AY361" s="256"/>
      <c r="AZ361" s="256"/>
      <c r="BA361" s="256"/>
      <c r="BB361" s="256"/>
      <c r="BC361" s="256"/>
      <c r="BD361" s="256"/>
      <c r="BE361" s="256"/>
      <c r="BF361" s="256"/>
      <c r="BG361" s="256"/>
      <c r="BH361" s="256"/>
      <c r="BI361" s="256"/>
      <c r="BJ361" s="256"/>
      <c r="BK361" s="256"/>
      <c r="BL361" s="256"/>
      <c r="BM361" s="256"/>
      <c r="BN361" s="256"/>
      <c r="BO361" s="256"/>
      <c r="BP361" s="256"/>
      <c r="BQ361" s="256"/>
      <c r="BR361" s="256"/>
      <c r="BS361" s="256"/>
      <c r="BT361" s="256"/>
      <c r="BU361" s="256"/>
      <c r="BV361" s="256"/>
      <c r="BW361" s="256"/>
      <c r="BX361" s="256"/>
      <c r="BY361" s="256"/>
      <c r="BZ361" s="256"/>
    </row>
    <row r="362" spans="1:78">
      <c r="A362" s="435" t="s">
        <v>136</v>
      </c>
      <c r="B362" s="455">
        <v>0</v>
      </c>
      <c r="C362" s="455">
        <v>1.12610318924139</v>
      </c>
      <c r="D362" s="455">
        <v>1.4955001270178101</v>
      </c>
      <c r="E362" s="455">
        <v>1.7829099267323001</v>
      </c>
      <c r="F362" s="455">
        <v>1.98131096506806</v>
      </c>
      <c r="G362" s="455">
        <v>2.7034684578908701</v>
      </c>
      <c r="H362" s="461"/>
      <c r="I362" s="462"/>
      <c r="J362" s="462"/>
      <c r="K362" s="462"/>
      <c r="L362" s="463"/>
      <c r="M362" s="256"/>
      <c r="N362" s="256"/>
      <c r="O362" s="256"/>
      <c r="P362" s="256"/>
      <c r="Q362" s="256"/>
      <c r="R362" s="256"/>
      <c r="S362" s="256"/>
      <c r="T362" s="256"/>
      <c r="U362" s="256"/>
      <c r="V362" s="256"/>
      <c r="W362" s="256"/>
      <c r="X362" s="256"/>
      <c r="Y362" s="256"/>
      <c r="Z362" s="256"/>
      <c r="AA362" s="256"/>
      <c r="AB362" s="256"/>
      <c r="AC362" s="256"/>
      <c r="AD362" s="256"/>
      <c r="AE362" s="256"/>
      <c r="AF362" s="256"/>
      <c r="AG362" s="256"/>
      <c r="AH362" s="256"/>
      <c r="AI362" s="256"/>
      <c r="AJ362" s="256"/>
      <c r="AK362" s="256"/>
      <c r="AL362" s="256"/>
      <c r="AM362" s="256"/>
      <c r="AN362" s="256"/>
      <c r="AO362" s="256"/>
      <c r="AP362" s="256"/>
      <c r="AQ362" s="256"/>
      <c r="AR362" s="256"/>
      <c r="AS362" s="256"/>
      <c r="AT362" s="256"/>
      <c r="AU362" s="256"/>
      <c r="AV362" s="256"/>
      <c r="AW362" s="256"/>
      <c r="AX362" s="256"/>
      <c r="AY362" s="256"/>
      <c r="AZ362" s="256"/>
      <c r="BA362" s="256"/>
      <c r="BB362" s="256"/>
      <c r="BC362" s="256"/>
      <c r="BD362" s="256"/>
      <c r="BE362" s="256"/>
      <c r="BF362" s="256"/>
      <c r="BG362" s="256"/>
      <c r="BH362" s="256"/>
      <c r="BI362" s="256"/>
      <c r="BJ362" s="256"/>
      <c r="BK362" s="256"/>
      <c r="BL362" s="256"/>
      <c r="BM362" s="256"/>
      <c r="BN362" s="256"/>
      <c r="BO362" s="256"/>
      <c r="BP362" s="256"/>
      <c r="BQ362" s="256"/>
      <c r="BR362" s="256"/>
      <c r="BS362" s="256"/>
      <c r="BT362" s="256"/>
      <c r="BU362" s="256"/>
      <c r="BV362" s="256"/>
      <c r="BW362" s="256"/>
      <c r="BX362" s="256"/>
      <c r="BY362" s="256"/>
      <c r="BZ362" s="256"/>
    </row>
    <row r="363" spans="1:78">
      <c r="A363" s="435"/>
      <c r="B363" s="436"/>
      <c r="C363" s="436"/>
      <c r="D363" s="436"/>
      <c r="E363" s="436"/>
      <c r="F363" s="436"/>
      <c r="G363" s="436"/>
      <c r="H363" s="461"/>
      <c r="I363" s="462"/>
      <c r="J363" s="462"/>
      <c r="K363" s="462"/>
      <c r="L363" s="463"/>
      <c r="M363" s="534"/>
      <c r="N363" s="256"/>
      <c r="O363" s="256"/>
      <c r="P363" s="256"/>
      <c r="Q363" s="256"/>
      <c r="R363" s="256"/>
      <c r="S363" s="256"/>
      <c r="T363" s="256"/>
      <c r="U363" s="256"/>
      <c r="V363" s="256"/>
      <c r="W363" s="256"/>
      <c r="X363" s="256"/>
      <c r="Y363" s="256"/>
      <c r="Z363" s="256"/>
      <c r="AA363" s="256"/>
      <c r="AB363" s="256"/>
      <c r="AC363" s="256"/>
      <c r="AD363" s="256"/>
      <c r="AE363" s="256"/>
      <c r="AF363" s="256"/>
      <c r="AG363" s="256"/>
      <c r="AH363" s="256"/>
      <c r="AI363" s="256"/>
      <c r="AJ363" s="256"/>
      <c r="AK363" s="256"/>
      <c r="AL363" s="256"/>
      <c r="AM363" s="256"/>
      <c r="AN363" s="256"/>
      <c r="AO363" s="256"/>
      <c r="AP363" s="256"/>
      <c r="AQ363" s="256"/>
      <c r="AR363" s="256"/>
      <c r="AS363" s="256"/>
      <c r="AT363" s="256"/>
      <c r="AU363" s="256"/>
      <c r="AV363" s="256"/>
      <c r="AW363" s="256"/>
      <c r="AX363" s="256"/>
      <c r="AY363" s="256"/>
      <c r="AZ363" s="256"/>
      <c r="BA363" s="256"/>
      <c r="BB363" s="256"/>
      <c r="BC363" s="256"/>
      <c r="BD363" s="256"/>
      <c r="BE363" s="256"/>
      <c r="BF363" s="256"/>
      <c r="BG363" s="256"/>
      <c r="BH363" s="256"/>
      <c r="BI363" s="256"/>
      <c r="BJ363" s="256"/>
      <c r="BK363" s="256"/>
      <c r="BL363" s="256"/>
      <c r="BM363" s="256"/>
      <c r="BN363" s="256"/>
      <c r="BO363" s="256"/>
      <c r="BP363" s="256"/>
      <c r="BQ363" s="256"/>
      <c r="BR363" s="256"/>
      <c r="BS363" s="256"/>
      <c r="BT363" s="256"/>
      <c r="BU363" s="256"/>
      <c r="BV363" s="256"/>
      <c r="BW363" s="256"/>
      <c r="BX363" s="256"/>
      <c r="BY363" s="256"/>
      <c r="BZ363" s="256"/>
    </row>
    <row r="364" spans="1:78" ht="15" thickBot="1">
      <c r="A364" s="444" t="s">
        <v>10</v>
      </c>
      <c r="B364" s="464">
        <v>149.39966000000001</v>
      </c>
      <c r="C364" s="464">
        <v>143.57830318924101</v>
      </c>
      <c r="D364" s="464">
        <v>139.63563021277699</v>
      </c>
      <c r="E364" s="464">
        <v>136.69962896637199</v>
      </c>
      <c r="F364" s="464">
        <v>134.18621956671799</v>
      </c>
      <c r="G364" s="464">
        <v>138.05543815578699</v>
      </c>
      <c r="H364" s="466">
        <v>-2.6461224114398001E-3</v>
      </c>
      <c r="I364" s="467">
        <v>-5.5533557309074303E-3</v>
      </c>
      <c r="J364" s="467">
        <v>-4.2410530271742601E-3</v>
      </c>
      <c r="K364" s="467">
        <v>-3.7046201070318799E-3</v>
      </c>
      <c r="L364" s="468">
        <v>1.4223504212316201E-3</v>
      </c>
      <c r="M364" s="256"/>
      <c r="N364" s="256"/>
      <c r="O364" s="256"/>
      <c r="P364" s="256"/>
      <c r="Q364" s="256"/>
      <c r="R364" s="256"/>
      <c r="S364" s="256"/>
      <c r="T364" s="256"/>
      <c r="U364" s="256"/>
      <c r="V364" s="256"/>
      <c r="W364" s="256"/>
      <c r="X364" s="256"/>
      <c r="Y364" s="256"/>
      <c r="Z364" s="256"/>
      <c r="AA364" s="256"/>
      <c r="AB364" s="256"/>
      <c r="AC364" s="256"/>
      <c r="AD364" s="256"/>
      <c r="AE364" s="256"/>
      <c r="AF364" s="256"/>
      <c r="AG364" s="256"/>
      <c r="AH364" s="256"/>
      <c r="AI364" s="256"/>
      <c r="AJ364" s="256"/>
      <c r="AK364" s="256"/>
      <c r="AL364" s="256"/>
      <c r="AM364" s="256"/>
      <c r="AN364" s="256"/>
      <c r="AO364" s="256"/>
      <c r="AP364" s="256"/>
      <c r="AQ364" s="256"/>
      <c r="AR364" s="256"/>
      <c r="AS364" s="256"/>
      <c r="AT364" s="256"/>
      <c r="AU364" s="256"/>
      <c r="AV364" s="256"/>
      <c r="AW364" s="256"/>
      <c r="AX364" s="256"/>
      <c r="AY364" s="256"/>
      <c r="AZ364" s="256"/>
      <c r="BA364" s="256"/>
      <c r="BB364" s="256"/>
      <c r="BC364" s="256"/>
      <c r="BD364" s="256"/>
      <c r="BE364" s="256"/>
      <c r="BF364" s="256"/>
      <c r="BG364" s="256"/>
      <c r="BH364" s="256"/>
      <c r="BI364" s="256"/>
      <c r="BJ364" s="256"/>
      <c r="BK364" s="256"/>
      <c r="BL364" s="256"/>
      <c r="BM364" s="256"/>
      <c r="BN364" s="256"/>
      <c r="BO364" s="256"/>
      <c r="BP364" s="256"/>
      <c r="BQ364" s="256"/>
      <c r="BR364" s="256"/>
      <c r="BS364" s="256"/>
      <c r="BT364" s="256"/>
      <c r="BU364" s="256"/>
      <c r="BV364" s="256"/>
      <c r="BW364" s="256"/>
      <c r="BX364" s="256"/>
      <c r="BY364" s="256"/>
      <c r="BZ364" s="256"/>
    </row>
    <row r="365" spans="1:78">
      <c r="A365" s="535"/>
      <c r="B365" s="256"/>
      <c r="C365" s="256"/>
      <c r="D365" s="256"/>
      <c r="E365" s="256"/>
      <c r="F365" s="536"/>
      <c r="G365" s="536"/>
      <c r="H365" s="536"/>
      <c r="I365" s="256"/>
      <c r="J365" s="256"/>
      <c r="K365" s="256"/>
      <c r="L365" s="256"/>
      <c r="M365" s="256"/>
      <c r="N365" s="256"/>
      <c r="O365" s="256"/>
      <c r="P365" s="256"/>
      <c r="Q365" s="256"/>
      <c r="R365" s="256"/>
      <c r="S365" s="256"/>
      <c r="T365" s="256"/>
      <c r="U365" s="256"/>
      <c r="V365" s="256"/>
      <c r="W365" s="256"/>
      <c r="X365" s="256"/>
      <c r="Y365" s="256"/>
      <c r="Z365" s="256"/>
      <c r="AA365" s="256"/>
      <c r="AB365" s="256"/>
      <c r="AC365" s="256"/>
      <c r="AD365" s="256"/>
      <c r="AE365" s="256"/>
      <c r="AF365" s="256"/>
      <c r="AG365" s="256"/>
      <c r="AH365" s="256"/>
      <c r="AI365" s="256"/>
      <c r="AJ365" s="256"/>
      <c r="AK365" s="256"/>
      <c r="AL365" s="256"/>
      <c r="AM365" s="256"/>
      <c r="AN365" s="256"/>
      <c r="AO365" s="256"/>
      <c r="AP365" s="256"/>
      <c r="AQ365" s="256"/>
      <c r="AR365" s="256"/>
      <c r="AS365" s="256"/>
      <c r="AT365" s="256"/>
      <c r="AU365" s="256"/>
      <c r="AV365" s="256"/>
      <c r="AW365" s="256"/>
      <c r="AX365" s="256"/>
      <c r="AY365" s="256"/>
      <c r="AZ365" s="256"/>
      <c r="BA365" s="256"/>
      <c r="BB365" s="256"/>
      <c r="BC365" s="256"/>
      <c r="BD365" s="256"/>
      <c r="BE365" s="256"/>
      <c r="BF365" s="256"/>
      <c r="BG365" s="256"/>
      <c r="BH365" s="256"/>
      <c r="BI365" s="256"/>
      <c r="BJ365" s="256"/>
      <c r="BK365" s="256"/>
      <c r="BL365" s="256"/>
      <c r="BM365" s="256"/>
      <c r="BN365" s="256"/>
      <c r="BO365" s="256"/>
      <c r="BP365" s="256"/>
      <c r="BQ365" s="256"/>
      <c r="BR365" s="256"/>
      <c r="BS365" s="256"/>
      <c r="BT365" s="256"/>
      <c r="BU365" s="256"/>
      <c r="BV365" s="256"/>
      <c r="BW365" s="256"/>
      <c r="BX365" s="256"/>
      <c r="BY365" s="256"/>
      <c r="BZ365" s="256"/>
    </row>
    <row r="366" spans="1:78">
      <c r="A366" s="537"/>
      <c r="B366" s="256"/>
      <c r="C366" s="256"/>
      <c r="D366" s="256"/>
      <c r="E366" s="256"/>
      <c r="F366" s="536"/>
      <c r="G366" s="536"/>
      <c r="H366" s="536"/>
      <c r="I366" s="256"/>
      <c r="J366" s="256"/>
      <c r="K366" s="256"/>
      <c r="L366" s="256"/>
      <c r="M366" s="256"/>
      <c r="N366" s="256"/>
      <c r="O366" s="256"/>
      <c r="P366" s="256"/>
      <c r="Q366" s="256"/>
      <c r="R366" s="256"/>
      <c r="S366" s="256"/>
      <c r="T366" s="256"/>
      <c r="U366" s="256"/>
      <c r="V366" s="256"/>
      <c r="W366" s="256"/>
      <c r="X366" s="256"/>
      <c r="Y366" s="256"/>
      <c r="Z366" s="256"/>
      <c r="AA366" s="256"/>
      <c r="AB366" s="256"/>
      <c r="AC366" s="256"/>
      <c r="AD366" s="256"/>
      <c r="AE366" s="256"/>
      <c r="AF366" s="256"/>
      <c r="AG366" s="256"/>
      <c r="AH366" s="256"/>
      <c r="AI366" s="256"/>
      <c r="AJ366" s="256"/>
      <c r="AK366" s="256"/>
      <c r="AL366" s="256"/>
      <c r="AM366" s="256"/>
      <c r="AN366" s="256"/>
      <c r="AO366" s="256"/>
      <c r="AP366" s="256"/>
      <c r="AQ366" s="256"/>
      <c r="AR366" s="256"/>
      <c r="AS366" s="256"/>
      <c r="AT366" s="256"/>
      <c r="AU366" s="256"/>
      <c r="AV366" s="256"/>
      <c r="AW366" s="256"/>
      <c r="AX366" s="256"/>
      <c r="AY366" s="256"/>
      <c r="AZ366" s="256"/>
      <c r="BA366" s="256"/>
      <c r="BB366" s="256"/>
      <c r="BC366" s="256"/>
      <c r="BD366" s="256"/>
      <c r="BE366" s="256"/>
      <c r="BF366" s="256"/>
      <c r="BG366" s="256"/>
      <c r="BH366" s="256"/>
      <c r="BI366" s="256"/>
      <c r="BJ366" s="256"/>
      <c r="BK366" s="256"/>
      <c r="BL366" s="256"/>
      <c r="BM366" s="256"/>
      <c r="BN366" s="256"/>
      <c r="BO366" s="256"/>
      <c r="BP366" s="256"/>
      <c r="BQ366" s="256"/>
      <c r="BR366" s="256"/>
      <c r="BS366" s="256"/>
      <c r="BT366" s="256"/>
      <c r="BU366" s="256"/>
      <c r="BV366" s="256"/>
      <c r="BW366" s="256"/>
      <c r="BX366" s="256"/>
      <c r="BY366" s="256"/>
      <c r="BZ366" s="256"/>
    </row>
    <row r="367" spans="1:78" ht="16" thickBot="1">
      <c r="A367" s="428" t="s">
        <v>204</v>
      </c>
      <c r="B367" s="430"/>
      <c r="C367" s="430"/>
      <c r="D367" s="430"/>
      <c r="E367" s="430"/>
      <c r="F367" s="430"/>
      <c r="G367" s="430"/>
      <c r="H367" s="430"/>
      <c r="I367" s="430"/>
      <c r="J367" s="430"/>
      <c r="K367" s="430"/>
      <c r="L367" s="430"/>
      <c r="M367" s="256"/>
      <c r="N367" s="256"/>
      <c r="O367" s="256"/>
      <c r="P367" s="256"/>
      <c r="Q367" s="256"/>
      <c r="R367" s="256"/>
      <c r="S367" s="256"/>
      <c r="T367" s="256"/>
      <c r="U367" s="256"/>
      <c r="V367" s="256"/>
      <c r="W367" s="256"/>
      <c r="X367" s="256"/>
      <c r="Y367" s="256"/>
      <c r="Z367" s="256"/>
      <c r="AA367" s="256"/>
      <c r="AB367" s="256"/>
      <c r="AC367" s="256"/>
      <c r="AD367" s="256"/>
      <c r="AE367" s="256"/>
      <c r="AF367" s="256"/>
      <c r="AG367" s="256"/>
      <c r="AH367" s="256"/>
      <c r="AI367" s="256"/>
      <c r="AJ367" s="256"/>
      <c r="AK367" s="256"/>
      <c r="AL367" s="256"/>
      <c r="AM367" s="256"/>
      <c r="AN367" s="256"/>
      <c r="AO367" s="256"/>
      <c r="AP367" s="256"/>
      <c r="AQ367" s="256"/>
      <c r="AR367" s="256"/>
      <c r="AS367" s="256"/>
      <c r="AT367" s="256"/>
      <c r="AU367" s="256"/>
      <c r="AV367" s="256"/>
      <c r="AW367" s="256"/>
      <c r="AX367" s="256"/>
      <c r="AY367" s="256"/>
      <c r="AZ367" s="256"/>
      <c r="BA367" s="256"/>
      <c r="BB367" s="256"/>
      <c r="BC367" s="256"/>
      <c r="BD367" s="256"/>
      <c r="BE367" s="256"/>
      <c r="BF367" s="256"/>
      <c r="BG367" s="256"/>
      <c r="BH367" s="256"/>
      <c r="BI367" s="256"/>
      <c r="BJ367" s="256"/>
      <c r="BK367" s="256"/>
      <c r="BL367" s="256"/>
      <c r="BM367" s="256"/>
      <c r="BN367" s="256"/>
      <c r="BO367" s="256"/>
      <c r="BP367" s="256"/>
      <c r="BQ367" s="256"/>
      <c r="BR367" s="256"/>
      <c r="BS367" s="256"/>
      <c r="BT367" s="256"/>
      <c r="BU367" s="256"/>
      <c r="BV367" s="256"/>
      <c r="BW367" s="256"/>
      <c r="BX367" s="256"/>
      <c r="BY367" s="256"/>
      <c r="BZ367" s="256"/>
    </row>
    <row r="368" spans="1:78" ht="15" thickBot="1">
      <c r="A368" s="483" t="s">
        <v>51</v>
      </c>
      <c r="B368" s="432">
        <v>2000</v>
      </c>
      <c r="C368" s="432">
        <v>2015</v>
      </c>
      <c r="D368" s="432">
        <v>2020</v>
      </c>
      <c r="E368" s="432">
        <v>2025</v>
      </c>
      <c r="F368" s="432">
        <v>2030</v>
      </c>
      <c r="G368" s="432">
        <v>2050</v>
      </c>
      <c r="H368" s="452" t="s">
        <v>98</v>
      </c>
      <c r="I368" s="453" t="s">
        <v>99</v>
      </c>
      <c r="J368" s="453" t="s">
        <v>100</v>
      </c>
      <c r="K368" s="453" t="s">
        <v>101</v>
      </c>
      <c r="L368" s="454" t="s">
        <v>384</v>
      </c>
      <c r="M368" s="256"/>
      <c r="N368" s="256"/>
      <c r="O368" s="256"/>
      <c r="P368" s="256"/>
      <c r="Q368" s="256"/>
      <c r="R368" s="256"/>
      <c r="S368" s="256"/>
      <c r="T368" s="256"/>
      <c r="U368" s="256"/>
      <c r="V368" s="256"/>
      <c r="W368" s="256"/>
      <c r="X368" s="256"/>
      <c r="Y368" s="256"/>
      <c r="Z368" s="256"/>
      <c r="AA368" s="256"/>
      <c r="AB368" s="256"/>
      <c r="AC368" s="256"/>
      <c r="AD368" s="256"/>
      <c r="AE368" s="256"/>
      <c r="AF368" s="256"/>
      <c r="AG368" s="256"/>
      <c r="AH368" s="256"/>
      <c r="AI368" s="256"/>
      <c r="AJ368" s="256"/>
      <c r="AK368" s="256"/>
      <c r="AL368" s="256"/>
      <c r="AM368" s="256"/>
      <c r="AN368" s="256"/>
      <c r="AO368" s="256"/>
      <c r="AP368" s="256"/>
      <c r="AQ368" s="256"/>
      <c r="AR368" s="256"/>
      <c r="AS368" s="256"/>
      <c r="AT368" s="256"/>
      <c r="AU368" s="256"/>
      <c r="AV368" s="256"/>
      <c r="AW368" s="256"/>
      <c r="AX368" s="256"/>
      <c r="AY368" s="256"/>
      <c r="AZ368" s="256"/>
      <c r="BA368" s="256"/>
      <c r="BB368" s="256"/>
      <c r="BC368" s="256"/>
      <c r="BD368" s="256"/>
      <c r="BE368" s="256"/>
      <c r="BF368" s="256"/>
      <c r="BG368" s="256"/>
      <c r="BH368" s="256"/>
      <c r="BI368" s="256"/>
      <c r="BJ368" s="256"/>
      <c r="BK368" s="256"/>
      <c r="BL368" s="256"/>
      <c r="BM368" s="256"/>
      <c r="BN368" s="256"/>
      <c r="BO368" s="256"/>
      <c r="BP368" s="256"/>
      <c r="BQ368" s="256"/>
      <c r="BR368" s="256"/>
      <c r="BS368" s="256"/>
      <c r="BT368" s="256"/>
      <c r="BU368" s="256"/>
      <c r="BV368" s="256"/>
      <c r="BW368" s="256"/>
      <c r="BX368" s="256"/>
      <c r="BY368" s="256"/>
      <c r="BZ368" s="256"/>
    </row>
    <row r="369" spans="1:78">
      <c r="A369" s="538" t="s">
        <v>78</v>
      </c>
      <c r="B369" s="436">
        <v>38.915500000000002</v>
      </c>
      <c r="C369" s="436">
        <v>31.8477</v>
      </c>
      <c r="D369" s="436">
        <v>32.003300000000003</v>
      </c>
      <c r="E369" s="436">
        <v>32.154499999999999</v>
      </c>
      <c r="F369" s="436">
        <v>32.312199999999997</v>
      </c>
      <c r="G369" s="436">
        <v>36.428100000000001</v>
      </c>
      <c r="H369" s="456">
        <v>-1.32729578759672E-2</v>
      </c>
      <c r="I369" s="457">
        <v>9.75246558531762E-4</v>
      </c>
      <c r="J369" s="457">
        <v>9.4312192044454502E-4</v>
      </c>
      <c r="K369" s="457">
        <v>9.789705007394729E-4</v>
      </c>
      <c r="L369" s="458">
        <v>6.0127839972017299E-3</v>
      </c>
      <c r="M369" s="256"/>
      <c r="N369" s="256"/>
      <c r="O369" s="256"/>
      <c r="P369" s="256"/>
      <c r="Q369" s="256"/>
      <c r="R369" s="256"/>
      <c r="S369" s="256"/>
      <c r="T369" s="256"/>
      <c r="U369" s="256"/>
      <c r="V369" s="256"/>
      <c r="W369" s="256"/>
      <c r="X369" s="256"/>
      <c r="Y369" s="256"/>
      <c r="Z369" s="256"/>
      <c r="AA369" s="256"/>
      <c r="AB369" s="256"/>
      <c r="AC369" s="256"/>
      <c r="AD369" s="256"/>
      <c r="AE369" s="256"/>
      <c r="AF369" s="256"/>
      <c r="AG369" s="256"/>
      <c r="AH369" s="256"/>
      <c r="AI369" s="256"/>
      <c r="AJ369" s="256"/>
      <c r="AK369" s="256"/>
      <c r="AL369" s="256"/>
      <c r="AM369" s="256"/>
      <c r="AN369" s="256"/>
      <c r="AO369" s="256"/>
      <c r="AP369" s="256"/>
      <c r="AQ369" s="256"/>
      <c r="AR369" s="256"/>
      <c r="AS369" s="256"/>
      <c r="AT369" s="256"/>
      <c r="AU369" s="256"/>
      <c r="AV369" s="256"/>
      <c r="AW369" s="256"/>
      <c r="AX369" s="256"/>
      <c r="AY369" s="256"/>
      <c r="AZ369" s="256"/>
      <c r="BA369" s="256"/>
      <c r="BB369" s="256"/>
      <c r="BC369" s="256"/>
      <c r="BD369" s="256"/>
      <c r="BE369" s="256"/>
      <c r="BF369" s="256"/>
      <c r="BG369" s="256"/>
      <c r="BH369" s="256"/>
      <c r="BI369" s="256"/>
      <c r="BJ369" s="256"/>
      <c r="BK369" s="256"/>
      <c r="BL369" s="256"/>
      <c r="BM369" s="256"/>
      <c r="BN369" s="256"/>
      <c r="BO369" s="256"/>
      <c r="BP369" s="256"/>
      <c r="BQ369" s="256"/>
      <c r="BR369" s="256"/>
      <c r="BS369" s="256"/>
      <c r="BT369" s="256"/>
      <c r="BU369" s="256"/>
      <c r="BV369" s="256"/>
      <c r="BW369" s="256"/>
      <c r="BX369" s="256"/>
      <c r="BY369" s="256"/>
      <c r="BZ369" s="256"/>
    </row>
    <row r="370" spans="1:78">
      <c r="A370" s="538" t="s">
        <v>80</v>
      </c>
      <c r="B370" s="436">
        <v>42.777299999999997</v>
      </c>
      <c r="C370" s="436">
        <v>42.093488103993202</v>
      </c>
      <c r="D370" s="436">
        <v>38.949986005726402</v>
      </c>
      <c r="E370" s="436">
        <v>37.427669756237201</v>
      </c>
      <c r="F370" s="436">
        <v>36.268246002489001</v>
      </c>
      <c r="G370" s="436">
        <v>34.636912010195502</v>
      </c>
      <c r="H370" s="461">
        <v>-1.0737255569641701E-3</v>
      </c>
      <c r="I370" s="462">
        <v>-1.54030681153818E-2</v>
      </c>
      <c r="J370" s="462">
        <v>-7.9419247568907093E-3</v>
      </c>
      <c r="K370" s="462">
        <v>-6.27377144735408E-3</v>
      </c>
      <c r="L370" s="463">
        <v>-2.2984873308317102E-3</v>
      </c>
      <c r="M370" s="256"/>
      <c r="N370" s="256"/>
      <c r="O370" s="256"/>
      <c r="P370" s="256"/>
      <c r="Q370" s="256"/>
      <c r="R370" s="256"/>
      <c r="S370" s="256"/>
      <c r="T370" s="256"/>
      <c r="U370" s="256"/>
      <c r="V370" s="256"/>
      <c r="W370" s="256"/>
      <c r="X370" s="256"/>
      <c r="Y370" s="256"/>
      <c r="Z370" s="256"/>
      <c r="AA370" s="256"/>
      <c r="AB370" s="256"/>
      <c r="AC370" s="256"/>
      <c r="AD370" s="256"/>
      <c r="AE370" s="256"/>
      <c r="AF370" s="256"/>
      <c r="AG370" s="256"/>
      <c r="AH370" s="256"/>
      <c r="AI370" s="256"/>
      <c r="AJ370" s="256"/>
      <c r="AK370" s="256"/>
      <c r="AL370" s="256"/>
      <c r="AM370" s="256"/>
      <c r="AN370" s="256"/>
      <c r="AO370" s="256"/>
      <c r="AP370" s="256"/>
      <c r="AQ370" s="256"/>
      <c r="AR370" s="256"/>
      <c r="AS370" s="256"/>
      <c r="AT370" s="256"/>
      <c r="AU370" s="256"/>
      <c r="AV370" s="256"/>
      <c r="AW370" s="256"/>
      <c r="AX370" s="256"/>
      <c r="AY370" s="256"/>
      <c r="AZ370" s="256"/>
      <c r="BA370" s="256"/>
      <c r="BB370" s="256"/>
      <c r="BC370" s="256"/>
      <c r="BD370" s="256"/>
      <c r="BE370" s="256"/>
      <c r="BF370" s="256"/>
      <c r="BG370" s="256"/>
      <c r="BH370" s="256"/>
      <c r="BI370" s="256"/>
      <c r="BJ370" s="256"/>
      <c r="BK370" s="256"/>
      <c r="BL370" s="256"/>
      <c r="BM370" s="256"/>
      <c r="BN370" s="256"/>
      <c r="BO370" s="256"/>
      <c r="BP370" s="256"/>
      <c r="BQ370" s="256"/>
      <c r="BR370" s="256"/>
      <c r="BS370" s="256"/>
      <c r="BT370" s="256"/>
      <c r="BU370" s="256"/>
      <c r="BV370" s="256"/>
      <c r="BW370" s="256"/>
      <c r="BX370" s="256"/>
      <c r="BY370" s="256"/>
      <c r="BZ370" s="256"/>
    </row>
    <row r="371" spans="1:78">
      <c r="A371" s="538" t="s">
        <v>81</v>
      </c>
      <c r="B371" s="436">
        <v>20.017199999999999</v>
      </c>
      <c r="C371" s="436">
        <v>23.0002150852482</v>
      </c>
      <c r="D371" s="436">
        <v>22.5271141212915</v>
      </c>
      <c r="E371" s="436">
        <v>22.078440170495099</v>
      </c>
      <c r="F371" s="436">
        <v>21.442864962579101</v>
      </c>
      <c r="G371" s="436">
        <v>22.6677564476953</v>
      </c>
      <c r="H371" s="461">
        <v>9.3037912415132595E-3</v>
      </c>
      <c r="I371" s="462">
        <v>-4.1481548719571899E-3</v>
      </c>
      <c r="J371" s="462">
        <v>-4.0155323599075903E-3</v>
      </c>
      <c r="K371" s="462">
        <v>-5.8248931822137999E-3</v>
      </c>
      <c r="L371" s="463">
        <v>2.7814380241897299E-3</v>
      </c>
      <c r="M371" s="256"/>
      <c r="N371" s="256"/>
      <c r="O371" s="256"/>
      <c r="P371" s="256"/>
      <c r="Q371" s="256"/>
      <c r="R371" s="256"/>
      <c r="S371" s="256"/>
      <c r="T371" s="256"/>
      <c r="U371" s="256"/>
      <c r="V371" s="256"/>
      <c r="W371" s="256"/>
      <c r="X371" s="256"/>
      <c r="Y371" s="256"/>
      <c r="Z371" s="256"/>
      <c r="AA371" s="256"/>
      <c r="AB371" s="256"/>
      <c r="AC371" s="256"/>
      <c r="AD371" s="256"/>
      <c r="AE371" s="256"/>
      <c r="AF371" s="256"/>
      <c r="AG371" s="256"/>
      <c r="AH371" s="256"/>
      <c r="AI371" s="256"/>
      <c r="AJ371" s="256"/>
      <c r="AK371" s="256"/>
      <c r="AL371" s="256"/>
      <c r="AM371" s="256"/>
      <c r="AN371" s="256"/>
      <c r="AO371" s="256"/>
      <c r="AP371" s="256"/>
      <c r="AQ371" s="256"/>
      <c r="AR371" s="256"/>
      <c r="AS371" s="256"/>
      <c r="AT371" s="256"/>
      <c r="AU371" s="256"/>
      <c r="AV371" s="256"/>
      <c r="AW371" s="256"/>
      <c r="AX371" s="256"/>
      <c r="AY371" s="256"/>
      <c r="AZ371" s="256"/>
      <c r="BA371" s="256"/>
      <c r="BB371" s="256"/>
      <c r="BC371" s="256"/>
      <c r="BD371" s="256"/>
      <c r="BE371" s="256"/>
      <c r="BF371" s="256"/>
      <c r="BG371" s="256"/>
      <c r="BH371" s="256"/>
      <c r="BI371" s="256"/>
      <c r="BJ371" s="256"/>
      <c r="BK371" s="256"/>
      <c r="BL371" s="256"/>
      <c r="BM371" s="256"/>
      <c r="BN371" s="256"/>
      <c r="BO371" s="256"/>
      <c r="BP371" s="256"/>
      <c r="BQ371" s="256"/>
      <c r="BR371" s="256"/>
      <c r="BS371" s="256"/>
      <c r="BT371" s="256"/>
      <c r="BU371" s="256"/>
      <c r="BV371" s="256"/>
      <c r="BW371" s="256"/>
      <c r="BX371" s="256"/>
      <c r="BY371" s="256"/>
      <c r="BZ371" s="256"/>
    </row>
    <row r="372" spans="1:78">
      <c r="A372" s="538" t="s">
        <v>82</v>
      </c>
      <c r="B372" s="436">
        <v>4.3577599999999999</v>
      </c>
      <c r="C372" s="436">
        <v>4.46</v>
      </c>
      <c r="D372" s="436">
        <v>4.3564300857593397</v>
      </c>
      <c r="E372" s="436">
        <v>4.2410190396400802</v>
      </c>
      <c r="F372" s="436">
        <v>4.1238086016501896</v>
      </c>
      <c r="G372" s="436">
        <v>3.7084696978960001</v>
      </c>
      <c r="H372" s="461">
        <v>1.54723588017358E-3</v>
      </c>
      <c r="I372" s="462">
        <v>-4.6881425382782104E-3</v>
      </c>
      <c r="J372" s="462">
        <v>-5.3554788952561204E-3</v>
      </c>
      <c r="K372" s="462">
        <v>-5.5896048360853899E-3</v>
      </c>
      <c r="L372" s="463">
        <v>-5.2938301838630899E-3</v>
      </c>
      <c r="M372" s="256"/>
      <c r="N372" s="256"/>
      <c r="O372" s="256"/>
      <c r="P372" s="256"/>
      <c r="Q372" s="256"/>
      <c r="R372" s="256"/>
      <c r="S372" s="256"/>
      <c r="T372" s="256"/>
      <c r="U372" s="256"/>
      <c r="V372" s="256"/>
      <c r="W372" s="256"/>
      <c r="X372" s="256"/>
      <c r="Y372" s="256"/>
      <c r="Z372" s="256"/>
      <c r="AA372" s="256"/>
      <c r="AB372" s="256"/>
      <c r="AC372" s="256"/>
      <c r="AD372" s="256"/>
      <c r="AE372" s="256"/>
      <c r="AF372" s="256"/>
      <c r="AG372" s="256"/>
      <c r="AH372" s="256"/>
      <c r="AI372" s="256"/>
      <c r="AJ372" s="256"/>
      <c r="AK372" s="256"/>
      <c r="AL372" s="256"/>
      <c r="AM372" s="256"/>
      <c r="AN372" s="256"/>
      <c r="AO372" s="256"/>
      <c r="AP372" s="256"/>
      <c r="AQ372" s="256"/>
      <c r="AR372" s="256"/>
      <c r="AS372" s="256"/>
      <c r="AT372" s="256"/>
      <c r="AU372" s="256"/>
      <c r="AV372" s="256"/>
      <c r="AW372" s="256"/>
      <c r="AX372" s="256"/>
      <c r="AY372" s="256"/>
      <c r="AZ372" s="256"/>
      <c r="BA372" s="256"/>
      <c r="BB372" s="256"/>
      <c r="BC372" s="256"/>
      <c r="BD372" s="256"/>
      <c r="BE372" s="256"/>
      <c r="BF372" s="256"/>
      <c r="BG372" s="256"/>
      <c r="BH372" s="256"/>
      <c r="BI372" s="256"/>
      <c r="BJ372" s="256"/>
      <c r="BK372" s="256"/>
      <c r="BL372" s="256"/>
      <c r="BM372" s="256"/>
      <c r="BN372" s="256"/>
      <c r="BO372" s="256"/>
      <c r="BP372" s="256"/>
      <c r="BQ372" s="256"/>
      <c r="BR372" s="256"/>
      <c r="BS372" s="256"/>
      <c r="BT372" s="256"/>
      <c r="BU372" s="256"/>
      <c r="BV372" s="256"/>
      <c r="BW372" s="256"/>
      <c r="BX372" s="256"/>
      <c r="BY372" s="256"/>
      <c r="BZ372" s="256"/>
    </row>
    <row r="373" spans="1:78">
      <c r="A373" s="538" t="s">
        <v>79</v>
      </c>
      <c r="B373" s="436">
        <v>43.331899999999997</v>
      </c>
      <c r="C373" s="436">
        <v>42.177</v>
      </c>
      <c r="D373" s="436">
        <v>41.798699999999997</v>
      </c>
      <c r="E373" s="436">
        <v>40.798000000000002</v>
      </c>
      <c r="F373" s="436">
        <v>40.038899999999998</v>
      </c>
      <c r="G373" s="436">
        <v>40.614400000000003</v>
      </c>
      <c r="H373" s="461">
        <v>-1.7993149918053E-3</v>
      </c>
      <c r="I373" s="462">
        <v>-1.80033948060065E-3</v>
      </c>
      <c r="J373" s="462">
        <v>-4.83471057375173E-3</v>
      </c>
      <c r="K373" s="462">
        <v>-3.7492696827380301E-3</v>
      </c>
      <c r="L373" s="463">
        <v>7.1381474379505995E-4</v>
      </c>
      <c r="M373" s="256"/>
      <c r="N373" s="256"/>
      <c r="O373" s="256"/>
      <c r="P373" s="256"/>
      <c r="Q373" s="256"/>
      <c r="R373" s="256"/>
      <c r="S373" s="256"/>
      <c r="T373" s="256"/>
      <c r="U373" s="256"/>
      <c r="V373" s="256"/>
      <c r="W373" s="256"/>
      <c r="X373" s="256"/>
      <c r="Y373" s="256"/>
      <c r="Z373" s="256"/>
      <c r="AA373" s="256"/>
      <c r="AB373" s="256"/>
      <c r="AC373" s="256"/>
      <c r="AD373" s="256"/>
      <c r="AE373" s="256"/>
      <c r="AF373" s="256"/>
      <c r="AG373" s="256"/>
      <c r="AH373" s="256"/>
      <c r="AI373" s="256"/>
      <c r="AJ373" s="256"/>
      <c r="AK373" s="256"/>
      <c r="AL373" s="256"/>
      <c r="AM373" s="256"/>
      <c r="AN373" s="256"/>
      <c r="AO373" s="256"/>
      <c r="AP373" s="256"/>
      <c r="AQ373" s="256"/>
      <c r="AR373" s="256"/>
      <c r="AS373" s="256"/>
      <c r="AT373" s="256"/>
      <c r="AU373" s="256"/>
      <c r="AV373" s="256"/>
      <c r="AW373" s="256"/>
      <c r="AX373" s="256"/>
      <c r="AY373" s="256"/>
      <c r="AZ373" s="256"/>
      <c r="BA373" s="256"/>
      <c r="BB373" s="256"/>
      <c r="BC373" s="256"/>
      <c r="BD373" s="256"/>
      <c r="BE373" s="256"/>
      <c r="BF373" s="256"/>
      <c r="BG373" s="256"/>
      <c r="BH373" s="256"/>
      <c r="BI373" s="256"/>
      <c r="BJ373" s="256"/>
      <c r="BK373" s="256"/>
      <c r="BL373" s="256"/>
      <c r="BM373" s="256"/>
      <c r="BN373" s="256"/>
      <c r="BO373" s="256"/>
      <c r="BP373" s="256"/>
      <c r="BQ373" s="256"/>
      <c r="BR373" s="256"/>
      <c r="BS373" s="256"/>
      <c r="BT373" s="256"/>
      <c r="BU373" s="256"/>
      <c r="BV373" s="256"/>
      <c r="BW373" s="256"/>
      <c r="BX373" s="256"/>
      <c r="BY373" s="256"/>
      <c r="BZ373" s="256"/>
    </row>
    <row r="374" spans="1:78">
      <c r="A374" s="538"/>
      <c r="B374" s="436"/>
      <c r="C374" s="436"/>
      <c r="D374" s="436"/>
      <c r="E374" s="436"/>
      <c r="F374" s="436"/>
      <c r="G374" s="436"/>
      <c r="H374" s="461"/>
      <c r="I374" s="462"/>
      <c r="J374" s="462"/>
      <c r="K374" s="462"/>
      <c r="L374" s="463"/>
      <c r="M374" s="256"/>
      <c r="N374" s="256"/>
      <c r="O374" s="256"/>
      <c r="P374" s="256"/>
      <c r="Q374" s="256"/>
      <c r="R374" s="256"/>
      <c r="S374" s="256"/>
      <c r="T374" s="256"/>
      <c r="U374" s="256"/>
      <c r="V374" s="256"/>
      <c r="W374" s="256"/>
      <c r="X374" s="256"/>
      <c r="Y374" s="256"/>
      <c r="Z374" s="256"/>
      <c r="AA374" s="256"/>
      <c r="AB374" s="256"/>
      <c r="AC374" s="256"/>
      <c r="AD374" s="256"/>
      <c r="AE374" s="256"/>
      <c r="AF374" s="256"/>
      <c r="AG374" s="256"/>
      <c r="AH374" s="256"/>
      <c r="AI374" s="256"/>
      <c r="AJ374" s="256"/>
      <c r="AK374" s="256"/>
      <c r="AL374" s="256"/>
      <c r="AM374" s="256"/>
      <c r="AN374" s="256"/>
      <c r="AO374" s="256"/>
      <c r="AP374" s="256"/>
      <c r="AQ374" s="256"/>
      <c r="AR374" s="256"/>
      <c r="AS374" s="256"/>
      <c r="AT374" s="256"/>
      <c r="AU374" s="256"/>
      <c r="AV374" s="256"/>
      <c r="AW374" s="256"/>
      <c r="AX374" s="256"/>
      <c r="AY374" s="256"/>
      <c r="AZ374" s="256"/>
      <c r="BA374" s="256"/>
      <c r="BB374" s="256"/>
      <c r="BC374" s="256"/>
      <c r="BD374" s="256"/>
      <c r="BE374" s="256"/>
      <c r="BF374" s="256"/>
      <c r="BG374" s="256"/>
      <c r="BH374" s="256"/>
      <c r="BI374" s="256"/>
      <c r="BJ374" s="256"/>
      <c r="BK374" s="256"/>
      <c r="BL374" s="256"/>
      <c r="BM374" s="256"/>
      <c r="BN374" s="256"/>
      <c r="BO374" s="256"/>
      <c r="BP374" s="256"/>
      <c r="BQ374" s="256"/>
      <c r="BR374" s="256"/>
      <c r="BS374" s="256"/>
      <c r="BT374" s="256"/>
      <c r="BU374" s="256"/>
      <c r="BV374" s="256"/>
      <c r="BW374" s="256"/>
      <c r="BX374" s="256"/>
      <c r="BY374" s="256"/>
      <c r="BZ374" s="256"/>
    </row>
    <row r="375" spans="1:78" ht="15" thickBot="1">
      <c r="A375" s="539" t="s">
        <v>10</v>
      </c>
      <c r="B375" s="464">
        <v>149.39966000000001</v>
      </c>
      <c r="C375" s="464">
        <v>143.57840318924099</v>
      </c>
      <c r="D375" s="464">
        <v>139.63553021277701</v>
      </c>
      <c r="E375" s="464">
        <v>136.69962896637199</v>
      </c>
      <c r="F375" s="464">
        <v>134.18601956671799</v>
      </c>
      <c r="G375" s="464">
        <v>138.05563815578699</v>
      </c>
      <c r="H375" s="466">
        <v>-2.6460761020494798E-3</v>
      </c>
      <c r="I375" s="467">
        <v>-5.5536366886307399E-3</v>
      </c>
      <c r="J375" s="467">
        <v>-4.2409104046396999E-3</v>
      </c>
      <c r="K375" s="467">
        <v>-3.70491709609E-3</v>
      </c>
      <c r="L375" s="468">
        <v>1.42249758824131E-3</v>
      </c>
      <c r="M375" s="256"/>
      <c r="N375" s="256"/>
      <c r="O375" s="256"/>
      <c r="P375" s="256"/>
      <c r="Q375" s="256"/>
      <c r="R375" s="256"/>
      <c r="S375" s="256"/>
      <c r="T375" s="256"/>
      <c r="U375" s="256"/>
      <c r="V375" s="256"/>
      <c r="W375" s="256"/>
      <c r="X375" s="256"/>
      <c r="Y375" s="256"/>
      <c r="Z375" s="256"/>
      <c r="AA375" s="256"/>
      <c r="AB375" s="256"/>
      <c r="AC375" s="256"/>
      <c r="AD375" s="256"/>
      <c r="AE375" s="256"/>
      <c r="AF375" s="256"/>
      <c r="AG375" s="256"/>
      <c r="AH375" s="256"/>
      <c r="AI375" s="256"/>
      <c r="AJ375" s="256"/>
      <c r="AK375" s="256"/>
      <c r="AL375" s="256"/>
      <c r="AM375" s="256"/>
      <c r="AN375" s="256"/>
      <c r="AO375" s="256"/>
      <c r="AP375" s="256"/>
      <c r="AQ375" s="256"/>
      <c r="AR375" s="256"/>
      <c r="AS375" s="256"/>
      <c r="AT375" s="256"/>
      <c r="AU375" s="256"/>
      <c r="AV375" s="256"/>
      <c r="AW375" s="256"/>
      <c r="AX375" s="256"/>
      <c r="AY375" s="256"/>
      <c r="AZ375" s="256"/>
      <c r="BA375" s="256"/>
      <c r="BB375" s="256"/>
      <c r="BC375" s="256"/>
      <c r="BD375" s="256"/>
      <c r="BE375" s="256"/>
      <c r="BF375" s="256"/>
      <c r="BG375" s="256"/>
      <c r="BH375" s="256"/>
      <c r="BI375" s="256"/>
      <c r="BJ375" s="256"/>
      <c r="BK375" s="256"/>
      <c r="BL375" s="256"/>
      <c r="BM375" s="256"/>
      <c r="BN375" s="256"/>
      <c r="BO375" s="256"/>
      <c r="BP375" s="256"/>
      <c r="BQ375" s="256"/>
      <c r="BR375" s="256"/>
      <c r="BS375" s="256"/>
      <c r="BT375" s="256"/>
      <c r="BU375" s="256"/>
      <c r="BV375" s="256"/>
      <c r="BW375" s="256"/>
      <c r="BX375" s="256"/>
      <c r="BY375" s="256"/>
      <c r="BZ375" s="256"/>
    </row>
    <row r="376" spans="1:78" ht="15.5">
      <c r="A376" s="532"/>
      <c r="B376" s="256"/>
      <c r="C376" s="256"/>
      <c r="D376" s="256"/>
      <c r="E376" s="256"/>
      <c r="F376" s="256"/>
      <c r="G376" s="256"/>
      <c r="H376" s="256"/>
      <c r="I376" s="256"/>
      <c r="J376" s="256"/>
      <c r="K376" s="256"/>
      <c r="L376" s="256"/>
      <c r="M376" s="256"/>
      <c r="N376" s="256"/>
      <c r="O376" s="256"/>
      <c r="P376" s="256"/>
      <c r="Q376" s="256"/>
      <c r="R376" s="256"/>
      <c r="S376" s="256"/>
      <c r="T376" s="256"/>
      <c r="U376" s="256"/>
      <c r="V376" s="256"/>
      <c r="W376" s="256"/>
      <c r="X376" s="256"/>
      <c r="Y376" s="256"/>
      <c r="Z376" s="256"/>
      <c r="AA376" s="256"/>
      <c r="AB376" s="256"/>
      <c r="AC376" s="256"/>
      <c r="AD376" s="256"/>
      <c r="AE376" s="256"/>
      <c r="AF376" s="256"/>
      <c r="AG376" s="256"/>
      <c r="AH376" s="256"/>
      <c r="AI376" s="256"/>
      <c r="AJ376" s="256"/>
      <c r="AK376" s="256"/>
      <c r="AL376" s="256"/>
      <c r="AM376" s="256"/>
      <c r="AN376" s="256"/>
      <c r="AO376" s="256"/>
      <c r="AP376" s="256"/>
      <c r="AQ376" s="256"/>
      <c r="AR376" s="256"/>
      <c r="AS376" s="256"/>
      <c r="AT376" s="256"/>
      <c r="AU376" s="256"/>
      <c r="AV376" s="256"/>
      <c r="AW376" s="256"/>
      <c r="AX376" s="256"/>
      <c r="AY376" s="256"/>
      <c r="AZ376" s="256"/>
      <c r="BA376" s="256"/>
      <c r="BB376" s="256"/>
      <c r="BC376" s="256"/>
      <c r="BD376" s="256"/>
      <c r="BE376" s="256"/>
      <c r="BF376" s="256"/>
      <c r="BG376" s="256"/>
      <c r="BH376" s="256"/>
      <c r="BI376" s="256"/>
      <c r="BJ376" s="256"/>
      <c r="BK376" s="256"/>
      <c r="BL376" s="256"/>
      <c r="BM376" s="256"/>
      <c r="BN376" s="256"/>
      <c r="BO376" s="256"/>
      <c r="BP376" s="256"/>
      <c r="BQ376" s="256"/>
      <c r="BR376" s="256"/>
      <c r="BS376" s="256"/>
      <c r="BT376" s="256"/>
      <c r="BU376" s="256"/>
      <c r="BV376" s="256"/>
      <c r="BW376" s="256"/>
      <c r="BX376" s="256"/>
      <c r="BY376" s="256"/>
      <c r="BZ376" s="256"/>
    </row>
    <row r="377" spans="1:78" ht="15.5">
      <c r="A377" s="532"/>
      <c r="B377" s="256"/>
      <c r="C377" s="256"/>
      <c r="D377" s="256"/>
      <c r="E377" s="256"/>
      <c r="F377" s="256"/>
      <c r="G377" s="256"/>
      <c r="H377" s="256"/>
      <c r="I377" s="256"/>
      <c r="J377" s="256"/>
      <c r="K377" s="256"/>
      <c r="L377" s="256"/>
      <c r="M377" s="256"/>
      <c r="N377" s="256"/>
      <c r="O377" s="256"/>
      <c r="P377" s="256"/>
      <c r="Q377" s="256"/>
      <c r="R377" s="256"/>
      <c r="S377" s="256"/>
      <c r="T377" s="256"/>
      <c r="U377" s="256"/>
      <c r="V377" s="256"/>
      <c r="W377" s="256"/>
      <c r="X377" s="256"/>
      <c r="Y377" s="256"/>
      <c r="Z377" s="256"/>
      <c r="AA377" s="256"/>
      <c r="AB377" s="256"/>
      <c r="AC377" s="256"/>
      <c r="AD377" s="256"/>
      <c r="AE377" s="256"/>
      <c r="AF377" s="256"/>
      <c r="AG377" s="256"/>
      <c r="AH377" s="256"/>
      <c r="AI377" s="256"/>
      <c r="AJ377" s="256"/>
      <c r="AK377" s="256"/>
      <c r="AL377" s="256"/>
      <c r="AM377" s="256"/>
      <c r="AN377" s="256"/>
      <c r="AO377" s="256"/>
      <c r="AP377" s="256"/>
      <c r="AQ377" s="256"/>
      <c r="AR377" s="256"/>
      <c r="AS377" s="256"/>
      <c r="AT377" s="256"/>
      <c r="AU377" s="256"/>
      <c r="AV377" s="256"/>
      <c r="AW377" s="256"/>
      <c r="AX377" s="256"/>
      <c r="AY377" s="256"/>
      <c r="AZ377" s="256"/>
      <c r="BA377" s="256"/>
      <c r="BB377" s="256"/>
      <c r="BC377" s="256"/>
      <c r="BD377" s="256"/>
      <c r="BE377" s="256"/>
      <c r="BF377" s="256"/>
      <c r="BG377" s="256"/>
      <c r="BH377" s="256"/>
      <c r="BI377" s="256"/>
      <c r="BJ377" s="256"/>
      <c r="BK377" s="256"/>
      <c r="BL377" s="256"/>
      <c r="BM377" s="256"/>
      <c r="BN377" s="256"/>
      <c r="BO377" s="256"/>
      <c r="BP377" s="256"/>
      <c r="BQ377" s="256"/>
      <c r="BR377" s="256"/>
      <c r="BS377" s="256"/>
      <c r="BT377" s="256"/>
      <c r="BU377" s="256"/>
      <c r="BV377" s="256"/>
      <c r="BW377" s="256"/>
      <c r="BX377" s="256"/>
      <c r="BY377" s="256"/>
      <c r="BZ377" s="256"/>
    </row>
    <row r="378" spans="1:78" ht="16" thickBot="1">
      <c r="A378" s="428" t="s">
        <v>205</v>
      </c>
      <c r="B378" s="523"/>
      <c r="C378" s="430"/>
      <c r="D378" s="430"/>
      <c r="E378" s="430"/>
      <c r="F378" s="430"/>
      <c r="G378" s="430"/>
      <c r="H378" s="430"/>
      <c r="I378" s="430"/>
      <c r="J378" s="430"/>
      <c r="K378" s="430"/>
      <c r="L378" s="430"/>
      <c r="M378" s="256"/>
      <c r="N378" s="256"/>
      <c r="O378" s="256"/>
      <c r="P378" s="256"/>
      <c r="Q378" s="256"/>
      <c r="R378" s="256"/>
      <c r="S378" s="256"/>
      <c r="T378" s="256"/>
      <c r="U378" s="256"/>
      <c r="V378" s="256"/>
      <c r="W378" s="256"/>
      <c r="X378" s="256"/>
      <c r="Y378" s="256"/>
      <c r="Z378" s="256"/>
      <c r="AA378" s="256"/>
      <c r="AB378" s="256"/>
      <c r="AC378" s="256"/>
      <c r="AD378" s="256"/>
      <c r="AE378" s="256"/>
      <c r="AF378" s="256"/>
      <c r="AG378" s="256"/>
      <c r="AH378" s="256"/>
      <c r="AI378" s="256"/>
      <c r="AJ378" s="256"/>
      <c r="AK378" s="256"/>
      <c r="AL378" s="256"/>
      <c r="AM378" s="256"/>
      <c r="AN378" s="256"/>
      <c r="AO378" s="256"/>
      <c r="AP378" s="256"/>
      <c r="AQ378" s="256"/>
      <c r="AR378" s="256"/>
      <c r="AS378" s="256"/>
      <c r="AT378" s="256"/>
      <c r="AU378" s="256"/>
      <c r="AV378" s="256"/>
      <c r="AW378" s="256"/>
      <c r="AX378" s="256"/>
      <c r="AY378" s="256"/>
      <c r="AZ378" s="256"/>
      <c r="BA378" s="256"/>
      <c r="BB378" s="256"/>
      <c r="BC378" s="256"/>
      <c r="BD378" s="256"/>
      <c r="BE378" s="256"/>
      <c r="BF378" s="256"/>
      <c r="BG378" s="256"/>
      <c r="BH378" s="256"/>
      <c r="BI378" s="256"/>
      <c r="BJ378" s="256"/>
      <c r="BK378" s="256"/>
      <c r="BL378" s="256"/>
      <c r="BM378" s="256"/>
      <c r="BN378" s="256"/>
      <c r="BO378" s="256"/>
      <c r="BP378" s="256"/>
      <c r="BQ378" s="256"/>
      <c r="BR378" s="256"/>
      <c r="BS378" s="256"/>
      <c r="BT378" s="256"/>
      <c r="BU378" s="256"/>
      <c r="BV378" s="256"/>
      <c r="BW378" s="256"/>
      <c r="BX378" s="256"/>
      <c r="BY378" s="256"/>
      <c r="BZ378" s="256"/>
    </row>
    <row r="379" spans="1:78" ht="15" thickBot="1">
      <c r="A379" s="431"/>
      <c r="B379" s="432">
        <v>2000</v>
      </c>
      <c r="C379" s="432">
        <v>2015</v>
      </c>
      <c r="D379" s="432">
        <v>2020</v>
      </c>
      <c r="E379" s="432">
        <v>2025</v>
      </c>
      <c r="F379" s="432">
        <v>2030</v>
      </c>
      <c r="G379" s="432">
        <v>2050</v>
      </c>
      <c r="H379" s="452" t="s">
        <v>98</v>
      </c>
      <c r="I379" s="453" t="s">
        <v>99</v>
      </c>
      <c r="J379" s="453" t="s">
        <v>100</v>
      </c>
      <c r="K379" s="453" t="s">
        <v>101</v>
      </c>
      <c r="L379" s="454" t="s">
        <v>384</v>
      </c>
      <c r="M379" s="256"/>
      <c r="N379" s="256"/>
      <c r="O379" s="256"/>
      <c r="P379" s="256"/>
      <c r="Q379" s="256"/>
      <c r="R379" s="256"/>
      <c r="S379" s="256"/>
      <c r="T379" s="256"/>
      <c r="U379" s="256"/>
      <c r="V379" s="256"/>
      <c r="W379" s="256"/>
      <c r="X379" s="256"/>
      <c r="Y379" s="256"/>
      <c r="Z379" s="256"/>
      <c r="AA379" s="256"/>
      <c r="AB379" s="256"/>
      <c r="AC379" s="256"/>
      <c r="AD379" s="256"/>
      <c r="AE379" s="256"/>
      <c r="AF379" s="256"/>
      <c r="AG379" s="256"/>
      <c r="AH379" s="256"/>
      <c r="AI379" s="256"/>
      <c r="AJ379" s="256"/>
      <c r="AK379" s="256"/>
      <c r="AL379" s="256"/>
      <c r="AM379" s="256"/>
      <c r="AN379" s="256"/>
      <c r="AO379" s="256"/>
      <c r="AP379" s="256"/>
      <c r="AQ379" s="256"/>
      <c r="AR379" s="256"/>
      <c r="AS379" s="256"/>
      <c r="AT379" s="256"/>
      <c r="AU379" s="256"/>
      <c r="AV379" s="256"/>
      <c r="AW379" s="256"/>
      <c r="AX379" s="256"/>
      <c r="AY379" s="256"/>
      <c r="AZ379" s="256"/>
      <c r="BA379" s="256"/>
      <c r="BB379" s="256"/>
      <c r="BC379" s="256"/>
      <c r="BD379" s="256"/>
      <c r="BE379" s="256"/>
      <c r="BF379" s="256"/>
      <c r="BG379" s="256"/>
      <c r="BH379" s="256"/>
      <c r="BI379" s="256"/>
      <c r="BJ379" s="256"/>
      <c r="BK379" s="256"/>
      <c r="BL379" s="256"/>
      <c r="BM379" s="256"/>
      <c r="BN379" s="256"/>
      <c r="BO379" s="256"/>
      <c r="BP379" s="256"/>
      <c r="BQ379" s="256"/>
      <c r="BR379" s="256"/>
      <c r="BS379" s="256"/>
      <c r="BT379" s="256"/>
      <c r="BU379" s="256"/>
      <c r="BV379" s="256"/>
      <c r="BW379" s="256"/>
      <c r="BX379" s="256"/>
      <c r="BY379" s="256"/>
      <c r="BZ379" s="256"/>
    </row>
    <row r="380" spans="1:78">
      <c r="A380" s="435" t="s">
        <v>196</v>
      </c>
      <c r="B380" s="533">
        <v>8.4325549288508606E-2</v>
      </c>
      <c r="C380" s="533">
        <v>6.8571312471406298E-2</v>
      </c>
      <c r="D380" s="533">
        <v>6.1600091817526598E-2</v>
      </c>
      <c r="E380" s="533">
        <v>5.6533414922964799E-2</v>
      </c>
      <c r="F380" s="533">
        <v>5.1767361657663297E-2</v>
      </c>
      <c r="G380" s="533">
        <v>3.8017414224205799E-2</v>
      </c>
      <c r="H380" s="461">
        <v>-1.3692764990851E-2</v>
      </c>
      <c r="I380" s="462">
        <v>-2.12139308811569E-2</v>
      </c>
      <c r="J380" s="462">
        <v>-1.70197952593216E-2</v>
      </c>
      <c r="K380" s="462">
        <v>-1.7460175492412602E-2</v>
      </c>
      <c r="L380" s="463">
        <v>-1.53172561486896E-2</v>
      </c>
      <c r="M380" s="256"/>
      <c r="N380" s="256"/>
      <c r="O380" s="256"/>
      <c r="P380" s="256"/>
      <c r="Q380" s="256"/>
      <c r="R380" s="256"/>
      <c r="S380" s="256"/>
      <c r="T380" s="256"/>
      <c r="U380" s="256"/>
      <c r="V380" s="256"/>
      <c r="W380" s="256"/>
      <c r="X380" s="256"/>
      <c r="Y380" s="256"/>
      <c r="Z380" s="256"/>
      <c r="AA380" s="256"/>
      <c r="AB380" s="256"/>
      <c r="AC380" s="256"/>
      <c r="AD380" s="256"/>
      <c r="AE380" s="256"/>
      <c r="AF380" s="256"/>
      <c r="AG380" s="256"/>
      <c r="AH380" s="256"/>
      <c r="AI380" s="256"/>
      <c r="AJ380" s="256"/>
      <c r="AK380" s="256"/>
      <c r="AL380" s="256"/>
      <c r="AM380" s="256"/>
      <c r="AN380" s="256"/>
      <c r="AO380" s="256"/>
      <c r="AP380" s="256"/>
      <c r="AQ380" s="256"/>
      <c r="AR380" s="256"/>
      <c r="AS380" s="256"/>
      <c r="AT380" s="256"/>
      <c r="AU380" s="256"/>
      <c r="AV380" s="256"/>
      <c r="AW380" s="256"/>
      <c r="AX380" s="256"/>
      <c r="AY380" s="256"/>
      <c r="AZ380" s="256"/>
      <c r="BA380" s="256"/>
      <c r="BB380" s="256"/>
      <c r="BC380" s="256"/>
      <c r="BD380" s="256"/>
      <c r="BE380" s="256"/>
      <c r="BF380" s="256"/>
      <c r="BG380" s="256"/>
      <c r="BH380" s="256"/>
      <c r="BI380" s="256"/>
      <c r="BJ380" s="256"/>
      <c r="BK380" s="256"/>
      <c r="BL380" s="256"/>
      <c r="BM380" s="256"/>
      <c r="BN380" s="256"/>
      <c r="BO380" s="256"/>
      <c r="BP380" s="256"/>
      <c r="BQ380" s="256"/>
      <c r="BR380" s="256"/>
      <c r="BS380" s="256"/>
      <c r="BT380" s="256"/>
      <c r="BU380" s="256"/>
      <c r="BV380" s="256"/>
      <c r="BW380" s="256"/>
      <c r="BX380" s="256"/>
      <c r="BY380" s="256"/>
      <c r="BZ380" s="256"/>
    </row>
    <row r="381" spans="1:78">
      <c r="A381" s="435" t="s">
        <v>206</v>
      </c>
      <c r="B381" s="515">
        <v>214.050367245941</v>
      </c>
      <c r="C381" s="515">
        <v>203.27815628770301</v>
      </c>
      <c r="D381" s="515">
        <v>191.176095863889</v>
      </c>
      <c r="E381" s="515">
        <v>183.63659967520701</v>
      </c>
      <c r="F381" s="515">
        <v>176.928093077429</v>
      </c>
      <c r="G381" s="515">
        <v>150.91663440386799</v>
      </c>
      <c r="H381" s="461">
        <v>-3.4364869917412602E-3</v>
      </c>
      <c r="I381" s="462">
        <v>-1.2201016170506999E-2</v>
      </c>
      <c r="J381" s="462">
        <v>-8.0149413372444505E-3</v>
      </c>
      <c r="K381" s="462">
        <v>-7.41545021124257E-3</v>
      </c>
      <c r="L381" s="463">
        <v>-7.9192661661721103E-3</v>
      </c>
      <c r="M381" s="256"/>
      <c r="N381" s="256"/>
      <c r="O381" s="256"/>
      <c r="P381" s="256"/>
      <c r="Q381" s="256"/>
      <c r="R381" s="256"/>
      <c r="S381" s="256"/>
      <c r="T381" s="256"/>
      <c r="U381" s="256"/>
      <c r="V381" s="256"/>
      <c r="W381" s="256"/>
      <c r="X381" s="256"/>
      <c r="Y381" s="256"/>
      <c r="Z381" s="256"/>
      <c r="AA381" s="256"/>
      <c r="AB381" s="256"/>
      <c r="AC381" s="256"/>
      <c r="AD381" s="256"/>
      <c r="AE381" s="256"/>
      <c r="AF381" s="256"/>
      <c r="AG381" s="256"/>
      <c r="AH381" s="256"/>
      <c r="AI381" s="256"/>
      <c r="AJ381" s="256"/>
      <c r="AK381" s="256"/>
      <c r="AL381" s="256"/>
      <c r="AM381" s="256"/>
      <c r="AN381" s="256"/>
      <c r="AO381" s="256"/>
      <c r="AP381" s="256"/>
      <c r="AQ381" s="256"/>
      <c r="AR381" s="256"/>
      <c r="AS381" s="256"/>
      <c r="AT381" s="256"/>
      <c r="AU381" s="256"/>
      <c r="AV381" s="256"/>
      <c r="AW381" s="256"/>
      <c r="AX381" s="256"/>
      <c r="AY381" s="256"/>
      <c r="AZ381" s="256"/>
      <c r="BA381" s="256"/>
      <c r="BB381" s="256"/>
      <c r="BC381" s="256"/>
      <c r="BD381" s="256"/>
      <c r="BE381" s="256"/>
      <c r="BF381" s="256"/>
      <c r="BG381" s="256"/>
      <c r="BH381" s="256"/>
      <c r="BI381" s="256"/>
      <c r="BJ381" s="256"/>
      <c r="BK381" s="256"/>
      <c r="BL381" s="256"/>
      <c r="BM381" s="256"/>
      <c r="BN381" s="256"/>
      <c r="BO381" s="256"/>
      <c r="BP381" s="256"/>
      <c r="BQ381" s="256"/>
      <c r="BR381" s="256"/>
      <c r="BS381" s="256"/>
      <c r="BT381" s="256"/>
      <c r="BU381" s="256"/>
      <c r="BV381" s="256"/>
      <c r="BW381" s="256"/>
      <c r="BX381" s="256"/>
      <c r="BY381" s="256"/>
      <c r="BZ381" s="256"/>
    </row>
    <row r="382" spans="1:78">
      <c r="A382" s="435" t="s">
        <v>150</v>
      </c>
      <c r="B382" s="494">
        <v>2.5383067722314698</v>
      </c>
      <c r="C382" s="494">
        <v>2.23337128547516</v>
      </c>
      <c r="D382" s="494">
        <v>2.12594097927854</v>
      </c>
      <c r="E382" s="494">
        <v>2.0431625457003402</v>
      </c>
      <c r="F382" s="494">
        <v>1.9718449748309499</v>
      </c>
      <c r="G382" s="494">
        <v>1.9260369309595899</v>
      </c>
      <c r="H382" s="461">
        <v>-8.4960364520788607E-3</v>
      </c>
      <c r="I382" s="462">
        <v>-9.8110966468509808E-3</v>
      </c>
      <c r="J382" s="462">
        <v>-7.9116653563052804E-3</v>
      </c>
      <c r="K382" s="462">
        <v>-7.0806601645884201E-3</v>
      </c>
      <c r="L382" s="463">
        <v>-1.1745672440818299E-3</v>
      </c>
      <c r="M382" s="256"/>
      <c r="N382" s="256"/>
      <c r="O382" s="256"/>
      <c r="P382" s="256"/>
      <c r="Q382" s="256"/>
      <c r="R382" s="256"/>
      <c r="S382" s="256"/>
      <c r="T382" s="256"/>
      <c r="U382" s="256"/>
      <c r="V382" s="256"/>
      <c r="W382" s="256"/>
      <c r="X382" s="256"/>
      <c r="Y382" s="256"/>
      <c r="Z382" s="256"/>
      <c r="AA382" s="256"/>
      <c r="AB382" s="256"/>
      <c r="AC382" s="256"/>
      <c r="AD382" s="256"/>
      <c r="AE382" s="256"/>
      <c r="AF382" s="256"/>
      <c r="AG382" s="256"/>
      <c r="AH382" s="256"/>
      <c r="AI382" s="256"/>
      <c r="AJ382" s="256"/>
      <c r="AK382" s="256"/>
      <c r="AL382" s="256"/>
      <c r="AM382" s="256"/>
      <c r="AN382" s="256"/>
      <c r="AO382" s="256"/>
      <c r="AP382" s="256"/>
      <c r="AQ382" s="256"/>
      <c r="AR382" s="256"/>
      <c r="AS382" s="256"/>
      <c r="AT382" s="256"/>
      <c r="AU382" s="256"/>
      <c r="AV382" s="256"/>
      <c r="AW382" s="256"/>
      <c r="AX382" s="256"/>
      <c r="AY382" s="256"/>
      <c r="AZ382" s="256"/>
      <c r="BA382" s="256"/>
      <c r="BB382" s="256"/>
      <c r="BC382" s="256"/>
      <c r="BD382" s="256"/>
      <c r="BE382" s="256"/>
      <c r="BF382" s="256"/>
      <c r="BG382" s="256"/>
      <c r="BH382" s="256"/>
      <c r="BI382" s="256"/>
      <c r="BJ382" s="256"/>
      <c r="BK382" s="256"/>
      <c r="BL382" s="256"/>
      <c r="BM382" s="256"/>
      <c r="BN382" s="256"/>
      <c r="BO382" s="256"/>
      <c r="BP382" s="256"/>
      <c r="BQ382" s="256"/>
      <c r="BR382" s="256"/>
      <c r="BS382" s="256"/>
      <c r="BT382" s="256"/>
      <c r="BU382" s="256"/>
      <c r="BV382" s="256"/>
      <c r="BW382" s="256"/>
      <c r="BX382" s="256"/>
      <c r="BY382" s="256"/>
      <c r="BZ382" s="256"/>
    </row>
    <row r="383" spans="1:78" ht="15" thickBot="1">
      <c r="A383" s="444" t="s">
        <v>151</v>
      </c>
      <c r="B383" s="540">
        <v>6443.1895358319998</v>
      </c>
      <c r="C383" s="540">
        <v>6620.7803358962901</v>
      </c>
      <c r="D383" s="540">
        <v>6597.8651080498103</v>
      </c>
      <c r="E383" s="540">
        <v>6636.7726589206604</v>
      </c>
      <c r="F383" s="540">
        <v>6739.2805055095196</v>
      </c>
      <c r="G383" s="540">
        <v>7645.7333379844804</v>
      </c>
      <c r="H383" s="466">
        <v>1.81428058343625E-3</v>
      </c>
      <c r="I383" s="467">
        <v>-6.9318169594823097E-4</v>
      </c>
      <c r="J383" s="467">
        <v>1.1766260336725199E-3</v>
      </c>
      <c r="K383" s="467">
        <v>3.0701772327716998E-3</v>
      </c>
      <c r="L383" s="468">
        <v>6.3296777444214998E-3</v>
      </c>
      <c r="M383" s="256"/>
      <c r="N383" s="256"/>
      <c r="O383" s="256"/>
      <c r="P383" s="256"/>
      <c r="Q383" s="256"/>
      <c r="R383" s="256"/>
      <c r="S383" s="256"/>
      <c r="T383" s="256"/>
      <c r="U383" s="256"/>
      <c r="V383" s="256"/>
      <c r="W383" s="256"/>
      <c r="X383" s="256"/>
      <c r="Y383" s="256"/>
      <c r="Z383" s="256"/>
      <c r="AA383" s="256"/>
      <c r="AB383" s="256"/>
      <c r="AC383" s="256"/>
      <c r="AD383" s="256"/>
      <c r="AE383" s="256"/>
      <c r="AF383" s="256"/>
      <c r="AG383" s="256"/>
      <c r="AH383" s="256"/>
      <c r="AI383" s="256"/>
      <c r="AJ383" s="256"/>
      <c r="AK383" s="256"/>
      <c r="AL383" s="256"/>
      <c r="AM383" s="256"/>
      <c r="AN383" s="256"/>
      <c r="AO383" s="256"/>
      <c r="AP383" s="256"/>
      <c r="AQ383" s="256"/>
      <c r="AR383" s="256"/>
      <c r="AS383" s="256"/>
      <c r="AT383" s="256"/>
      <c r="AU383" s="256"/>
      <c r="AV383" s="256"/>
      <c r="AW383" s="256"/>
      <c r="AX383" s="256"/>
      <c r="AY383" s="256"/>
      <c r="AZ383" s="256"/>
      <c r="BA383" s="256"/>
      <c r="BB383" s="256"/>
      <c r="BC383" s="256"/>
      <c r="BD383" s="256"/>
      <c r="BE383" s="256"/>
      <c r="BF383" s="256"/>
      <c r="BG383" s="256"/>
      <c r="BH383" s="256"/>
      <c r="BI383" s="256"/>
      <c r="BJ383" s="256"/>
      <c r="BK383" s="256"/>
      <c r="BL383" s="256"/>
      <c r="BM383" s="256"/>
      <c r="BN383" s="256"/>
      <c r="BO383" s="256"/>
      <c r="BP383" s="256"/>
      <c r="BQ383" s="256"/>
      <c r="BR383" s="256"/>
      <c r="BS383" s="256"/>
      <c r="BT383" s="256"/>
      <c r="BU383" s="256"/>
      <c r="BV383" s="256"/>
      <c r="BW383" s="256"/>
      <c r="BX383" s="256"/>
      <c r="BY383" s="256"/>
      <c r="BZ383" s="256"/>
    </row>
    <row r="384" spans="1:78" ht="15.5">
      <c r="A384" s="532"/>
      <c r="B384" s="256"/>
      <c r="C384" s="256"/>
      <c r="D384" s="256"/>
      <c r="E384" s="256"/>
      <c r="F384" s="256"/>
      <c r="G384" s="256"/>
      <c r="H384" s="256"/>
      <c r="I384" s="256"/>
      <c r="J384" s="256"/>
      <c r="K384" s="256"/>
      <c r="L384" s="256"/>
      <c r="M384" s="256"/>
      <c r="N384" s="256"/>
      <c r="O384" s="256"/>
      <c r="P384" s="256"/>
      <c r="Q384" s="256"/>
      <c r="R384" s="256"/>
      <c r="S384" s="256"/>
      <c r="T384" s="256"/>
      <c r="U384" s="256"/>
      <c r="V384" s="256"/>
      <c r="W384" s="256"/>
      <c r="X384" s="256"/>
      <c r="Y384" s="256"/>
      <c r="Z384" s="256"/>
      <c r="AA384" s="256"/>
      <c r="AB384" s="256"/>
      <c r="AC384" s="256"/>
      <c r="AD384" s="256"/>
      <c r="AE384" s="256"/>
      <c r="AF384" s="256"/>
      <c r="AG384" s="256"/>
      <c r="AH384" s="256"/>
      <c r="AI384" s="256"/>
      <c r="AJ384" s="256"/>
      <c r="AK384" s="256"/>
      <c r="AL384" s="256"/>
      <c r="AM384" s="256"/>
      <c r="AN384" s="256"/>
      <c r="AO384" s="256"/>
      <c r="AP384" s="256"/>
      <c r="AQ384" s="256"/>
      <c r="AR384" s="256"/>
      <c r="AS384" s="256"/>
      <c r="AT384" s="256"/>
      <c r="AU384" s="256"/>
      <c r="AV384" s="256"/>
      <c r="AW384" s="256"/>
      <c r="AX384" s="256"/>
      <c r="AY384" s="256"/>
      <c r="AZ384" s="256"/>
      <c r="BA384" s="256"/>
      <c r="BB384" s="256"/>
      <c r="BC384" s="256"/>
      <c r="BD384" s="256"/>
      <c r="BE384" s="256"/>
      <c r="BF384" s="256"/>
      <c r="BG384" s="256"/>
      <c r="BH384" s="256"/>
      <c r="BI384" s="256"/>
      <c r="BJ384" s="256"/>
      <c r="BK384" s="256"/>
      <c r="BL384" s="256"/>
      <c r="BM384" s="256"/>
      <c r="BN384" s="256"/>
      <c r="BO384" s="256"/>
      <c r="BP384" s="256"/>
      <c r="BQ384" s="256"/>
      <c r="BR384" s="256"/>
      <c r="BS384" s="256"/>
      <c r="BT384" s="256"/>
      <c r="BU384" s="256"/>
      <c r="BV384" s="256"/>
      <c r="BW384" s="256"/>
      <c r="BX384" s="256"/>
      <c r="BY384" s="256"/>
      <c r="BZ384" s="256"/>
    </row>
    <row r="385" spans="1:78" ht="15.5">
      <c r="A385" s="532"/>
      <c r="B385" s="256"/>
      <c r="C385" s="256"/>
      <c r="D385" s="256"/>
      <c r="E385" s="256"/>
      <c r="F385" s="256"/>
      <c r="G385" s="256"/>
      <c r="H385" s="256"/>
      <c r="I385" s="256"/>
      <c r="J385" s="256"/>
      <c r="K385" s="256"/>
      <c r="L385" s="256"/>
      <c r="M385" s="256"/>
      <c r="N385" s="256"/>
      <c r="O385" s="256"/>
      <c r="P385" s="256"/>
      <c r="Q385" s="256"/>
      <c r="R385" s="256"/>
      <c r="S385" s="256"/>
      <c r="T385" s="256"/>
      <c r="U385" s="256"/>
      <c r="V385" s="256"/>
      <c r="W385" s="256"/>
      <c r="X385" s="256"/>
      <c r="Y385" s="256"/>
      <c r="Z385" s="256"/>
      <c r="AA385" s="256"/>
      <c r="AB385" s="256"/>
      <c r="AC385" s="256"/>
      <c r="AD385" s="256"/>
      <c r="AE385" s="256"/>
      <c r="AF385" s="256"/>
      <c r="AG385" s="256"/>
      <c r="AH385" s="256"/>
      <c r="AI385" s="256"/>
      <c r="AJ385" s="256"/>
      <c r="AK385" s="256"/>
      <c r="AL385" s="256"/>
      <c r="AM385" s="256"/>
      <c r="AN385" s="256"/>
      <c r="AO385" s="256"/>
      <c r="AP385" s="256"/>
      <c r="AQ385" s="256"/>
      <c r="AR385" s="256"/>
      <c r="AS385" s="256"/>
      <c r="AT385" s="256"/>
      <c r="AU385" s="256"/>
      <c r="AV385" s="256"/>
      <c r="AW385" s="256"/>
      <c r="AX385" s="256"/>
      <c r="AY385" s="256"/>
      <c r="AZ385" s="256"/>
      <c r="BA385" s="256"/>
      <c r="BB385" s="256"/>
      <c r="BC385" s="256"/>
      <c r="BD385" s="256"/>
      <c r="BE385" s="256"/>
      <c r="BF385" s="256"/>
      <c r="BG385" s="256"/>
      <c r="BH385" s="256"/>
      <c r="BI385" s="256"/>
      <c r="BJ385" s="256"/>
      <c r="BK385" s="256"/>
      <c r="BL385" s="256"/>
      <c r="BM385" s="256"/>
      <c r="BN385" s="256"/>
      <c r="BO385" s="256"/>
      <c r="BP385" s="256"/>
      <c r="BQ385" s="256"/>
      <c r="BR385" s="256"/>
      <c r="BS385" s="256"/>
      <c r="BT385" s="256"/>
      <c r="BU385" s="256"/>
      <c r="BV385" s="256"/>
      <c r="BW385" s="256"/>
      <c r="BX385" s="256"/>
      <c r="BY385" s="256"/>
      <c r="BZ385" s="256"/>
    </row>
    <row r="386" spans="1:78">
      <c r="A386" s="256"/>
      <c r="B386" s="256"/>
      <c r="C386" s="256"/>
      <c r="D386" s="256"/>
      <c r="E386" s="256"/>
      <c r="F386" s="256"/>
      <c r="G386" s="256"/>
      <c r="H386" s="256"/>
      <c r="I386" s="256"/>
      <c r="J386" s="256"/>
      <c r="K386" s="256"/>
      <c r="L386" s="256"/>
      <c r="M386" s="256"/>
      <c r="N386" s="256"/>
      <c r="O386" s="256"/>
      <c r="P386" s="256"/>
      <c r="Q386" s="256"/>
      <c r="R386" s="256"/>
      <c r="S386" s="256"/>
      <c r="T386" s="256"/>
      <c r="U386" s="256"/>
      <c r="V386" s="256"/>
      <c r="W386" s="256"/>
      <c r="X386" s="256"/>
      <c r="Y386" s="256"/>
      <c r="Z386" s="256"/>
      <c r="AA386" s="256"/>
      <c r="AB386" s="256"/>
      <c r="AC386" s="256"/>
      <c r="AD386" s="256"/>
      <c r="AE386" s="256"/>
      <c r="AF386" s="256"/>
      <c r="AG386" s="256"/>
      <c r="AH386" s="256"/>
      <c r="AI386" s="256"/>
      <c r="AJ386" s="256"/>
      <c r="AK386" s="256"/>
      <c r="AL386" s="256"/>
      <c r="AM386" s="256"/>
      <c r="AN386" s="256"/>
      <c r="AO386" s="256"/>
      <c r="AP386" s="256"/>
      <c r="AQ386" s="256"/>
      <c r="AR386" s="256"/>
      <c r="AS386" s="256"/>
      <c r="AT386" s="256"/>
      <c r="AU386" s="256"/>
      <c r="AV386" s="256"/>
      <c r="AW386" s="256"/>
      <c r="AX386" s="256"/>
      <c r="AY386" s="256"/>
      <c r="AZ386" s="256"/>
      <c r="BA386" s="256"/>
      <c r="BB386" s="256"/>
      <c r="BC386" s="256"/>
      <c r="BD386" s="256"/>
      <c r="BE386" s="256"/>
      <c r="BF386" s="256"/>
      <c r="BG386" s="256"/>
      <c r="BH386" s="256"/>
      <c r="BI386" s="256"/>
      <c r="BJ386" s="256"/>
      <c r="BK386" s="256"/>
      <c r="BL386" s="256"/>
      <c r="BM386" s="256"/>
      <c r="BN386" s="256"/>
      <c r="BO386" s="256"/>
      <c r="BP386" s="256"/>
      <c r="BQ386" s="256"/>
      <c r="BR386" s="256"/>
      <c r="BS386" s="256"/>
      <c r="BT386" s="256"/>
      <c r="BU386" s="256"/>
      <c r="BV386" s="256"/>
      <c r="BW386" s="256"/>
      <c r="BX386" s="256"/>
      <c r="BY386" s="256"/>
      <c r="BZ386" s="256"/>
    </row>
    <row r="410" spans="1:78">
      <c r="A410" s="256"/>
      <c r="B410" s="422"/>
      <c r="C410" s="422"/>
      <c r="D410" s="422"/>
      <c r="E410" s="422"/>
      <c r="F410" s="422"/>
      <c r="G410" s="422"/>
      <c r="H410" s="422"/>
      <c r="I410" s="422"/>
      <c r="J410" s="422"/>
      <c r="K410" s="422"/>
      <c r="L410" s="422"/>
      <c r="M410" s="256"/>
      <c r="N410" s="541"/>
      <c r="O410" s="256"/>
      <c r="P410" s="256"/>
      <c r="Q410" s="256"/>
      <c r="R410" s="256"/>
      <c r="S410" s="256"/>
      <c r="T410" s="256"/>
      <c r="U410" s="256"/>
      <c r="V410" s="256"/>
      <c r="W410" s="256"/>
      <c r="X410" s="256"/>
      <c r="Y410" s="256"/>
      <c r="Z410" s="256"/>
      <c r="AA410" s="256"/>
      <c r="AB410" s="256"/>
      <c r="AC410" s="256"/>
      <c r="AD410" s="256"/>
      <c r="AE410" s="256"/>
      <c r="AF410" s="256"/>
      <c r="AG410" s="256"/>
      <c r="AH410" s="256"/>
      <c r="AI410" s="256"/>
      <c r="AJ410" s="256"/>
      <c r="AK410" s="256"/>
      <c r="AL410" s="256"/>
      <c r="AM410" s="256"/>
      <c r="AN410" s="256"/>
      <c r="AO410" s="256"/>
      <c r="AP410" s="256"/>
      <c r="AQ410" s="256"/>
      <c r="AR410" s="256"/>
      <c r="AS410" s="256"/>
      <c r="AT410" s="256"/>
      <c r="AU410" s="256"/>
      <c r="AV410" s="256"/>
      <c r="AW410" s="256"/>
      <c r="AX410" s="256"/>
      <c r="AY410" s="256"/>
      <c r="AZ410" s="256"/>
      <c r="BA410" s="256"/>
      <c r="BB410" s="256"/>
      <c r="BC410" s="256"/>
      <c r="BD410" s="256"/>
      <c r="BE410" s="256"/>
      <c r="BF410" s="256"/>
      <c r="BG410" s="256"/>
      <c r="BH410" s="256"/>
      <c r="BI410" s="256"/>
      <c r="BJ410" s="256"/>
      <c r="BK410" s="256"/>
      <c r="BL410" s="256"/>
      <c r="BM410" s="256"/>
      <c r="BN410" s="256"/>
      <c r="BO410" s="256"/>
      <c r="BP410" s="256"/>
      <c r="BQ410" s="256"/>
      <c r="BR410" s="256"/>
      <c r="BS410" s="256"/>
      <c r="BT410" s="256"/>
      <c r="BU410" s="256"/>
      <c r="BV410" s="256"/>
      <c r="BW410" s="256"/>
      <c r="BX410" s="256"/>
      <c r="BY410" s="256"/>
      <c r="BZ410" s="256"/>
    </row>
    <row r="411" spans="1:78">
      <c r="A411" s="256"/>
      <c r="B411" s="422"/>
      <c r="C411" s="422"/>
      <c r="D411" s="422"/>
      <c r="E411" s="422"/>
      <c r="F411" s="422"/>
      <c r="G411" s="422"/>
      <c r="H411" s="422"/>
      <c r="I411" s="422"/>
      <c r="J411" s="422"/>
      <c r="K411" s="422"/>
      <c r="L411" s="422"/>
      <c r="M411" s="256"/>
      <c r="N411" s="460"/>
      <c r="O411" s="256"/>
      <c r="P411" s="256"/>
      <c r="Q411" s="256"/>
      <c r="R411" s="256"/>
      <c r="S411" s="256"/>
      <c r="T411" s="256"/>
      <c r="U411" s="256"/>
      <c r="V411" s="256"/>
      <c r="W411" s="256"/>
      <c r="X411" s="256"/>
      <c r="Y411" s="256"/>
      <c r="Z411" s="256"/>
      <c r="AA411" s="256"/>
      <c r="AB411" s="256"/>
      <c r="AC411" s="256"/>
      <c r="AD411" s="256"/>
      <c r="AE411" s="256"/>
      <c r="AF411" s="256"/>
      <c r="AG411" s="256"/>
      <c r="AH411" s="256"/>
      <c r="AI411" s="256"/>
      <c r="AJ411" s="256"/>
      <c r="AK411" s="256"/>
      <c r="AL411" s="256"/>
      <c r="AM411" s="256"/>
      <c r="AN411" s="256"/>
      <c r="AO411" s="256"/>
      <c r="AP411" s="256"/>
      <c r="AQ411" s="256"/>
      <c r="AR411" s="256"/>
      <c r="AS411" s="256"/>
      <c r="AT411" s="256"/>
      <c r="AU411" s="256"/>
      <c r="AV411" s="256"/>
      <c r="AW411" s="256"/>
      <c r="AX411" s="256"/>
      <c r="AY411" s="256"/>
      <c r="AZ411" s="256"/>
      <c r="BA411" s="256"/>
      <c r="BB411" s="256"/>
      <c r="BC411" s="256"/>
      <c r="BD411" s="256"/>
      <c r="BE411" s="256"/>
      <c r="BF411" s="256"/>
      <c r="BG411" s="256"/>
      <c r="BH411" s="256"/>
      <c r="BI411" s="256"/>
      <c r="BJ411" s="256"/>
      <c r="BK411" s="256"/>
      <c r="BL411" s="256"/>
      <c r="BM411" s="256"/>
      <c r="BN411" s="256"/>
      <c r="BO411" s="256"/>
      <c r="BP411" s="256"/>
      <c r="BQ411" s="256"/>
      <c r="BR411" s="256"/>
      <c r="BS411" s="256"/>
      <c r="BT411" s="256"/>
      <c r="BU411" s="256"/>
      <c r="BV411" s="256"/>
      <c r="BW411" s="256"/>
      <c r="BX411" s="256"/>
      <c r="BY411" s="256"/>
      <c r="BZ411" s="256"/>
    </row>
    <row r="412" spans="1:78">
      <c r="A412" s="256"/>
      <c r="B412" s="422"/>
      <c r="C412" s="422"/>
      <c r="D412" s="422"/>
      <c r="E412" s="422"/>
      <c r="F412" s="422"/>
      <c r="G412" s="422"/>
      <c r="H412" s="422"/>
      <c r="I412" s="422"/>
      <c r="J412" s="422"/>
      <c r="K412" s="422"/>
      <c r="L412" s="422"/>
      <c r="M412" s="256"/>
      <c r="N412" s="459"/>
      <c r="O412" s="256"/>
      <c r="P412" s="256"/>
      <c r="Q412" s="256"/>
      <c r="R412" s="256"/>
      <c r="S412" s="256"/>
      <c r="T412" s="256"/>
      <c r="U412" s="256"/>
      <c r="V412" s="256"/>
      <c r="W412" s="256"/>
      <c r="X412" s="256"/>
      <c r="Y412" s="256"/>
      <c r="Z412" s="256"/>
      <c r="AA412" s="256"/>
      <c r="AB412" s="256"/>
      <c r="AC412" s="256"/>
      <c r="AD412" s="256"/>
      <c r="AE412" s="256"/>
      <c r="AF412" s="256"/>
      <c r="AG412" s="256"/>
      <c r="AH412" s="256"/>
      <c r="AI412" s="256"/>
      <c r="AJ412" s="256"/>
      <c r="AK412" s="256"/>
      <c r="AL412" s="256"/>
      <c r="AM412" s="256"/>
      <c r="AN412" s="256"/>
      <c r="AO412" s="256"/>
      <c r="AP412" s="256"/>
      <c r="AQ412" s="256"/>
      <c r="AR412" s="256"/>
      <c r="AS412" s="256"/>
      <c r="AT412" s="256"/>
      <c r="AU412" s="256"/>
      <c r="AV412" s="256"/>
      <c r="AW412" s="256"/>
      <c r="AX412" s="256"/>
      <c r="AY412" s="256"/>
      <c r="AZ412" s="256"/>
      <c r="BA412" s="256"/>
      <c r="BB412" s="256"/>
      <c r="BC412" s="256"/>
      <c r="BD412" s="256"/>
      <c r="BE412" s="256"/>
      <c r="BF412" s="256"/>
      <c r="BG412" s="256"/>
      <c r="BH412" s="256"/>
      <c r="BI412" s="256"/>
      <c r="BJ412" s="256"/>
      <c r="BK412" s="256"/>
      <c r="BL412" s="256"/>
      <c r="BM412" s="256"/>
      <c r="BN412" s="256"/>
      <c r="BO412" s="256"/>
      <c r="BP412" s="256"/>
      <c r="BQ412" s="256"/>
      <c r="BR412" s="256"/>
      <c r="BS412" s="256"/>
      <c r="BT412" s="256"/>
      <c r="BU412" s="256"/>
      <c r="BV412" s="256"/>
      <c r="BW412" s="256"/>
      <c r="BX412" s="256"/>
      <c r="BY412" s="256"/>
      <c r="BZ412" s="25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BZ642"/>
  <sheetViews>
    <sheetView workbookViewId="0"/>
  </sheetViews>
  <sheetFormatPr baseColWidth="10" defaultRowHeight="14.5"/>
  <cols>
    <col min="1" max="1" width="38.1796875" style="167" customWidth="1"/>
    <col min="2" max="5" width="12.26953125" style="169" customWidth="1"/>
    <col min="6" max="7" width="12.26953125" style="170" customWidth="1"/>
    <col min="8" max="12" width="13.1796875" style="170" customWidth="1"/>
    <col min="13" max="78" width="11.453125" style="167"/>
  </cols>
  <sheetData>
    <row r="1" spans="1:18" ht="28.5">
      <c r="A1" s="72" t="s">
        <v>45</v>
      </c>
      <c r="B1" s="73"/>
      <c r="C1" s="73"/>
      <c r="D1" s="73"/>
      <c r="E1" s="73"/>
      <c r="F1" s="74" t="s">
        <v>46</v>
      </c>
      <c r="G1" s="75" t="s">
        <v>47</v>
      </c>
      <c r="H1" s="75"/>
      <c r="I1" s="74" t="s">
        <v>48</v>
      </c>
      <c r="J1" s="75">
        <v>4</v>
      </c>
      <c r="K1" s="74" t="s">
        <v>49</v>
      </c>
      <c r="L1" s="166">
        <v>43273</v>
      </c>
    </row>
    <row r="2" spans="1:18" ht="26">
      <c r="B2" s="168"/>
    </row>
    <row r="3" spans="1:18" ht="21">
      <c r="A3" s="171"/>
      <c r="B3" s="172"/>
      <c r="C3" s="167"/>
      <c r="D3" s="173"/>
      <c r="E3" s="172"/>
      <c r="F3" s="174"/>
    </row>
    <row r="4" spans="1:18">
      <c r="B4" s="167"/>
    </row>
    <row r="5" spans="1:18" ht="21">
      <c r="A5" s="78" t="s">
        <v>96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</row>
    <row r="6" spans="1:18">
      <c r="B6" s="170"/>
      <c r="C6" s="170"/>
      <c r="D6" s="170"/>
      <c r="E6" s="170"/>
    </row>
    <row r="7" spans="1:18" ht="16" thickBot="1">
      <c r="A7" s="90" t="s">
        <v>97</v>
      </c>
      <c r="B7" s="81"/>
      <c r="C7" s="81"/>
      <c r="D7" s="81"/>
      <c r="E7" s="81"/>
      <c r="F7" s="80"/>
      <c r="G7" s="80"/>
      <c r="H7" s="80"/>
      <c r="I7" s="80"/>
      <c r="J7" s="80"/>
      <c r="K7" s="80"/>
      <c r="L7" s="80"/>
    </row>
    <row r="8" spans="1:18" ht="15" thickBot="1">
      <c r="A8" s="176" t="s">
        <v>51</v>
      </c>
      <c r="B8" s="177">
        <v>2000</v>
      </c>
      <c r="C8" s="177">
        <v>2015</v>
      </c>
      <c r="D8" s="177">
        <v>2020</v>
      </c>
      <c r="E8" s="177">
        <v>2025</v>
      </c>
      <c r="F8" s="177">
        <v>2030</v>
      </c>
      <c r="G8" s="177">
        <v>2050</v>
      </c>
      <c r="H8" s="568" t="s">
        <v>98</v>
      </c>
      <c r="I8" s="569" t="s">
        <v>99</v>
      </c>
      <c r="J8" s="569" t="s">
        <v>100</v>
      </c>
      <c r="K8" s="569" t="s">
        <v>101</v>
      </c>
      <c r="L8" s="570" t="s">
        <v>102</v>
      </c>
    </row>
    <row r="9" spans="1:18">
      <c r="A9" s="178" t="s">
        <v>103</v>
      </c>
      <c r="B9" s="179">
        <f>'Demande Format Medpro'!B9</f>
        <v>6.4882</v>
      </c>
      <c r="C9" s="179">
        <f>'Demande Format Medpro'!C9</f>
        <v>3.3111000000000002</v>
      </c>
      <c r="D9" s="179">
        <f>'Demande Format Medpro'!D9</f>
        <v>2.6368999999999998</v>
      </c>
      <c r="E9" s="179">
        <f>'Demande Format Medpro'!E9</f>
        <v>1.9693000000000001</v>
      </c>
      <c r="F9" s="179">
        <f>'Demande Format Medpro'!F9</f>
        <v>1.3056000000000001</v>
      </c>
      <c r="G9" s="179">
        <f>'Demande Format Medpro'!G9</f>
        <v>1.3048999999999999</v>
      </c>
      <c r="H9" s="179">
        <f>'Demande Format Medpro'!H9</f>
        <v>-4.3856219092764999E-2</v>
      </c>
      <c r="I9" s="179">
        <f>'Demande Format Medpro'!I9</f>
        <v>-4.4514122029814703E-2</v>
      </c>
      <c r="J9" s="179">
        <f>'Demande Format Medpro'!J9</f>
        <v>-5.6713445416275397E-2</v>
      </c>
      <c r="K9" s="179">
        <f>'Demande Format Medpro'!K9</f>
        <v>-7.8915122401445395E-2</v>
      </c>
      <c r="L9" s="179">
        <f>'Demande Format Medpro'!L9</f>
        <v>-2.68144275689108E-5</v>
      </c>
      <c r="M9" s="180"/>
    </row>
    <row r="10" spans="1:18">
      <c r="A10" s="178" t="s">
        <v>54</v>
      </c>
      <c r="B10" s="179">
        <f>'Demande Format Medpro'!B10</f>
        <v>11.950799999999999</v>
      </c>
      <c r="C10" s="179">
        <f>'Demande Format Medpro'!C10</f>
        <v>10.494899999999999</v>
      </c>
      <c r="D10" s="179">
        <f>'Demande Format Medpro'!D10</f>
        <v>11.5999</v>
      </c>
      <c r="E10" s="179">
        <f>'Demande Format Medpro'!E10</f>
        <v>12.073700000000001</v>
      </c>
      <c r="F10" s="179">
        <f>'Demande Format Medpro'!F10</f>
        <v>12.567299999999999</v>
      </c>
      <c r="G10" s="179">
        <f>'Demande Format Medpro'!G10</f>
        <v>14.305199999999999</v>
      </c>
      <c r="H10" s="179">
        <f>'Demande Format Medpro'!H10</f>
        <v>-8.6231916102810207E-3</v>
      </c>
      <c r="I10" s="179">
        <f>'Demande Format Medpro'!I10</f>
        <v>2.0223183282431102E-2</v>
      </c>
      <c r="J10" s="179">
        <f>'Demande Format Medpro'!J10</f>
        <v>8.0387498082372701E-3</v>
      </c>
      <c r="K10" s="179">
        <f>'Demande Format Medpro'!K10</f>
        <v>8.0459297318797897E-3</v>
      </c>
      <c r="L10" s="179">
        <f>'Demande Format Medpro'!L10</f>
        <v>6.4972614773459699E-3</v>
      </c>
      <c r="M10" s="180"/>
    </row>
    <row r="11" spans="1:18">
      <c r="A11" s="178" t="s">
        <v>42</v>
      </c>
      <c r="B11" s="179">
        <f>'Demande Format Medpro'!B11</f>
        <v>6.5015999999999998</v>
      </c>
      <c r="C11" s="179">
        <f>'Demande Format Medpro'!C11</f>
        <v>4.4408000000000003</v>
      </c>
      <c r="D11" s="179">
        <f>'Demande Format Medpro'!D11</f>
        <v>3.5754999999999999</v>
      </c>
      <c r="E11" s="179">
        <f>'Demande Format Medpro'!E11</f>
        <v>3.1808999999999998</v>
      </c>
      <c r="F11" s="179">
        <f>'Demande Format Medpro'!F11</f>
        <v>2.7844000000000002</v>
      </c>
      <c r="G11" s="179">
        <f>'Demande Format Medpro'!G11</f>
        <v>2.3864999999999998</v>
      </c>
      <c r="H11" s="179">
        <f>'Demande Format Medpro'!H11</f>
        <v>-2.5094027085230002E-2</v>
      </c>
      <c r="I11" s="179">
        <f>'Demande Format Medpro'!I11</f>
        <v>-4.2419896843558201E-2</v>
      </c>
      <c r="J11" s="179">
        <f>'Demande Format Medpro'!J11</f>
        <v>-2.3116786763208101E-2</v>
      </c>
      <c r="K11" s="179">
        <f>'Demande Format Medpro'!K11</f>
        <v>-2.6274997072359401E-2</v>
      </c>
      <c r="L11" s="179">
        <f>'Demande Format Medpro'!L11</f>
        <v>-7.68058008268968E-3</v>
      </c>
      <c r="M11" s="180"/>
    </row>
    <row r="12" spans="1:18">
      <c r="A12" s="178" t="s">
        <v>104</v>
      </c>
      <c r="B12" s="179">
        <f>'Demande Format Medpro'!B12</f>
        <v>11.392799999999999</v>
      </c>
      <c r="C12" s="179">
        <f>'Demande Format Medpro'!C12</f>
        <v>9.9553999999999991</v>
      </c>
      <c r="D12" s="179">
        <f>'Demande Format Medpro'!D12</f>
        <v>10.2475</v>
      </c>
      <c r="E12" s="179">
        <f>'Demande Format Medpro'!E12</f>
        <v>10.430999999999999</v>
      </c>
      <c r="F12" s="179">
        <f>'Demande Format Medpro'!F12</f>
        <v>10.629</v>
      </c>
      <c r="G12" s="179">
        <f>'Demande Format Medpro'!G12</f>
        <v>12.7157</v>
      </c>
      <c r="H12" s="179">
        <f>'Demande Format Medpro'!H12</f>
        <v>-8.95079824608736E-3</v>
      </c>
      <c r="I12" s="179">
        <f>'Demande Format Medpro'!I12</f>
        <v>5.8004892403744597E-3</v>
      </c>
      <c r="J12" s="179">
        <f>'Demande Format Medpro'!J12</f>
        <v>3.5559812120831099E-3</v>
      </c>
      <c r="K12" s="179">
        <f>'Demande Format Medpro'!K12</f>
        <v>3.7678752329486399E-3</v>
      </c>
      <c r="L12" s="179">
        <f>'Demande Format Medpro'!L12</f>
        <v>9.0028508560735503E-3</v>
      </c>
      <c r="M12" s="180"/>
    </row>
    <row r="13" spans="1:18">
      <c r="A13" s="178" t="s">
        <v>105</v>
      </c>
      <c r="B13" s="179">
        <f>'Demande Format Medpro'!B13</f>
        <v>1.0062</v>
      </c>
      <c r="C13" s="179">
        <f>'Demande Format Medpro'!C13</f>
        <v>1.8103</v>
      </c>
      <c r="D13" s="179">
        <f>'Demande Format Medpro'!D13</f>
        <v>1.4061999999999999</v>
      </c>
      <c r="E13" s="179">
        <f>'Demande Format Medpro'!E13</f>
        <v>1.4024000000000001</v>
      </c>
      <c r="F13" s="179">
        <f>'Demande Format Medpro'!F13</f>
        <v>1.397</v>
      </c>
      <c r="G13" s="179">
        <f>'Demande Format Medpro'!G13</f>
        <v>1.4796</v>
      </c>
      <c r="H13" s="179">
        <f>'Demande Format Medpro'!H13</f>
        <v>3.99307397641082E-2</v>
      </c>
      <c r="I13" s="179">
        <f>'Demande Format Medpro'!I13</f>
        <v>-4.9265380300576603E-2</v>
      </c>
      <c r="J13" s="179">
        <f>'Demande Format Medpro'!J13</f>
        <v>-5.4104881188299402E-4</v>
      </c>
      <c r="K13" s="179">
        <f>'Demande Format Medpro'!K13</f>
        <v>-7.7129726723867997E-4</v>
      </c>
      <c r="L13" s="179">
        <f>'Demande Format Medpro'!L13</f>
        <v>2.8763638541484701E-3</v>
      </c>
      <c r="M13" s="180"/>
      <c r="O13" s="180"/>
      <c r="P13" s="180"/>
      <c r="Q13" s="180"/>
      <c r="R13" s="180"/>
    </row>
    <row r="14" spans="1:18">
      <c r="A14" s="178" t="s">
        <v>106</v>
      </c>
      <c r="B14" s="179">
        <f>'Demande Format Medpro'!B14</f>
        <v>1.5759000000000001</v>
      </c>
      <c r="C14" s="179">
        <f>'Demande Format Medpro'!C14</f>
        <v>1.8351</v>
      </c>
      <c r="D14" s="179">
        <f>'Demande Format Medpro'!D14</f>
        <v>2.5373999999999999</v>
      </c>
      <c r="E14" s="179">
        <f>'Demande Format Medpro'!E14</f>
        <v>3.0972</v>
      </c>
      <c r="F14" s="179">
        <f>'Demande Format Medpro'!F14</f>
        <v>3.6291000000000002</v>
      </c>
      <c r="G14" s="179">
        <f>'Demande Format Medpro'!G14</f>
        <v>4.2359999999999998</v>
      </c>
      <c r="H14" s="179">
        <f>'Demande Format Medpro'!H14</f>
        <v>1.02031971204586E-2</v>
      </c>
      <c r="I14" s="179">
        <f>'Demande Format Medpro'!I14</f>
        <v>6.6954354117112702E-2</v>
      </c>
      <c r="J14" s="179">
        <f>'Demande Format Medpro'!J14</f>
        <v>4.0677255645489498E-2</v>
      </c>
      <c r="K14" s="179">
        <f>'Demande Format Medpro'!K14</f>
        <v>3.2204948886277902E-2</v>
      </c>
      <c r="L14" s="179">
        <f>'Demande Format Medpro'!L14</f>
        <v>7.7617042671653796E-3</v>
      </c>
      <c r="M14" s="180"/>
    </row>
    <row r="15" spans="1:18">
      <c r="A15" s="178"/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O15" s="180"/>
      <c r="P15" s="180"/>
      <c r="Q15" s="180"/>
    </row>
    <row r="16" spans="1:18" ht="15" thickBot="1">
      <c r="A16" s="181" t="s">
        <v>10</v>
      </c>
      <c r="B16" s="198">
        <f>'Demande Format Medpro'!B16</f>
        <v>38.915500000000002</v>
      </c>
      <c r="C16" s="203">
        <f>'Demande Format Medpro'!C16</f>
        <v>31.8477</v>
      </c>
      <c r="D16" s="203">
        <f>'Demande Format Medpro'!D16</f>
        <v>32.003300000000003</v>
      </c>
      <c r="E16" s="203">
        <f>'Demande Format Medpro'!E16</f>
        <v>32.154499999999999</v>
      </c>
      <c r="F16" s="203">
        <f>'Demande Format Medpro'!F16</f>
        <v>32.312199999999997</v>
      </c>
      <c r="G16" s="203">
        <f>'Demande Format Medpro'!G16</f>
        <v>36.428100000000001</v>
      </c>
      <c r="H16" s="203">
        <f>'Demande Format Medpro'!H16</f>
        <v>-1.32729578759672E-2</v>
      </c>
      <c r="I16" s="203">
        <f>'Demande Format Medpro'!I16</f>
        <v>9.75246558531762E-4</v>
      </c>
      <c r="J16" s="203">
        <f>'Demande Format Medpro'!J16</f>
        <v>9.4312192044454502E-4</v>
      </c>
      <c r="K16" s="203">
        <f>'Demande Format Medpro'!K16</f>
        <v>9.789705007394729E-4</v>
      </c>
      <c r="L16" s="203">
        <f>'Demande Format Medpro'!L16</f>
        <v>6.0127839972017299E-3</v>
      </c>
    </row>
    <row r="17" spans="1:19">
      <c r="A17" s="183"/>
      <c r="D17" s="184"/>
      <c r="E17" s="184"/>
      <c r="F17" s="184"/>
      <c r="G17" s="184"/>
    </row>
    <row r="18" spans="1:19">
      <c r="F18" s="169"/>
    </row>
    <row r="19" spans="1:19" ht="16" thickBot="1">
      <c r="A19" s="90" t="s">
        <v>107</v>
      </c>
      <c r="B19" s="81"/>
      <c r="C19" s="81"/>
      <c r="D19" s="81"/>
      <c r="E19" s="81"/>
      <c r="F19" s="81"/>
      <c r="G19" s="80"/>
      <c r="H19" s="80"/>
      <c r="I19" s="80"/>
      <c r="J19" s="80"/>
      <c r="K19" s="80"/>
      <c r="L19" s="80"/>
    </row>
    <row r="20" spans="1:19" ht="15" thickBot="1">
      <c r="A20" s="176" t="s">
        <v>51</v>
      </c>
      <c r="B20" s="569">
        <v>2000</v>
      </c>
      <c r="C20" s="569">
        <v>2015</v>
      </c>
      <c r="D20" s="177">
        <v>2020</v>
      </c>
      <c r="E20" s="177">
        <v>2025</v>
      </c>
      <c r="F20" s="177">
        <v>2030</v>
      </c>
      <c r="G20" s="177">
        <v>2050</v>
      </c>
      <c r="H20" s="572" t="s">
        <v>98</v>
      </c>
      <c r="I20" s="573" t="s">
        <v>99</v>
      </c>
      <c r="J20" s="573" t="s">
        <v>100</v>
      </c>
      <c r="K20" s="573" t="s">
        <v>101</v>
      </c>
      <c r="L20" s="574" t="s">
        <v>102</v>
      </c>
    </row>
    <row r="21" spans="1:19">
      <c r="A21" s="227" t="s">
        <v>108</v>
      </c>
      <c r="B21" s="188">
        <f>'Demande Format Medpro'!B21</f>
        <v>12.8356442885731</v>
      </c>
      <c r="C21" s="189">
        <f>'Demande Format Medpro'!C21</f>
        <v>12.448173508076</v>
      </c>
      <c r="D21" s="189">
        <f>'Demande Format Medpro'!D21</f>
        <v>13.005694811337801</v>
      </c>
      <c r="E21" s="189">
        <f>'Demande Format Medpro'!E21</f>
        <v>13.4270982361849</v>
      </c>
      <c r="F21" s="189">
        <f>'Demande Format Medpro'!F21</f>
        <v>13.913274339353899</v>
      </c>
      <c r="G21" s="189">
        <f>'Demande Format Medpro'!G21</f>
        <v>16.6156285805185</v>
      </c>
      <c r="H21" s="189">
        <f>'Demande Format Medpro'!H21</f>
        <v>-2.0413871877454901E-3</v>
      </c>
      <c r="I21" s="189">
        <f>'Demande Format Medpro'!I21</f>
        <v>8.8011882941165798E-3</v>
      </c>
      <c r="J21" s="189">
        <f>'Demande Format Medpro'!J21</f>
        <v>6.3978991642414896E-3</v>
      </c>
      <c r="K21" s="189">
        <f>'Demande Format Medpro'!K21</f>
        <v>7.1390526967343203E-3</v>
      </c>
      <c r="L21" s="189">
        <f>'Demande Format Medpro'!L21</f>
        <v>8.9145177562362007E-3</v>
      </c>
      <c r="R21" s="190"/>
      <c r="S21" s="191"/>
    </row>
    <row r="22" spans="1:19">
      <c r="A22" s="227" t="s">
        <v>54</v>
      </c>
      <c r="B22" s="192">
        <f>'Demande Format Medpro'!B22</f>
        <v>1.62869795676853</v>
      </c>
      <c r="C22" s="193">
        <f>'Demande Format Medpro'!C22</f>
        <v>1.1015166939407</v>
      </c>
      <c r="D22" s="193">
        <f>'Demande Format Medpro'!D22</f>
        <v>1.10724474305145</v>
      </c>
      <c r="E22" s="193">
        <f>'Demande Format Medpro'!E22</f>
        <v>1.11157429870939</v>
      </c>
      <c r="F22" s="193">
        <f>'Demande Format Medpro'!F22</f>
        <v>1.11656933760591</v>
      </c>
      <c r="G22" s="193">
        <f>'Demande Format Medpro'!G22</f>
        <v>1.14433368977949</v>
      </c>
      <c r="H22" s="193">
        <f>'Demande Format Medpro'!H22</f>
        <v>-2.57358948260114E-2</v>
      </c>
      <c r="I22" s="193">
        <f>'Demande Format Medpro'!I22</f>
        <v>1.0378728715621001E-3</v>
      </c>
      <c r="J22" s="193">
        <f>'Demande Format Medpro'!J22</f>
        <v>7.8082099669196702E-4</v>
      </c>
      <c r="K22" s="193">
        <f>'Demande Format Medpro'!K22</f>
        <v>8.9712125008523103E-4</v>
      </c>
      <c r="L22" s="193">
        <f>'Demande Format Medpro'!L22</f>
        <v>1.2288366156623101E-3</v>
      </c>
    </row>
    <row r="23" spans="1:19">
      <c r="A23" s="227" t="s">
        <v>42</v>
      </c>
      <c r="B23" s="192">
        <f>'Demande Format Medpro'!B23</f>
        <v>0.15113499999999999</v>
      </c>
      <c r="C23" s="193">
        <f>'Demande Format Medpro'!C23</f>
        <v>0.30480979798330099</v>
      </c>
      <c r="D23" s="193">
        <f>'Demande Format Medpro'!D23</f>
        <v>0.32686044561077698</v>
      </c>
      <c r="E23" s="193">
        <f>'Demande Format Medpro'!E23</f>
        <v>0.34352746510573001</v>
      </c>
      <c r="F23" s="193">
        <f>'Demande Format Medpro'!F23</f>
        <v>0.36275632304023198</v>
      </c>
      <c r="G23" s="193">
        <f>'Demande Format Medpro'!G23</f>
        <v>0.46963772970203199</v>
      </c>
      <c r="H23" s="193">
        <f>'Demande Format Medpro'!H23</f>
        <v>0</v>
      </c>
      <c r="I23" s="193">
        <f>'Demande Format Medpro'!I23</f>
        <v>0</v>
      </c>
      <c r="J23" s="193">
        <f>'Demande Format Medpro'!J23</f>
        <v>0</v>
      </c>
      <c r="K23" s="193">
        <f>'Demande Format Medpro'!K23</f>
        <v>0</v>
      </c>
      <c r="L23" s="193">
        <f>'Demande Format Medpro'!L23</f>
        <v>0</v>
      </c>
    </row>
    <row r="24" spans="1:19">
      <c r="A24" s="227" t="s">
        <v>109</v>
      </c>
      <c r="B24" s="192"/>
      <c r="C24" s="193"/>
      <c r="D24" s="193">
        <v>0</v>
      </c>
      <c r="E24" s="193">
        <v>0.42992261392949233</v>
      </c>
      <c r="F24" s="193">
        <v>1.2897678417884793</v>
      </c>
      <c r="G24" s="194">
        <v>1.7196904557179702</v>
      </c>
      <c r="H24" s="196"/>
      <c r="I24" s="196"/>
      <c r="J24" s="196"/>
      <c r="K24" s="196"/>
      <c r="L24" s="197"/>
    </row>
    <row r="25" spans="1:19">
      <c r="A25" s="227"/>
      <c r="B25" s="192"/>
      <c r="C25" s="193"/>
      <c r="D25" s="193"/>
      <c r="E25" s="193"/>
      <c r="F25" s="193"/>
      <c r="G25" s="194"/>
      <c r="H25" s="196"/>
      <c r="I25" s="196"/>
      <c r="J25" s="196"/>
      <c r="K25" s="196"/>
      <c r="L25" s="197"/>
    </row>
    <row r="26" spans="1:19" ht="15" thickBot="1">
      <c r="A26" s="571" t="s">
        <v>10</v>
      </c>
      <c r="B26" s="575">
        <f>SUM(B21:B25)</f>
        <v>14.61547724534163</v>
      </c>
      <c r="C26" s="182">
        <f t="shared" ref="C26" si="0">SUM(C21:C25)</f>
        <v>13.854500000000002</v>
      </c>
      <c r="D26" s="182">
        <f>SUM(D21:D24)</f>
        <v>14.439800000000027</v>
      </c>
      <c r="E26" s="182">
        <f t="shared" ref="E26:L26" si="1">SUM(E21:E24)</f>
        <v>15.312122613929512</v>
      </c>
      <c r="F26" s="182">
        <f t="shared" si="1"/>
        <v>16.682367841788519</v>
      </c>
      <c r="G26" s="182">
        <f t="shared" si="1"/>
        <v>19.949290455717993</v>
      </c>
      <c r="H26" s="182">
        <f t="shared" si="1"/>
        <v>-2.7777282013756892E-2</v>
      </c>
      <c r="I26" s="182">
        <f t="shared" si="1"/>
        <v>9.8390611656786805E-3</v>
      </c>
      <c r="J26" s="182">
        <f t="shared" si="1"/>
        <v>7.1787201609334571E-3</v>
      </c>
      <c r="K26" s="182">
        <f t="shared" si="1"/>
        <v>8.0361739468195505E-3</v>
      </c>
      <c r="L26" s="182">
        <f t="shared" si="1"/>
        <v>1.0143354371898511E-2</v>
      </c>
      <c r="S26" s="191"/>
    </row>
    <row r="27" spans="1:19">
      <c r="A27" s="183"/>
      <c r="F27" s="169"/>
    </row>
    <row r="28" spans="1:19">
      <c r="A28" s="183"/>
      <c r="F28" s="169"/>
    </row>
    <row r="29" spans="1:19" ht="16" thickBot="1">
      <c r="A29" s="90" t="s">
        <v>110</v>
      </c>
      <c r="B29" s="81"/>
      <c r="C29" s="81"/>
      <c r="D29" s="81"/>
      <c r="E29" s="81"/>
      <c r="F29" s="81"/>
      <c r="G29" s="80"/>
      <c r="H29" s="80"/>
      <c r="I29" s="80"/>
      <c r="J29" s="80"/>
      <c r="K29" s="80"/>
      <c r="L29" s="80"/>
      <c r="R29" s="191"/>
      <c r="S29" s="191"/>
    </row>
    <row r="30" spans="1:19" ht="15" thickBot="1">
      <c r="A30" s="176" t="s">
        <v>51</v>
      </c>
      <c r="B30" s="177">
        <v>2000</v>
      </c>
      <c r="C30" s="177">
        <v>2015</v>
      </c>
      <c r="D30" s="177">
        <v>2020</v>
      </c>
      <c r="E30" s="177">
        <v>2025</v>
      </c>
      <c r="F30" s="177">
        <v>2030</v>
      </c>
      <c r="G30" s="177">
        <v>2050</v>
      </c>
      <c r="H30" s="572" t="s">
        <v>98</v>
      </c>
      <c r="I30" s="573" t="s">
        <v>99</v>
      </c>
      <c r="J30" s="573" t="s">
        <v>100</v>
      </c>
      <c r="K30" s="573" t="s">
        <v>101</v>
      </c>
      <c r="L30" s="574" t="s">
        <v>102</v>
      </c>
    </row>
    <row r="31" spans="1:19">
      <c r="A31" s="199" t="s">
        <v>111</v>
      </c>
      <c r="B31" s="200">
        <f>'Demande Format Medpro'!B29</f>
        <v>8.0395000000000003</v>
      </c>
      <c r="C31" s="200">
        <f>'Demande Format Medpro'!C29</f>
        <v>5.1847000000000003</v>
      </c>
      <c r="D31" s="200">
        <f>'Demande Format Medpro'!D29</f>
        <v>5.0029000000000003</v>
      </c>
      <c r="E31" s="200">
        <f>'Demande Format Medpro'!E29</f>
        <v>4.8792999999999997</v>
      </c>
      <c r="F31" s="200">
        <f>'Demande Format Medpro'!F29</f>
        <v>4.7746000000000004</v>
      </c>
      <c r="G31" s="200">
        <f>'Demande Format Medpro'!G29</f>
        <v>4.2873000000000001</v>
      </c>
      <c r="H31" s="200">
        <f>'Demande Format Medpro'!H29</f>
        <v>-2.8820202773232301E-2</v>
      </c>
      <c r="I31" s="200">
        <f>'Demande Format Medpro'!I29</f>
        <v>-7.1134262577403603E-3</v>
      </c>
      <c r="J31" s="200">
        <f>'Demande Format Medpro'!J29</f>
        <v>-4.9907003339448898E-3</v>
      </c>
      <c r="K31" s="200">
        <f>'Demande Format Medpro'!K29</f>
        <v>-4.3289163455219101E-3</v>
      </c>
      <c r="L31" s="200">
        <f>'Demande Format Medpro'!L29</f>
        <v>-5.3681913174004102E-3</v>
      </c>
      <c r="N31" s="201"/>
      <c r="O31" s="201"/>
      <c r="P31" s="201"/>
      <c r="Q31" s="201"/>
      <c r="R31" s="201"/>
      <c r="S31" s="201"/>
    </row>
    <row r="32" spans="1:19">
      <c r="A32" s="202" t="s">
        <v>112</v>
      </c>
      <c r="B32" s="200">
        <f>'Demande Format Medpro'!B30</f>
        <v>6.7333081685296703</v>
      </c>
      <c r="C32" s="200">
        <f>'Demande Format Medpro'!C30</f>
        <v>4.3241676698194302</v>
      </c>
      <c r="D32" s="200">
        <f>'Demande Format Medpro'!D30</f>
        <v>4.12923766122098</v>
      </c>
      <c r="E32" s="200">
        <f>'Demande Format Medpro'!E30</f>
        <v>4.0052162510748097</v>
      </c>
      <c r="F32" s="200">
        <f>'Demande Format Medpro'!F30</f>
        <v>3.8777862424763501</v>
      </c>
      <c r="G32" s="200">
        <f>'Demande Format Medpro'!G30</f>
        <v>3.36553766122098</v>
      </c>
      <c r="H32" s="200">
        <f>'Demande Format Medpro'!H30</f>
        <v>-2.9091576675537301E-2</v>
      </c>
      <c r="I32" s="200">
        <f>'Demande Format Medpro'!I30</f>
        <v>-9.1829510527656807E-3</v>
      </c>
      <c r="J32" s="200">
        <f>'Demande Format Medpro'!J30</f>
        <v>-6.0804845612360001E-3</v>
      </c>
      <c r="K32" s="200">
        <f>'Demande Format Medpro'!K30</f>
        <v>-6.4457642771538204E-3</v>
      </c>
      <c r="L32" s="200">
        <f>'Demande Format Medpro'!L30</f>
        <v>-7.0588039779074796E-3</v>
      </c>
      <c r="N32" s="201"/>
      <c r="O32" s="201"/>
      <c r="P32" s="201"/>
      <c r="Q32" s="201"/>
      <c r="R32" s="201"/>
      <c r="S32" s="201"/>
    </row>
    <row r="33" spans="1:19">
      <c r="A33" s="202" t="s">
        <v>113</v>
      </c>
      <c r="B33" s="200">
        <f>'Demande Format Medpro'!B31</f>
        <v>0.77559888220120399</v>
      </c>
      <c r="C33" s="200">
        <f>'Demande Format Medpro'!C31</f>
        <v>0.54067386070507295</v>
      </c>
      <c r="D33" s="200">
        <f>'Demande Format Medpro'!D31</f>
        <v>0.52756122098022395</v>
      </c>
      <c r="E33" s="200">
        <f>'Demande Format Medpro'!E31</f>
        <v>0.50129294926913204</v>
      </c>
      <c r="F33" s="200">
        <f>'Demande Format Medpro'!F31</f>
        <v>0.50129294926913204</v>
      </c>
      <c r="G33" s="200">
        <f>'Demande Format Medpro'!G31</f>
        <v>0.41472622527945002</v>
      </c>
      <c r="H33" s="200">
        <f>'Demande Format Medpro'!H31</f>
        <v>-2.3767608980079E-2</v>
      </c>
      <c r="I33" s="200">
        <f>'Demande Format Medpro'!I31</f>
        <v>-4.8982312347996002E-3</v>
      </c>
      <c r="J33" s="200">
        <f>'Demande Format Medpro'!J31</f>
        <v>-1.01628572059761E-2</v>
      </c>
      <c r="K33" s="200">
        <f>'Demande Format Medpro'!K31</f>
        <v>0</v>
      </c>
      <c r="L33" s="200">
        <f>'Demande Format Medpro'!L31</f>
        <v>-9.4338223850389796E-3</v>
      </c>
      <c r="N33" s="201"/>
      <c r="O33" s="201"/>
      <c r="P33" s="201"/>
      <c r="Q33" s="201"/>
      <c r="R33" s="201"/>
      <c r="S33" s="201"/>
    </row>
    <row r="34" spans="1:19">
      <c r="A34" s="199" t="s">
        <v>114</v>
      </c>
      <c r="B34" s="200">
        <f>'Demande Format Medpro'!B32</f>
        <v>10.4049</v>
      </c>
      <c r="C34" s="200">
        <f>'Demande Format Medpro'!C32</f>
        <v>8.6717999999999993</v>
      </c>
      <c r="D34" s="200">
        <f>'Demande Format Medpro'!D32</f>
        <v>8.8864999999999998</v>
      </c>
      <c r="E34" s="200">
        <f>'Demande Format Medpro'!E32</f>
        <v>8.9934999999999992</v>
      </c>
      <c r="F34" s="200">
        <f>'Demande Format Medpro'!F32</f>
        <v>9.0847999999999995</v>
      </c>
      <c r="G34" s="200">
        <f>'Demande Format Medpro'!G32</f>
        <v>10.4232</v>
      </c>
      <c r="H34" s="200">
        <f>'Demande Format Medpro'!H32</f>
        <v>-1.2073224475376201E-2</v>
      </c>
      <c r="I34" s="200">
        <f>'Demande Format Medpro'!I32</f>
        <v>4.9033602210513099E-3</v>
      </c>
      <c r="J34" s="200">
        <f>'Demande Format Medpro'!J32</f>
        <v>2.3966319355179801E-3</v>
      </c>
      <c r="K34" s="200">
        <f>'Demande Format Medpro'!K32</f>
        <v>2.0221604364199001E-3</v>
      </c>
      <c r="L34" s="200">
        <f>'Demande Format Medpro'!L32</f>
        <v>6.8952335894163497E-3</v>
      </c>
      <c r="N34" s="201"/>
      <c r="O34" s="201"/>
      <c r="P34" s="201"/>
      <c r="Q34" s="201"/>
      <c r="R34" s="201"/>
      <c r="S34" s="201"/>
    </row>
    <row r="35" spans="1:19">
      <c r="A35" s="202" t="s">
        <v>115</v>
      </c>
      <c r="B35" s="200">
        <f>'Demande Format Medpro'!B33</f>
        <v>0.68307506448839195</v>
      </c>
      <c r="C35" s="200">
        <f>'Demande Format Medpro'!C33</f>
        <v>0.48066870163370601</v>
      </c>
      <c r="D35" s="200">
        <f>'Demande Format Medpro'!D33</f>
        <v>0.46725477214101502</v>
      </c>
      <c r="E35" s="200">
        <f>'Demande Format Medpro'!E33</f>
        <v>0.45394084264832302</v>
      </c>
      <c r="F35" s="200">
        <f>'Demande Format Medpro'!F33</f>
        <v>0.440618314703353</v>
      </c>
      <c r="G35" s="200">
        <f>'Demande Format Medpro'!G33</f>
        <v>0.42950438521066198</v>
      </c>
      <c r="H35" s="200">
        <f>'Demande Format Medpro'!H33</f>
        <v>-2.3156118034364199E-2</v>
      </c>
      <c r="I35" s="200">
        <f>'Demande Format Medpro'!I33</f>
        <v>-5.6447289637038302E-3</v>
      </c>
      <c r="J35" s="200">
        <f>'Demande Format Medpro'!J33</f>
        <v>-5.7648734804401896E-3</v>
      </c>
      <c r="K35" s="200">
        <f>'Demande Format Medpro'!K33</f>
        <v>-5.9398659999631001E-3</v>
      </c>
      <c r="L35" s="200">
        <f>'Demande Format Medpro'!L33</f>
        <v>-1.2765370194788299E-3</v>
      </c>
      <c r="N35" s="201"/>
      <c r="O35" s="201"/>
      <c r="P35" s="201"/>
      <c r="Q35" s="201"/>
      <c r="R35" s="201"/>
      <c r="S35" s="201"/>
    </row>
    <row r="36" spans="1:19">
      <c r="A36" s="202" t="s">
        <v>116</v>
      </c>
      <c r="B36" s="200">
        <f>'Demande Format Medpro'!B34</f>
        <v>5.1073606190885599</v>
      </c>
      <c r="C36" s="200">
        <f>'Demande Format Medpro'!C34</f>
        <v>4.2139189165950102</v>
      </c>
      <c r="D36" s="200">
        <f>'Demande Format Medpro'!D34</f>
        <v>4.1711650042992297</v>
      </c>
      <c r="E36" s="200">
        <f>'Demande Format Medpro'!E34</f>
        <v>4.1288110920034402</v>
      </c>
      <c r="F36" s="200">
        <f>'Demande Format Medpro'!F34</f>
        <v>4.0862173688735997</v>
      </c>
      <c r="G36" s="200">
        <f>'Demande Format Medpro'!G34</f>
        <v>4.04346345657782</v>
      </c>
      <c r="H36" s="200">
        <f>'Demande Format Medpro'!H34</f>
        <v>-1.27374948782196E-2</v>
      </c>
      <c r="I36" s="200">
        <f>'Demande Format Medpro'!I34</f>
        <v>-2.0374614398909201E-3</v>
      </c>
      <c r="J36" s="200">
        <f>'Demande Format Medpro'!J34</f>
        <v>-2.03909421242632E-3</v>
      </c>
      <c r="K36" s="200">
        <f>'Demande Format Medpro'!K34</f>
        <v>-2.0718110130689702E-3</v>
      </c>
      <c r="L36" s="200">
        <f>'Demande Format Medpro'!L34</f>
        <v>-5.2576561135531097E-4</v>
      </c>
      <c r="N36" s="201"/>
      <c r="O36" s="201"/>
      <c r="P36" s="201"/>
      <c r="Q36" s="201"/>
      <c r="R36" s="201"/>
      <c r="S36" s="201"/>
    </row>
    <row r="37" spans="1:19">
      <c r="A37" s="202" t="s">
        <v>117</v>
      </c>
      <c r="B37" s="200">
        <f>'Demande Format Medpro'!B35</f>
        <v>0.54880481513327595</v>
      </c>
      <c r="C37" s="200">
        <f>'Demande Format Medpro'!C35</f>
        <v>0.34386070507308703</v>
      </c>
      <c r="D37" s="200">
        <f>'Demande Format Medpro'!D35</f>
        <v>0.34038693035253598</v>
      </c>
      <c r="E37" s="200">
        <f>'Demande Format Medpro'!E35</f>
        <v>0.33691315563198598</v>
      </c>
      <c r="F37" s="200">
        <f>'Demande Format Medpro'!F35</f>
        <v>0.33343938091143599</v>
      </c>
      <c r="G37" s="200">
        <f>'Demande Format Medpro'!G35</f>
        <v>0.329965606190886</v>
      </c>
      <c r="H37" s="200">
        <f>'Demande Format Medpro'!H35</f>
        <v>-3.0686393504073099E-2</v>
      </c>
      <c r="I37" s="200">
        <f>'Demande Format Medpro'!I35</f>
        <v>-2.02866891639664E-3</v>
      </c>
      <c r="J37" s="200">
        <f>'Demande Format Medpro'!J35</f>
        <v>-2.0494574426596101E-3</v>
      </c>
      <c r="K37" s="200">
        <f>'Demande Format Medpro'!K35</f>
        <v>-2.0706764393267898E-3</v>
      </c>
      <c r="L37" s="200">
        <f>'Demande Format Medpro'!L35</f>
        <v>-5.2349578258237305E-4</v>
      </c>
      <c r="N37" s="201"/>
      <c r="O37" s="201"/>
      <c r="P37" s="201"/>
      <c r="Q37" s="201"/>
      <c r="R37" s="201"/>
      <c r="S37" s="201"/>
    </row>
    <row r="38" spans="1:19">
      <c r="A38" s="199" t="s">
        <v>118</v>
      </c>
      <c r="B38" s="200">
        <f>'Demande Format Medpro'!B36</f>
        <v>4.5197000000000003</v>
      </c>
      <c r="C38" s="200">
        <f>'Demande Format Medpro'!C36</f>
        <v>3.4478</v>
      </c>
      <c r="D38" s="200">
        <f>'Demande Format Medpro'!D36</f>
        <v>3.5855000000000001</v>
      </c>
      <c r="E38" s="200">
        <f>'Demande Format Medpro'!E36</f>
        <v>3.6153</v>
      </c>
      <c r="F38" s="200">
        <f>'Demande Format Medpro'!F36</f>
        <v>3.7075999999999998</v>
      </c>
      <c r="G38" s="200">
        <f>'Demande Format Medpro'!G36</f>
        <v>4.0397999999999996</v>
      </c>
      <c r="H38" s="200">
        <f>'Demande Format Medpro'!H36</f>
        <v>-1.78854079287021E-2</v>
      </c>
      <c r="I38" s="200">
        <f>'Demande Format Medpro'!I36</f>
        <v>7.8630704078541704E-3</v>
      </c>
      <c r="J38" s="200">
        <f>'Demande Format Medpro'!J36</f>
        <v>1.6567519753676299E-3</v>
      </c>
      <c r="K38" s="200">
        <f>'Demande Format Medpro'!K36</f>
        <v>5.0547176582593804E-3</v>
      </c>
      <c r="L38" s="200">
        <f>'Demande Format Medpro'!L36</f>
        <v>4.2997384017018402E-3</v>
      </c>
      <c r="N38" s="201"/>
      <c r="O38" s="201"/>
      <c r="P38" s="201"/>
      <c r="Q38" s="201"/>
      <c r="R38" s="201"/>
      <c r="S38" s="201"/>
    </row>
    <row r="39" spans="1:19">
      <c r="A39" s="202" t="s">
        <v>119</v>
      </c>
      <c r="B39" s="200">
        <f>'Demande Format Medpro'!B37</f>
        <v>1.7363669819432499</v>
      </c>
      <c r="C39" s="200">
        <f>'Demande Format Medpro'!C37</f>
        <v>1.4016233018056701</v>
      </c>
      <c r="D39" s="200">
        <f>'Demande Format Medpro'!D37</f>
        <v>1.50207893379192</v>
      </c>
      <c r="E39" s="200">
        <f>'Demande Format Medpro'!E37</f>
        <v>1.4892156491831501</v>
      </c>
      <c r="F39" s="200">
        <f>'Demande Format Medpro'!F37</f>
        <v>1.4891156491831501</v>
      </c>
      <c r="G39" s="200">
        <f>'Demande Format Medpro'!G37</f>
        <v>1.3828008598452299</v>
      </c>
      <c r="H39" s="200">
        <f>'Demande Format Medpro'!H37</f>
        <v>-1.41761533511731E-2</v>
      </c>
      <c r="I39" s="200">
        <f>'Demande Format Medpro'!I37</f>
        <v>1.3940076878419E-2</v>
      </c>
      <c r="J39" s="200">
        <f>'Demande Format Medpro'!J37</f>
        <v>-1.71862806616696E-3</v>
      </c>
      <c r="K39" s="200">
        <f>'Demande Format Medpro'!K37</f>
        <v>-1.34302491571203E-5</v>
      </c>
      <c r="L39" s="200">
        <f>'Demande Format Medpro'!L37</f>
        <v>-3.6967186908993801E-3</v>
      </c>
      <c r="N39" s="201"/>
      <c r="O39" s="201"/>
      <c r="P39" s="201"/>
      <c r="Q39" s="201"/>
      <c r="R39" s="201"/>
      <c r="S39" s="201"/>
    </row>
    <row r="40" spans="1:19">
      <c r="A40" s="202" t="s">
        <v>120</v>
      </c>
      <c r="B40" s="200">
        <f>'Demande Format Medpro'!B38</f>
        <v>1.4736458297506501</v>
      </c>
      <c r="C40" s="200">
        <f>'Demande Format Medpro'!C38</f>
        <v>1.2876062768701599</v>
      </c>
      <c r="D40" s="200">
        <f>'Demande Format Medpro'!D38</f>
        <v>1.25890627687016</v>
      </c>
      <c r="E40" s="200">
        <f>'Demande Format Medpro'!E38</f>
        <v>1.2016062768701601</v>
      </c>
      <c r="F40" s="200">
        <f>'Demande Format Medpro'!F38</f>
        <v>1.2016062768701601</v>
      </c>
      <c r="G40" s="200">
        <f>'Demande Format Medpro'!G38</f>
        <v>1.04906921754084</v>
      </c>
      <c r="H40" s="200">
        <f>'Demande Format Medpro'!H38</f>
        <v>-8.9566210976280702E-3</v>
      </c>
      <c r="I40" s="200">
        <f>'Demande Format Medpro'!I38</f>
        <v>-4.4981698966123397E-3</v>
      </c>
      <c r="J40" s="200">
        <f>'Demande Format Medpro'!J38</f>
        <v>-9.2735497369074195E-3</v>
      </c>
      <c r="K40" s="200">
        <f>'Demande Format Medpro'!K38</f>
        <v>0</v>
      </c>
      <c r="L40" s="200">
        <f>'Demande Format Medpro'!L38</f>
        <v>-6.7648106613980002E-3</v>
      </c>
      <c r="N40" s="201"/>
      <c r="O40" s="201"/>
      <c r="P40" s="201"/>
      <c r="Q40" s="201"/>
      <c r="R40" s="201"/>
      <c r="S40" s="201"/>
    </row>
    <row r="41" spans="1:19">
      <c r="A41" s="199" t="s">
        <v>121</v>
      </c>
      <c r="B41" s="200">
        <f>'Demande Format Medpro'!B39</f>
        <v>5.1496000000000004</v>
      </c>
      <c r="C41" s="200">
        <f>'Demande Format Medpro'!C39</f>
        <v>5.8753000000000002</v>
      </c>
      <c r="D41" s="200">
        <f>'Demande Format Medpro'!D39</f>
        <v>5.9512999999999998</v>
      </c>
      <c r="E41" s="200">
        <f>'Demande Format Medpro'!E39</f>
        <v>5.9692999999999996</v>
      </c>
      <c r="F41" s="200">
        <f>'Demande Format Medpro'!F39</f>
        <v>5.9718</v>
      </c>
      <c r="G41" s="200">
        <f>'Demande Format Medpro'!G39</f>
        <v>7.1319999999999997</v>
      </c>
      <c r="H41" s="200">
        <f>'Demande Format Medpro'!H39</f>
        <v>8.8279438626317503E-3</v>
      </c>
      <c r="I41" s="200">
        <f>'Demande Format Medpro'!I39</f>
        <v>2.5738187051156402E-3</v>
      </c>
      <c r="J41" s="200">
        <f>'Demande Format Medpro'!J39</f>
        <v>6.0417934504353198E-4</v>
      </c>
      <c r="K41" s="200">
        <f>'Demande Format Medpro'!K39</f>
        <v>8.3747886540530599E-5</v>
      </c>
      <c r="L41" s="200">
        <f>'Demande Format Medpro'!L39</f>
        <v>8.9166844110339892E-3</v>
      </c>
      <c r="N41" s="201"/>
      <c r="O41" s="201"/>
      <c r="P41" s="201"/>
      <c r="Q41" s="201"/>
      <c r="R41" s="201"/>
      <c r="S41" s="201"/>
    </row>
    <row r="42" spans="1:19">
      <c r="A42" s="202" t="s">
        <v>122</v>
      </c>
      <c r="B42" s="200">
        <f>'Demande Format Medpro'!B40</f>
        <v>0.89188495270851198</v>
      </c>
      <c r="C42" s="200">
        <f>'Demande Format Medpro'!C40</f>
        <v>0.88629441100601902</v>
      </c>
      <c r="D42" s="200">
        <f>'Demande Format Medpro'!D40</f>
        <v>0.85669441100601895</v>
      </c>
      <c r="E42" s="200">
        <f>'Demande Format Medpro'!E40</f>
        <v>0.82709441100601899</v>
      </c>
      <c r="F42" s="200">
        <f>'Demande Format Medpro'!F40</f>
        <v>0.79759441100601902</v>
      </c>
      <c r="G42" s="200">
        <f>'Demande Format Medpro'!G40</f>
        <v>0.79759441100601902</v>
      </c>
      <c r="H42" s="200">
        <f>'Demande Format Medpro'!H40</f>
        <v>-4.19109464917855E-4</v>
      </c>
      <c r="I42" s="200">
        <f>'Demande Format Medpro'!I40</f>
        <v>-6.77055831766282E-3</v>
      </c>
      <c r="J42" s="200">
        <f>'Demande Format Medpro'!J40</f>
        <v>-7.0078150903363197E-3</v>
      </c>
      <c r="K42" s="200">
        <f>'Demande Format Medpro'!K40</f>
        <v>-7.2374104850786401E-3</v>
      </c>
      <c r="L42" s="200">
        <f>'Demande Format Medpro'!L40</f>
        <v>0</v>
      </c>
      <c r="N42" s="201"/>
      <c r="O42" s="201"/>
      <c r="P42" s="201"/>
      <c r="Q42" s="201"/>
      <c r="R42" s="201"/>
      <c r="S42" s="201"/>
    </row>
    <row r="43" spans="1:19">
      <c r="A43" s="199" t="s">
        <v>123</v>
      </c>
      <c r="B43" s="200">
        <f>'Demande Format Medpro'!B41</f>
        <v>4.7685000000000004</v>
      </c>
      <c r="C43" s="200">
        <f>'Demande Format Medpro'!C41</f>
        <v>3.83</v>
      </c>
      <c r="D43" s="200">
        <f>'Demande Format Medpro'!D41</f>
        <v>4.0110999999999999</v>
      </c>
      <c r="E43" s="200">
        <f>'Demande Format Medpro'!E41</f>
        <v>4.1416000000000004</v>
      </c>
      <c r="F43" s="200">
        <f>'Demande Format Medpro'!F41</f>
        <v>4.2241999999999997</v>
      </c>
      <c r="G43" s="200">
        <f>'Demande Format Medpro'!G41</f>
        <v>5.7804000000000002</v>
      </c>
      <c r="H43" s="200">
        <f>'Demande Format Medpro'!H41</f>
        <v>-1.4504907843731801E-2</v>
      </c>
      <c r="I43" s="200">
        <f>'Demande Format Medpro'!I41</f>
        <v>9.2829648573524697E-3</v>
      </c>
      <c r="J43" s="200">
        <f>'Demande Format Medpro'!J41</f>
        <v>6.4238789085733199E-3</v>
      </c>
      <c r="K43" s="200">
        <f>'Demande Format Medpro'!K41</f>
        <v>3.95735114944884E-3</v>
      </c>
      <c r="L43" s="200">
        <f>'Demande Format Medpro'!L41</f>
        <v>1.58057597533778E-2</v>
      </c>
      <c r="N43" s="201"/>
      <c r="O43" s="201"/>
      <c r="P43" s="201"/>
      <c r="Q43" s="201"/>
      <c r="R43" s="201"/>
      <c r="S43" s="201"/>
    </row>
    <row r="44" spans="1:19">
      <c r="A44" s="199" t="s">
        <v>124</v>
      </c>
      <c r="B44" s="200">
        <f>'Demande Format Medpro'!B42</f>
        <v>6.0332999999999997</v>
      </c>
      <c r="C44" s="200">
        <f>'Demande Format Medpro'!C42</f>
        <v>4.8380000000000001</v>
      </c>
      <c r="D44" s="200">
        <f>'Demande Format Medpro'!D42</f>
        <v>4.5659000000000001</v>
      </c>
      <c r="E44" s="200">
        <f>'Demande Format Medpro'!E42</f>
        <v>4.5555000000000003</v>
      </c>
      <c r="F44" s="200">
        <f>'Demande Format Medpro'!F42</f>
        <v>4.5491999999999999</v>
      </c>
      <c r="G44" s="200">
        <f>'Demande Format Medpro'!G42</f>
        <v>4.7652999999999999</v>
      </c>
      <c r="H44" s="200">
        <f>'Demande Format Medpro'!H42</f>
        <v>-1.46117117020375E-2</v>
      </c>
      <c r="I44" s="200">
        <f>'Demande Format Medpro'!I42</f>
        <v>-1.1510395697390499E-2</v>
      </c>
      <c r="J44" s="200">
        <f>'Demande Format Medpro'!J42</f>
        <v>-4.5596655335111702E-4</v>
      </c>
      <c r="K44" s="200">
        <f>'Demande Format Medpro'!K42</f>
        <v>-2.7674186862747301E-4</v>
      </c>
      <c r="L44" s="200">
        <f>'Demande Format Medpro'!L42</f>
        <v>2.3231493830715398E-3</v>
      </c>
      <c r="N44" s="201"/>
      <c r="O44" s="201"/>
      <c r="P44" s="201"/>
      <c r="Q44" s="201"/>
      <c r="R44" s="201"/>
      <c r="S44" s="201"/>
    </row>
    <row r="45" spans="1:19">
      <c r="A45" s="202" t="s">
        <v>125</v>
      </c>
      <c r="B45" s="200">
        <f>'Demande Format Medpro'!B43</f>
        <v>3.7798932072226998</v>
      </c>
      <c r="C45" s="200">
        <f>'Demande Format Medpro'!C43</f>
        <v>3.2045226999140102</v>
      </c>
      <c r="D45" s="200">
        <f>'Demande Format Medpro'!D43</f>
        <v>2.91299294926913</v>
      </c>
      <c r="E45" s="200">
        <f>'Demande Format Medpro'!E43</f>
        <v>2.9042913155632002</v>
      </c>
      <c r="F45" s="200">
        <f>'Demande Format Medpro'!F43</f>
        <v>2.9042913155632002</v>
      </c>
      <c r="G45" s="200">
        <f>'Demande Format Medpro'!G43</f>
        <v>2.9042913155632002</v>
      </c>
      <c r="H45" s="200">
        <f>'Demande Format Medpro'!H43</f>
        <v>-1.09484645761908E-2</v>
      </c>
      <c r="I45" s="200">
        <f>'Demande Format Medpro'!I43</f>
        <v>-1.88956162581395E-2</v>
      </c>
      <c r="J45" s="200">
        <f>'Demande Format Medpro'!J43</f>
        <v>-5.9815110230121405E-4</v>
      </c>
      <c r="K45" s="200">
        <f>'Demande Format Medpro'!K43</f>
        <v>0</v>
      </c>
      <c r="L45" s="200">
        <f>'Demande Format Medpro'!L43</f>
        <v>0</v>
      </c>
      <c r="N45" s="201"/>
      <c r="O45" s="201"/>
      <c r="P45" s="201"/>
      <c r="Q45" s="201"/>
      <c r="R45" s="201"/>
      <c r="S45" s="201"/>
    </row>
    <row r="46" spans="1:19">
      <c r="A46" s="178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</row>
    <row r="47" spans="1:19">
      <c r="A47" s="178"/>
      <c r="B47" s="200"/>
      <c r="C47" s="200"/>
      <c r="D47" s="200"/>
      <c r="E47" s="200"/>
      <c r="F47" s="200"/>
      <c r="G47" s="200"/>
      <c r="H47" s="200"/>
      <c r="I47" s="200"/>
      <c r="J47" s="200"/>
      <c r="K47" s="200"/>
      <c r="L47" s="200"/>
    </row>
    <row r="48" spans="1:19" ht="15" thickBot="1">
      <c r="A48" s="181" t="s">
        <v>10</v>
      </c>
      <c r="B48" s="588">
        <f>'Demande Format Medpro'!B46</f>
        <v>38.915500000000002</v>
      </c>
      <c r="C48" s="589">
        <f>'Demande Format Medpro'!C46</f>
        <v>31.8476</v>
      </c>
      <c r="D48" s="589">
        <f>'Demande Format Medpro'!D46</f>
        <v>32.0032</v>
      </c>
      <c r="E48" s="589">
        <f>'Demande Format Medpro'!E46</f>
        <v>32.154499999999999</v>
      </c>
      <c r="F48" s="589">
        <f>'Demande Format Medpro'!F46</f>
        <v>32.312199999999997</v>
      </c>
      <c r="G48" s="589">
        <f>'Demande Format Medpro'!G46</f>
        <v>36.427999999999997</v>
      </c>
      <c r="H48" s="589">
        <f>'Demande Format Medpro'!H46</f>
        <v>-1.32731644274582E-2</v>
      </c>
      <c r="I48" s="589">
        <f>'Demande Format Medpro'!I46</f>
        <v>9.7524961479988903E-4</v>
      </c>
      <c r="J48" s="589">
        <f>'Demande Format Medpro'!J46</f>
        <v>9.43747446561227E-4</v>
      </c>
      <c r="K48" s="589">
        <f>'Demande Format Medpro'!K46</f>
        <v>9.789705007394729E-4</v>
      </c>
      <c r="L48" s="589">
        <f>'Demande Format Medpro'!L46</f>
        <v>6.0126459150486901E-3</v>
      </c>
    </row>
    <row r="49" spans="1:19" ht="15" thickBot="1">
      <c r="A49" s="183"/>
      <c r="F49" s="169"/>
    </row>
    <row r="50" spans="1:19" ht="15" thickBot="1">
      <c r="A50" s="204" t="s">
        <v>126</v>
      </c>
      <c r="B50" s="205">
        <f>'Demande Format Medpro'!B48</f>
        <v>21.729938521066199</v>
      </c>
      <c r="C50" s="205">
        <f>'Demande Format Medpro'!C48</f>
        <v>16.6833365434222</v>
      </c>
      <c r="D50" s="205">
        <f>'Demande Format Medpro'!D48</f>
        <v>16.166278159931199</v>
      </c>
      <c r="E50" s="205">
        <f>'Demande Format Medpro'!E48</f>
        <v>15.8483819432502</v>
      </c>
      <c r="F50" s="205">
        <f>'Demande Format Medpro'!F48</f>
        <v>15.6319619088564</v>
      </c>
      <c r="G50" s="205">
        <f>'Demande Format Medpro'!G48</f>
        <v>14.7169531384351</v>
      </c>
      <c r="H50" s="205">
        <f>'Demande Format Medpro'!H48</f>
        <v>-1.7464401870883699E-2</v>
      </c>
      <c r="I50" s="205">
        <f>'Demande Format Medpro'!I48</f>
        <v>-6.2768044141875397E-3</v>
      </c>
      <c r="J50" s="205">
        <f>'Demande Format Medpro'!J48</f>
        <v>-3.9641356137063398E-3</v>
      </c>
      <c r="K50" s="205">
        <f>'Demande Format Medpro'!K48</f>
        <v>-2.7461725419317701E-3</v>
      </c>
      <c r="L50" s="205">
        <f>'Demande Format Medpro'!L48</f>
        <v>-3.0113345370587101E-3</v>
      </c>
    </row>
    <row r="51" spans="1:19">
      <c r="A51" s="206"/>
      <c r="B51" s="207"/>
      <c r="C51" s="207"/>
      <c r="D51" s="207"/>
      <c r="E51" s="207"/>
      <c r="F51" s="207"/>
      <c r="G51" s="207"/>
      <c r="H51" s="196"/>
      <c r="I51" s="196"/>
      <c r="J51" s="196"/>
      <c r="K51" s="196"/>
      <c r="L51" s="196"/>
    </row>
    <row r="52" spans="1:19">
      <c r="B52" s="208"/>
      <c r="C52" s="208"/>
      <c r="E52" s="170"/>
    </row>
    <row r="53" spans="1:19" ht="16" thickBot="1">
      <c r="A53" s="90" t="s">
        <v>127</v>
      </c>
      <c r="B53" s="81"/>
      <c r="C53" s="81"/>
      <c r="D53" s="81"/>
      <c r="E53" s="80"/>
      <c r="F53" s="80"/>
      <c r="G53" s="80"/>
      <c r="H53" s="80"/>
      <c r="I53" s="80"/>
      <c r="J53" s="80"/>
      <c r="K53" s="80"/>
      <c r="L53" s="80"/>
    </row>
    <row r="54" spans="1:19" ht="15" thickBot="1">
      <c r="A54" s="209" t="s">
        <v>128</v>
      </c>
      <c r="B54" s="177">
        <v>2000</v>
      </c>
      <c r="C54" s="177">
        <v>2015</v>
      </c>
      <c r="D54" s="177">
        <v>2020</v>
      </c>
      <c r="E54" s="177">
        <v>2025</v>
      </c>
      <c r="F54" s="177">
        <v>2030</v>
      </c>
      <c r="G54" s="177">
        <v>2050</v>
      </c>
      <c r="H54" s="572" t="s">
        <v>98</v>
      </c>
      <c r="I54" s="573" t="s">
        <v>99</v>
      </c>
      <c r="J54" s="573" t="s">
        <v>100</v>
      </c>
      <c r="K54" s="573" t="s">
        <v>101</v>
      </c>
      <c r="L54" s="574" t="s">
        <v>102</v>
      </c>
    </row>
    <row r="55" spans="1:19">
      <c r="A55" s="199" t="s">
        <v>111</v>
      </c>
      <c r="B55" s="193">
        <f>'Demande Format Medpro'!B53</f>
        <v>22.518699999999999</v>
      </c>
      <c r="C55" s="193">
        <f>'Demande Format Medpro'!C53</f>
        <v>16.763300000000001</v>
      </c>
      <c r="D55" s="193">
        <f>'Demande Format Medpro'!D53</f>
        <v>16.728100000000001</v>
      </c>
      <c r="E55" s="193">
        <f>'Demande Format Medpro'!E53</f>
        <v>16.5381</v>
      </c>
      <c r="F55" s="193">
        <f>'Demande Format Medpro'!F53</f>
        <v>16.624500000000001</v>
      </c>
      <c r="G55" s="193">
        <f>'Demande Format Medpro'!G53</f>
        <v>16.008800000000001</v>
      </c>
      <c r="H55" s="193">
        <f>'Demande Format Medpro'!H53</f>
        <v>-1.9484612690580001E-2</v>
      </c>
      <c r="I55" s="193">
        <f>'Demande Format Medpro'!I53</f>
        <v>-4.2031822902799398E-4</v>
      </c>
      <c r="J55" s="193">
        <f>'Demande Format Medpro'!J53</f>
        <v>-2.28201825772945E-3</v>
      </c>
      <c r="K55" s="193">
        <f>'Demande Format Medpro'!K53</f>
        <v>1.04268340469482E-3</v>
      </c>
      <c r="L55" s="193">
        <f>'Demande Format Medpro'!L53</f>
        <v>-1.88516782758574E-3</v>
      </c>
      <c r="N55" s="201"/>
      <c r="O55" s="201"/>
      <c r="P55" s="201"/>
      <c r="Q55" s="201"/>
      <c r="R55" s="201"/>
      <c r="S55" s="201"/>
    </row>
    <row r="56" spans="1:19">
      <c r="A56" s="202" t="s">
        <v>112</v>
      </c>
      <c r="B56" s="193">
        <f>'Demande Format Medpro'!B54</f>
        <v>12.717499999999999</v>
      </c>
      <c r="C56" s="193">
        <f>'Demande Format Medpro'!C54</f>
        <v>8.8988999999999994</v>
      </c>
      <c r="D56" s="193">
        <f>'Demande Format Medpro'!D54</f>
        <v>8.8089999999999993</v>
      </c>
      <c r="E56" s="193">
        <f>'Demande Format Medpro'!E54</f>
        <v>8.7192000000000007</v>
      </c>
      <c r="F56" s="193">
        <f>'Demande Format Medpro'!F54</f>
        <v>8.6293000000000006</v>
      </c>
      <c r="G56" s="193">
        <f>'Demande Format Medpro'!G54</f>
        <v>7.9949000000000003</v>
      </c>
      <c r="H56" s="193">
        <f>'Demande Format Medpro'!H54</f>
        <v>-2.3522354702618101E-2</v>
      </c>
      <c r="I56" s="193">
        <f>'Demande Format Medpro'!I54</f>
        <v>-2.0286889165749299E-3</v>
      </c>
      <c r="J56" s="193">
        <f>'Demande Format Medpro'!J54</f>
        <v>-2.0471887517375898E-3</v>
      </c>
      <c r="K56" s="193">
        <f>'Demande Format Medpro'!K54</f>
        <v>-2.07067342890943E-3</v>
      </c>
      <c r="L56" s="193">
        <f>'Demande Format Medpro'!L54</f>
        <v>-3.8106983414415399E-3</v>
      </c>
      <c r="N56" s="201"/>
      <c r="O56" s="201"/>
      <c r="P56" s="201"/>
      <c r="Q56" s="201"/>
      <c r="R56" s="201"/>
      <c r="S56" s="201"/>
    </row>
    <row r="57" spans="1:19">
      <c r="A57" s="202" t="s">
        <v>113</v>
      </c>
      <c r="B57" s="193">
        <f>'Demande Format Medpro'!B55</f>
        <v>6.4558</v>
      </c>
      <c r="C57" s="193">
        <f>'Demande Format Medpro'!C55</f>
        <v>5.2424999999999997</v>
      </c>
      <c r="D57" s="193">
        <f>'Demande Format Medpro'!D55</f>
        <v>5.09</v>
      </c>
      <c r="E57" s="193">
        <f>'Demande Format Medpro'!E55</f>
        <v>4.7845000000000004</v>
      </c>
      <c r="F57" s="193">
        <f>'Demande Format Medpro'!F55</f>
        <v>4.7845000000000004</v>
      </c>
      <c r="G57" s="193">
        <f>'Demande Format Medpro'!G55</f>
        <v>3.9138000000000002</v>
      </c>
      <c r="H57" s="193">
        <f>'Demande Format Medpro'!H55</f>
        <v>-1.37828327304185E-2</v>
      </c>
      <c r="I57" s="193">
        <f>'Demande Format Medpro'!I55</f>
        <v>-5.8867355181637703E-3</v>
      </c>
      <c r="J57" s="193">
        <f>'Demande Format Medpro'!J55</f>
        <v>-1.23029530180773E-2</v>
      </c>
      <c r="K57" s="193">
        <f>'Demande Format Medpro'!K55</f>
        <v>0</v>
      </c>
      <c r="L57" s="193">
        <f>'Demande Format Medpro'!L55</f>
        <v>-9.9933689636923003E-3</v>
      </c>
      <c r="N57" s="201"/>
      <c r="O57" s="201"/>
      <c r="P57" s="201"/>
      <c r="Q57" s="201"/>
      <c r="R57" s="201"/>
      <c r="S57" s="201"/>
    </row>
    <row r="58" spans="1:19">
      <c r="A58" s="199" t="s">
        <v>114</v>
      </c>
      <c r="B58" s="193">
        <f>'Demande Format Medpro'!B56</f>
        <v>34.314</v>
      </c>
      <c r="C58" s="193">
        <f>'Demande Format Medpro'!C56</f>
        <v>30.441500000000001</v>
      </c>
      <c r="D58" s="193">
        <f>'Demande Format Medpro'!D56</f>
        <v>31.549399999999999</v>
      </c>
      <c r="E58" s="193">
        <f>'Demande Format Medpro'!E56</f>
        <v>32.128500000000003</v>
      </c>
      <c r="F58" s="193">
        <f>'Demande Format Medpro'!F56</f>
        <v>32.627400000000002</v>
      </c>
      <c r="G58" s="193">
        <f>'Demande Format Medpro'!G56</f>
        <v>39.034199999999998</v>
      </c>
      <c r="H58" s="193">
        <f>'Demande Format Medpro'!H56</f>
        <v>-7.9513279565939197E-3</v>
      </c>
      <c r="I58" s="193">
        <f>'Demande Format Medpro'!I56</f>
        <v>7.1751715343111302E-3</v>
      </c>
      <c r="J58" s="193">
        <f>'Demande Format Medpro'!J56</f>
        <v>3.6444078282133999E-3</v>
      </c>
      <c r="K58" s="193">
        <f>'Demande Format Medpro'!K56</f>
        <v>3.0865414819234399E-3</v>
      </c>
      <c r="L58" s="193">
        <f>'Demande Format Medpro'!L56</f>
        <v>9.0045874969917304E-3</v>
      </c>
      <c r="N58" s="201"/>
      <c r="O58" s="201"/>
      <c r="P58" s="201"/>
      <c r="Q58" s="201"/>
      <c r="R58" s="201"/>
      <c r="S58" s="201"/>
    </row>
    <row r="59" spans="1:19">
      <c r="A59" s="202" t="s">
        <v>115</v>
      </c>
      <c r="B59" s="193">
        <f>'Demande Format Medpro'!B57</f>
        <v>1.4301999999999999</v>
      </c>
      <c r="C59" s="193">
        <f>'Demande Format Medpro'!C57</f>
        <v>0.73</v>
      </c>
      <c r="D59" s="193">
        <f>'Demande Format Medpro'!D57</f>
        <v>0.6996</v>
      </c>
      <c r="E59" s="193">
        <f>'Demande Format Medpro'!E57</f>
        <v>0.66920000000000002</v>
      </c>
      <c r="F59" s="193">
        <f>'Demande Format Medpro'!F57</f>
        <v>0.63870000000000005</v>
      </c>
      <c r="G59" s="193">
        <f>'Demande Format Medpro'!G57</f>
        <v>0.60829999999999995</v>
      </c>
      <c r="H59" s="193">
        <f>'Demande Format Medpro'!H57</f>
        <v>-4.3844768084247802E-2</v>
      </c>
      <c r="I59" s="193">
        <f>'Demande Format Medpro'!I57</f>
        <v>-8.4710747243904594E-3</v>
      </c>
      <c r="J59" s="193">
        <f>'Demande Format Medpro'!J57</f>
        <v>-8.8457984670333705E-3</v>
      </c>
      <c r="K59" s="193">
        <f>'Demande Format Medpro'!K57</f>
        <v>-9.2862358178932292E-3</v>
      </c>
      <c r="L59" s="193">
        <f>'Demande Format Medpro'!L57</f>
        <v>-2.4353636404914601E-3</v>
      </c>
      <c r="N59" s="201"/>
      <c r="O59" s="201"/>
      <c r="P59" s="201"/>
      <c r="Q59" s="201"/>
      <c r="R59" s="201"/>
      <c r="S59" s="201"/>
    </row>
    <row r="60" spans="1:19">
      <c r="A60" s="202" t="s">
        <v>116</v>
      </c>
      <c r="B60" s="193">
        <f>'Demande Format Medpro'!B58</f>
        <v>9.2639999999999993</v>
      </c>
      <c r="C60" s="193">
        <f>'Demande Format Medpro'!C58</f>
        <v>8.2110000000000003</v>
      </c>
      <c r="D60" s="193">
        <f>'Demande Format Medpro'!D58</f>
        <v>8.1278000000000006</v>
      </c>
      <c r="E60" s="193">
        <f>'Demande Format Medpro'!E58</f>
        <v>8.0446000000000009</v>
      </c>
      <c r="F60" s="193">
        <f>'Demande Format Medpro'!F58</f>
        <v>7.9621000000000004</v>
      </c>
      <c r="G60" s="193">
        <f>'Demande Format Medpro'!G58</f>
        <v>7.8788999999999998</v>
      </c>
      <c r="H60" s="193">
        <f>'Demande Format Medpro'!H58</f>
        <v>-8.0118131051195602E-3</v>
      </c>
      <c r="I60" s="193">
        <f>'Demande Format Medpro'!I58</f>
        <v>-2.03481385213622E-3</v>
      </c>
      <c r="J60" s="193">
        <f>'Demande Format Medpro'!J58</f>
        <v>-2.0557291583102001E-3</v>
      </c>
      <c r="K60" s="193">
        <f>'Demande Format Medpro'!K58</f>
        <v>-2.0595311946615099E-3</v>
      </c>
      <c r="L60" s="193">
        <f>'Demande Format Medpro'!L58</f>
        <v>-5.2508629094683002E-4</v>
      </c>
      <c r="N60" s="201"/>
      <c r="O60" s="201"/>
      <c r="P60" s="201"/>
      <c r="Q60" s="201"/>
      <c r="R60" s="201"/>
      <c r="S60" s="201"/>
    </row>
    <row r="61" spans="1:19">
      <c r="A61" s="202" t="s">
        <v>117</v>
      </c>
      <c r="B61" s="193">
        <f>'Demande Format Medpro'!B59</f>
        <v>6.3826000000000001</v>
      </c>
      <c r="C61" s="193">
        <f>'Demande Format Medpro'!C59</f>
        <v>3.9990999999999999</v>
      </c>
      <c r="D61" s="193">
        <f>'Demande Format Medpro'!D59</f>
        <v>3.9586999999999999</v>
      </c>
      <c r="E61" s="193">
        <f>'Demande Format Medpro'!E59</f>
        <v>3.9182999999999999</v>
      </c>
      <c r="F61" s="193">
        <f>'Demande Format Medpro'!F59</f>
        <v>3.8778999999999999</v>
      </c>
      <c r="G61" s="193">
        <f>'Demande Format Medpro'!G59</f>
        <v>3.8374999999999999</v>
      </c>
      <c r="H61" s="193">
        <f>'Demande Format Medpro'!H59</f>
        <v>-3.0686393504073099E-2</v>
      </c>
      <c r="I61" s="193">
        <f>'Demande Format Medpro'!I59</f>
        <v>-2.02866891639664E-3</v>
      </c>
      <c r="J61" s="193">
        <f>'Demande Format Medpro'!J59</f>
        <v>-2.0494574426596101E-3</v>
      </c>
      <c r="K61" s="193">
        <f>'Demande Format Medpro'!K59</f>
        <v>-2.0706764393267898E-3</v>
      </c>
      <c r="L61" s="193">
        <f>'Demande Format Medpro'!L59</f>
        <v>-5.2349578258237305E-4</v>
      </c>
      <c r="N61" s="201"/>
      <c r="O61" s="201"/>
      <c r="P61" s="201"/>
      <c r="Q61" s="201"/>
      <c r="R61" s="201"/>
      <c r="S61" s="201"/>
    </row>
    <row r="62" spans="1:19">
      <c r="A62" s="199" t="s">
        <v>118</v>
      </c>
      <c r="B62" s="193">
        <f>'Demande Format Medpro'!B60</f>
        <v>10.089700000000001</v>
      </c>
      <c r="C62" s="193">
        <f>'Demande Format Medpro'!C60</f>
        <v>9.3522999999999996</v>
      </c>
      <c r="D62" s="193">
        <f>'Demande Format Medpro'!D60</f>
        <v>9.7937999999999992</v>
      </c>
      <c r="E62" s="193">
        <f>'Demande Format Medpro'!E60</f>
        <v>10.0779</v>
      </c>
      <c r="F62" s="193">
        <f>'Demande Format Medpro'!F60</f>
        <v>10.4786</v>
      </c>
      <c r="G62" s="193">
        <f>'Demande Format Medpro'!G60</f>
        <v>12.556800000000001</v>
      </c>
      <c r="H62" s="193">
        <f>'Demande Format Medpro'!H60</f>
        <v>-5.0467421319278002E-3</v>
      </c>
      <c r="I62" s="193">
        <f>'Demande Format Medpro'!I60</f>
        <v>9.2681316007854307E-3</v>
      </c>
      <c r="J62" s="193">
        <f>'Demande Format Medpro'!J60</f>
        <v>5.7354601706101098E-3</v>
      </c>
      <c r="K62" s="193">
        <f>'Demande Format Medpro'!K60</f>
        <v>7.8285187763251808E-3</v>
      </c>
      <c r="L62" s="193">
        <f>'Demande Format Medpro'!L60</f>
        <v>9.0874054792398108E-3</v>
      </c>
      <c r="N62" s="201"/>
      <c r="O62" s="201"/>
      <c r="P62" s="201"/>
      <c r="Q62" s="201"/>
      <c r="R62" s="201"/>
      <c r="S62" s="201"/>
    </row>
    <row r="63" spans="1:19">
      <c r="A63" s="202" t="s">
        <v>119</v>
      </c>
      <c r="B63" s="193">
        <f>'Demande Format Medpro'!B61</f>
        <v>2.8698999999999999</v>
      </c>
      <c r="C63" s="193">
        <f>'Demande Format Medpro'!C61</f>
        <v>2.5390999999999999</v>
      </c>
      <c r="D63" s="193">
        <f>'Demande Format Medpro'!D61</f>
        <v>2.6920999999999999</v>
      </c>
      <c r="E63" s="193">
        <f>'Demande Format Medpro'!E61</f>
        <v>2.5425</v>
      </c>
      <c r="F63" s="193">
        <f>'Demande Format Medpro'!F61</f>
        <v>2.5425</v>
      </c>
      <c r="G63" s="193">
        <f>'Demande Format Medpro'!G61</f>
        <v>2.3609</v>
      </c>
      <c r="H63" s="193">
        <f>'Demande Format Medpro'!H61</f>
        <v>-8.1312608873422808E-3</v>
      </c>
      <c r="I63" s="193">
        <f>'Demande Format Medpro'!I61</f>
        <v>1.1771114794102601E-2</v>
      </c>
      <c r="J63" s="193">
        <f>'Demande Format Medpro'!J61</f>
        <v>-1.13696136679873E-2</v>
      </c>
      <c r="K63" s="193">
        <f>'Demande Format Medpro'!K61</f>
        <v>0</v>
      </c>
      <c r="L63" s="193">
        <f>'Demande Format Medpro'!L61</f>
        <v>-3.6983913748145402E-3</v>
      </c>
      <c r="N63" s="201"/>
      <c r="O63" s="201"/>
      <c r="P63" s="201"/>
      <c r="Q63" s="201"/>
      <c r="R63" s="201"/>
      <c r="S63" s="201"/>
    </row>
    <row r="64" spans="1:19">
      <c r="A64" s="202" t="s">
        <v>120</v>
      </c>
      <c r="B64" s="193">
        <f>'Demande Format Medpro'!B62</f>
        <v>3.5</v>
      </c>
      <c r="C64" s="193">
        <f>'Demande Format Medpro'!C62</f>
        <v>3.5228000000000002</v>
      </c>
      <c r="D64" s="193">
        <f>'Demande Format Medpro'!D62</f>
        <v>3.5228000000000002</v>
      </c>
      <c r="E64" s="193">
        <f>'Demande Format Medpro'!E62</f>
        <v>3.5228000000000002</v>
      </c>
      <c r="F64" s="193">
        <f>'Demande Format Medpro'!F62</f>
        <v>3.5228000000000002</v>
      </c>
      <c r="G64" s="193">
        <f>'Demande Format Medpro'!G62</f>
        <v>3.2164999999999999</v>
      </c>
      <c r="H64" s="193">
        <f>'Demande Format Medpro'!H62</f>
        <v>4.3297100181738401E-4</v>
      </c>
      <c r="I64" s="193">
        <f>'Demande Format Medpro'!I62</f>
        <v>0</v>
      </c>
      <c r="J64" s="193">
        <f>'Demande Format Medpro'!J62</f>
        <v>0</v>
      </c>
      <c r="K64" s="193">
        <f>'Demande Format Medpro'!K62</f>
        <v>0</v>
      </c>
      <c r="L64" s="193">
        <f>'Demande Format Medpro'!L62</f>
        <v>-4.5377887874169503E-3</v>
      </c>
      <c r="N64" s="201"/>
      <c r="O64" s="201"/>
      <c r="P64" s="201"/>
      <c r="Q64" s="201"/>
      <c r="R64" s="201"/>
      <c r="S64" s="201"/>
    </row>
    <row r="65" spans="1:19">
      <c r="A65" s="199" t="s">
        <v>121</v>
      </c>
      <c r="B65" s="193">
        <f>'Demande Format Medpro'!B63</f>
        <v>17.1267</v>
      </c>
      <c r="C65" s="193">
        <f>'Demande Format Medpro'!C63</f>
        <v>20.747</v>
      </c>
      <c r="D65" s="193">
        <f>'Demande Format Medpro'!D63</f>
        <v>21.0184</v>
      </c>
      <c r="E65" s="193">
        <f>'Demande Format Medpro'!E63</f>
        <v>21.054600000000001</v>
      </c>
      <c r="F65" s="193">
        <f>'Demande Format Medpro'!F63</f>
        <v>21.018699999999999</v>
      </c>
      <c r="G65" s="193">
        <f>'Demande Format Medpro'!G63</f>
        <v>25.280999999999999</v>
      </c>
      <c r="H65" s="193">
        <f>'Demande Format Medpro'!H63</f>
        <v>1.2866267815070401E-2</v>
      </c>
      <c r="I65" s="193">
        <f>'Demande Format Medpro'!I63</f>
        <v>2.6026984857863101E-3</v>
      </c>
      <c r="J65" s="193">
        <f>'Demande Format Medpro'!J63</f>
        <v>3.4422303153114299E-4</v>
      </c>
      <c r="K65" s="193">
        <f>'Demande Format Medpro'!K63</f>
        <v>-3.41250939748794E-4</v>
      </c>
      <c r="L65" s="193">
        <f>'Demande Format Medpro'!L63</f>
        <v>9.2747770265297902E-3</v>
      </c>
      <c r="N65" s="201"/>
      <c r="O65" s="201"/>
      <c r="P65" s="201"/>
      <c r="Q65" s="201"/>
      <c r="R65" s="201"/>
      <c r="S65" s="201"/>
    </row>
    <row r="66" spans="1:19">
      <c r="A66" s="202" t="s">
        <v>122</v>
      </c>
      <c r="B66" s="193">
        <f>'Demande Format Medpro'!B64</f>
        <v>1.0755999999999999</v>
      </c>
      <c r="C66" s="193">
        <f>'Demande Format Medpro'!C64</f>
        <v>1.1106</v>
      </c>
      <c r="D66" s="193">
        <f>'Demande Format Medpro'!D64</f>
        <v>1.1106</v>
      </c>
      <c r="E66" s="193">
        <f>'Demande Format Medpro'!E64</f>
        <v>1.1106</v>
      </c>
      <c r="F66" s="193">
        <f>'Demande Format Medpro'!F64</f>
        <v>1.1106</v>
      </c>
      <c r="G66" s="193">
        <f>'Demande Format Medpro'!G64</f>
        <v>1.1106</v>
      </c>
      <c r="H66" s="193">
        <f>'Demande Format Medpro'!H64</f>
        <v>2.1370645685203598E-3</v>
      </c>
      <c r="I66" s="193">
        <f>'Demande Format Medpro'!I64</f>
        <v>0</v>
      </c>
      <c r="J66" s="193">
        <f>'Demande Format Medpro'!J64</f>
        <v>0</v>
      </c>
      <c r="K66" s="193">
        <f>'Demande Format Medpro'!K64</f>
        <v>0</v>
      </c>
      <c r="L66" s="193">
        <f>'Demande Format Medpro'!L64</f>
        <v>0</v>
      </c>
      <c r="N66" s="201"/>
      <c r="O66" s="201"/>
      <c r="P66" s="201"/>
      <c r="Q66" s="201"/>
      <c r="R66" s="201"/>
      <c r="S66" s="201"/>
    </row>
    <row r="67" spans="1:19">
      <c r="A67" s="199" t="s">
        <v>123</v>
      </c>
      <c r="B67" s="193">
        <f>'Demande Format Medpro'!B65</f>
        <v>26.596499999999999</v>
      </c>
      <c r="C67" s="193">
        <f>'Demande Format Medpro'!C65</f>
        <v>22.5806</v>
      </c>
      <c r="D67" s="193">
        <f>'Demande Format Medpro'!D65</f>
        <v>24.336300000000001</v>
      </c>
      <c r="E67" s="193">
        <f>'Demande Format Medpro'!E65</f>
        <v>25.917400000000001</v>
      </c>
      <c r="F67" s="193">
        <f>'Demande Format Medpro'!F65</f>
        <v>27.3353</v>
      </c>
      <c r="G67" s="193">
        <f>'Demande Format Medpro'!G65</f>
        <v>38.633800000000001</v>
      </c>
      <c r="H67" s="193">
        <f>'Demande Format Medpro'!H65</f>
        <v>-1.0853240450502099E-2</v>
      </c>
      <c r="I67" s="193">
        <f>'Demande Format Medpro'!I65</f>
        <v>1.5088282414999999E-2</v>
      </c>
      <c r="J67" s="193">
        <f>'Demande Format Medpro'!J65</f>
        <v>1.26686752780785E-2</v>
      </c>
      <c r="K67" s="193">
        <f>'Demande Format Medpro'!K65</f>
        <v>1.07098137271502E-2</v>
      </c>
      <c r="L67" s="193">
        <f>'Demande Format Medpro'!L65</f>
        <v>1.74478985708553E-2</v>
      </c>
      <c r="N67" s="201"/>
      <c r="O67" s="201"/>
      <c r="P67" s="201"/>
      <c r="Q67" s="201"/>
      <c r="R67" s="201"/>
      <c r="S67" s="201"/>
    </row>
    <row r="68" spans="1:19">
      <c r="A68" s="199" t="s">
        <v>124</v>
      </c>
      <c r="B68" s="193">
        <f>'Demande Format Medpro'!B66</f>
        <v>21.828800000000001</v>
      </c>
      <c r="C68" s="193">
        <f>'Demande Format Medpro'!C66</f>
        <v>15.8759</v>
      </c>
      <c r="D68" s="193">
        <f>'Demande Format Medpro'!D66</f>
        <v>15.731400000000001</v>
      </c>
      <c r="E68" s="193">
        <f>'Demande Format Medpro'!E66</f>
        <v>15.5741</v>
      </c>
      <c r="F68" s="193">
        <f>'Demande Format Medpro'!F66</f>
        <v>15.508100000000001</v>
      </c>
      <c r="G68" s="193">
        <f>'Demande Format Medpro'!G66</f>
        <v>16.3429</v>
      </c>
      <c r="H68" s="193">
        <f>'Demande Format Medpro'!H66</f>
        <v>-2.1004791603714601E-2</v>
      </c>
      <c r="I68" s="193">
        <f>'Demande Format Medpro'!I66</f>
        <v>-1.82703315287458E-3</v>
      </c>
      <c r="J68" s="193">
        <f>'Demande Format Medpro'!J66</f>
        <v>-2.0078689138259801E-3</v>
      </c>
      <c r="K68" s="193">
        <f>'Demande Format Medpro'!K66</f>
        <v>-8.4900139810295495E-4</v>
      </c>
      <c r="L68" s="193">
        <f>'Demande Format Medpro'!L66</f>
        <v>2.6249934875941499E-3</v>
      </c>
      <c r="N68" s="201"/>
      <c r="O68" s="201"/>
      <c r="P68" s="201"/>
      <c r="Q68" s="201"/>
      <c r="R68" s="201"/>
      <c r="S68" s="201"/>
    </row>
    <row r="69" spans="1:19">
      <c r="A69" s="202" t="s">
        <v>125</v>
      </c>
      <c r="B69" s="193">
        <f>'Demande Format Medpro'!B67</f>
        <v>12.1335</v>
      </c>
      <c r="C69" s="193">
        <f>'Demande Format Medpro'!C67</f>
        <v>9.0390999999999995</v>
      </c>
      <c r="D69" s="193">
        <f>'Demande Format Medpro'!D67</f>
        <v>8.8550000000000004</v>
      </c>
      <c r="E69" s="193">
        <f>'Demande Format Medpro'!E67</f>
        <v>8.7538</v>
      </c>
      <c r="F69" s="193">
        <f>'Demande Format Medpro'!F67</f>
        <v>8.7538</v>
      </c>
      <c r="G69" s="193">
        <f>'Demande Format Medpro'!G67</f>
        <v>8.7538</v>
      </c>
      <c r="H69" s="193">
        <f>'Demande Format Medpro'!H67</f>
        <v>-1.9436011137856202E-2</v>
      </c>
      <c r="I69" s="193">
        <f>'Demande Format Medpro'!I67</f>
        <v>-4.1070112045900097E-3</v>
      </c>
      <c r="J69" s="193">
        <f>'Demande Format Medpro'!J67</f>
        <v>-2.2962354936776298E-3</v>
      </c>
      <c r="K69" s="193">
        <f>'Demande Format Medpro'!K67</f>
        <v>0</v>
      </c>
      <c r="L69" s="193">
        <f>'Demande Format Medpro'!L67</f>
        <v>0</v>
      </c>
      <c r="N69" s="201"/>
      <c r="O69" s="201"/>
      <c r="P69" s="201"/>
      <c r="Q69" s="201"/>
      <c r="R69" s="201"/>
      <c r="S69" s="201"/>
    </row>
    <row r="70" spans="1:19">
      <c r="A70" s="178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</row>
    <row r="71" spans="1:19">
      <c r="A71" s="178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</row>
    <row r="72" spans="1:19" ht="15" thickBot="1">
      <c r="A72" s="181" t="s">
        <v>10</v>
      </c>
      <c r="B72" s="575">
        <f>'Demande Format Medpro'!B70</f>
        <v>132.4744</v>
      </c>
      <c r="C72" s="182">
        <f>'Demande Format Medpro'!C70</f>
        <v>115.7606</v>
      </c>
      <c r="D72" s="182">
        <f>'Demande Format Medpro'!D70</f>
        <v>119.1574</v>
      </c>
      <c r="E72" s="182">
        <f>'Demande Format Medpro'!E70</f>
        <v>121.2906</v>
      </c>
      <c r="F72" s="182">
        <f>'Demande Format Medpro'!F70</f>
        <v>123.5926</v>
      </c>
      <c r="G72" s="182">
        <f>'Demande Format Medpro'!G70</f>
        <v>147.85749999999999</v>
      </c>
      <c r="H72" s="182">
        <f>'Demande Format Medpro'!H70</f>
        <v>-8.9507119828033908E-3</v>
      </c>
      <c r="I72" s="182">
        <f>'Demande Format Medpro'!I70</f>
        <v>5.80096938620067E-3</v>
      </c>
      <c r="J72" s="182">
        <f>'Demande Format Medpro'!J70</f>
        <v>3.5551066391559202E-3</v>
      </c>
      <c r="K72" s="182">
        <f>'Demande Format Medpro'!K70</f>
        <v>3.7673493978989101E-3</v>
      </c>
      <c r="L72" s="182">
        <f>'Demande Format Medpro'!L70</f>
        <v>9.0032021669577099E-3</v>
      </c>
    </row>
    <row r="73" spans="1:19" ht="15" thickBot="1">
      <c r="A73" s="183"/>
      <c r="E73" s="170"/>
    </row>
    <row r="74" spans="1:19" ht="15" thickBot="1">
      <c r="A74" s="204" t="s">
        <v>126</v>
      </c>
      <c r="B74" s="205">
        <f>'Demande Format Medpro'!B72</f>
        <v>55.829099999999997</v>
      </c>
      <c r="C74" s="205">
        <f>'Demande Format Medpro'!C72</f>
        <v>43.293100000000003</v>
      </c>
      <c r="D74" s="205">
        <f>'Demande Format Medpro'!D72</f>
        <v>42.865600000000001</v>
      </c>
      <c r="E74" s="205">
        <f>'Demande Format Medpro'!E72</f>
        <v>42.0655</v>
      </c>
      <c r="F74" s="205">
        <f>'Demande Format Medpro'!F72</f>
        <v>41.822200000000002</v>
      </c>
      <c r="G74" s="205">
        <f>'Demande Format Medpro'!G72</f>
        <v>39.675199999999997</v>
      </c>
      <c r="H74" s="205">
        <f>'Demande Format Medpro'!H72</f>
        <v>-1.6810563372649901E-2</v>
      </c>
      <c r="I74" s="205">
        <f>'Demande Format Medpro'!I72</f>
        <v>-1.9827576329365399E-3</v>
      </c>
      <c r="J74" s="205">
        <f>'Demande Format Medpro'!J72</f>
        <v>-3.7612511415377999E-3</v>
      </c>
      <c r="K74" s="205">
        <f>'Demande Format Medpro'!K72</f>
        <v>-1.1594529690384099E-3</v>
      </c>
      <c r="L74" s="205">
        <f>'Demande Format Medpro'!L72</f>
        <v>-2.63158088762827E-3</v>
      </c>
    </row>
    <row r="75" spans="1:19">
      <c r="A75" s="206"/>
      <c r="B75" s="207"/>
      <c r="C75" s="207"/>
      <c r="D75" s="207"/>
      <c r="E75" s="207"/>
      <c r="F75" s="207"/>
      <c r="G75" s="207"/>
      <c r="H75" s="196"/>
      <c r="I75" s="196"/>
      <c r="J75" s="196"/>
      <c r="K75" s="196"/>
      <c r="L75" s="196"/>
    </row>
    <row r="76" spans="1:19">
      <c r="E76" s="170"/>
    </row>
    <row r="77" spans="1:19" ht="16" thickBot="1">
      <c r="A77" s="90" t="s">
        <v>129</v>
      </c>
      <c r="B77" s="81"/>
      <c r="C77" s="81"/>
      <c r="D77" s="81"/>
      <c r="E77" s="80"/>
      <c r="F77" s="80"/>
      <c r="G77" s="80"/>
      <c r="H77" s="80"/>
      <c r="I77" s="80"/>
      <c r="J77" s="80"/>
      <c r="K77" s="80"/>
      <c r="L77" s="80"/>
    </row>
    <row r="78" spans="1:19" ht="15" thickBot="1">
      <c r="A78" s="209" t="s">
        <v>51</v>
      </c>
      <c r="B78" s="177">
        <v>2000</v>
      </c>
      <c r="C78" s="177">
        <v>2015</v>
      </c>
      <c r="D78" s="177">
        <v>2020</v>
      </c>
      <c r="E78" s="177">
        <v>2025</v>
      </c>
      <c r="F78" s="177">
        <v>2030</v>
      </c>
      <c r="G78" s="177">
        <v>2050</v>
      </c>
      <c r="H78" s="185" t="s">
        <v>98</v>
      </c>
      <c r="I78" s="186" t="s">
        <v>99</v>
      </c>
      <c r="J78" s="186" t="s">
        <v>100</v>
      </c>
      <c r="K78" s="186" t="s">
        <v>101</v>
      </c>
      <c r="L78" s="187" t="s">
        <v>102</v>
      </c>
    </row>
    <row r="79" spans="1:19">
      <c r="A79" s="199" t="s">
        <v>111</v>
      </c>
      <c r="B79" s="193">
        <f>'Demande Format Medpro'!B77</f>
        <v>6.1029</v>
      </c>
      <c r="C79" s="193">
        <f>'Demande Format Medpro'!C77</f>
        <v>3.7431000000000001</v>
      </c>
      <c r="D79" s="193">
        <f>'Demande Format Medpro'!D77</f>
        <v>3.5642999999999998</v>
      </c>
      <c r="E79" s="193">
        <f>'Demande Format Medpro'!E77</f>
        <v>3.4569999999999999</v>
      </c>
      <c r="F79" s="193">
        <f>'Demande Format Medpro'!F77</f>
        <v>3.3449</v>
      </c>
      <c r="G79" s="193">
        <f>'Demande Format Medpro'!G77</f>
        <v>2.9106000000000001</v>
      </c>
      <c r="H79" s="193">
        <f>'Demande Format Medpro'!H77</f>
        <v>-3.2064663296258997E-2</v>
      </c>
      <c r="I79" s="193">
        <f>'Demande Format Medpro'!I77</f>
        <v>-9.7415336337166591E-3</v>
      </c>
      <c r="J79" s="193">
        <f>'Demande Format Medpro'!J77</f>
        <v>-6.0946558190933002E-3</v>
      </c>
      <c r="K79" s="193">
        <f>'Demande Format Medpro'!K77</f>
        <v>-6.5711873320074598E-3</v>
      </c>
      <c r="L79" s="193">
        <f>'Demande Format Medpro'!L77</f>
        <v>-6.9297553533703704E-3</v>
      </c>
      <c r="N79" s="201"/>
      <c r="O79" s="201"/>
      <c r="P79" s="201"/>
      <c r="Q79" s="201"/>
      <c r="R79" s="201"/>
      <c r="S79" s="201"/>
    </row>
    <row r="80" spans="1:19">
      <c r="A80" s="202" t="s">
        <v>112</v>
      </c>
      <c r="B80" s="193">
        <f>'Demande Format Medpro'!B78</f>
        <v>5.6398000000000001</v>
      </c>
      <c r="C80" s="193">
        <f>'Demande Format Medpro'!C78</f>
        <v>3.5590000000000002</v>
      </c>
      <c r="D80" s="193">
        <f>'Demande Format Medpro'!D78</f>
        <v>3.3717999999999999</v>
      </c>
      <c r="E80" s="193">
        <f>'Demande Format Medpro'!E78</f>
        <v>3.2555000000000001</v>
      </c>
      <c r="F80" s="193">
        <f>'Demande Format Medpro'!F78</f>
        <v>3.1358000000000001</v>
      </c>
      <c r="G80" s="193">
        <f>'Demande Format Medpro'!G78</f>
        <v>2.6781000000000001</v>
      </c>
      <c r="H80" s="193">
        <f>'Demande Format Medpro'!H78</f>
        <v>-3.0225071119895301E-2</v>
      </c>
      <c r="I80" s="193">
        <f>'Demande Format Medpro'!I78</f>
        <v>-1.07483947517197E-2</v>
      </c>
      <c r="J80" s="193">
        <f>'Demande Format Medpro'!J78</f>
        <v>-6.9955867049572599E-3</v>
      </c>
      <c r="K80" s="193">
        <f>'Demande Format Medpro'!K78</f>
        <v>-7.4643123627513601E-3</v>
      </c>
      <c r="L80" s="193">
        <f>'Demande Format Medpro'!L78</f>
        <v>-7.8578016443847706E-3</v>
      </c>
      <c r="N80" s="201"/>
      <c r="O80" s="201"/>
      <c r="P80" s="201"/>
      <c r="Q80" s="201"/>
      <c r="R80" s="201"/>
      <c r="S80" s="201"/>
    </row>
    <row r="81" spans="1:19">
      <c r="A81" s="202" t="s">
        <v>113</v>
      </c>
      <c r="B81" s="193">
        <f>'Demande Format Medpro'!B79</f>
        <v>0.2205</v>
      </c>
      <c r="C81" s="193">
        <f>'Demande Format Medpro'!C79</f>
        <v>8.9899999999999994E-2</v>
      </c>
      <c r="D81" s="193">
        <f>'Demande Format Medpro'!D79</f>
        <v>8.9899999999999994E-2</v>
      </c>
      <c r="E81" s="193">
        <f>'Demande Format Medpro'!E79</f>
        <v>8.9899999999999994E-2</v>
      </c>
      <c r="F81" s="193">
        <f>'Demande Format Medpro'!F79</f>
        <v>8.9899999999999994E-2</v>
      </c>
      <c r="G81" s="193">
        <f>'Demande Format Medpro'!G79</f>
        <v>7.8200000000000006E-2</v>
      </c>
      <c r="H81" s="193">
        <f>'Demande Format Medpro'!H79</f>
        <v>-5.8059638475916601E-2</v>
      </c>
      <c r="I81" s="193">
        <f>'Demande Format Medpro'!I79</f>
        <v>0</v>
      </c>
      <c r="J81" s="193">
        <f>'Demande Format Medpro'!J79</f>
        <v>0</v>
      </c>
      <c r="K81" s="193">
        <f>'Demande Format Medpro'!K79</f>
        <v>0</v>
      </c>
      <c r="L81" s="193">
        <f>'Demande Format Medpro'!L79</f>
        <v>-6.9471707557837697E-3</v>
      </c>
      <c r="N81" s="201"/>
      <c r="O81" s="201"/>
      <c r="P81" s="201"/>
      <c r="Q81" s="201"/>
      <c r="R81" s="201"/>
      <c r="S81" s="201"/>
    </row>
    <row r="82" spans="1:19">
      <c r="A82" s="199" t="s">
        <v>114</v>
      </c>
      <c r="B82" s="193">
        <f>'Demande Format Medpro'!B80</f>
        <v>7.4539</v>
      </c>
      <c r="C82" s="193">
        <f>'Demande Format Medpro'!C80</f>
        <v>6.0538999999999996</v>
      </c>
      <c r="D82" s="193">
        <f>'Demande Format Medpro'!D80</f>
        <v>6.1731999999999996</v>
      </c>
      <c r="E82" s="193">
        <f>'Demande Format Medpro'!E80</f>
        <v>6.2305000000000001</v>
      </c>
      <c r="F82" s="193">
        <f>'Demande Format Medpro'!F80</f>
        <v>6.2789000000000001</v>
      </c>
      <c r="G82" s="193">
        <f>'Demande Format Medpro'!G80</f>
        <v>7.0663</v>
      </c>
      <c r="H82" s="193">
        <f>'Demande Format Medpro'!H80</f>
        <v>-1.37732483054394E-2</v>
      </c>
      <c r="I82" s="193">
        <f>'Demande Format Medpro'!I80</f>
        <v>3.9105562666561502E-3</v>
      </c>
      <c r="J82" s="193">
        <f>'Demande Format Medpro'!J80</f>
        <v>1.84955719605462E-3</v>
      </c>
      <c r="K82" s="193">
        <f>'Demande Format Medpro'!K80</f>
        <v>1.5488421191765E-3</v>
      </c>
      <c r="L82" s="193">
        <f>'Demande Format Medpro'!L80</f>
        <v>5.9245913269441201E-3</v>
      </c>
      <c r="N82" s="201"/>
      <c r="O82" s="201"/>
      <c r="P82" s="201"/>
      <c r="Q82" s="201"/>
      <c r="R82" s="201"/>
      <c r="S82" s="201"/>
    </row>
    <row r="83" spans="1:19">
      <c r="A83" s="202" t="s">
        <v>115</v>
      </c>
      <c r="B83" s="193">
        <f>'Demande Format Medpro'!B81</f>
        <v>0.56010000000000004</v>
      </c>
      <c r="C83" s="193">
        <f>'Demande Format Medpro'!C81</f>
        <v>0.41789999999999999</v>
      </c>
      <c r="D83" s="193">
        <f>'Demande Format Medpro'!D81</f>
        <v>0.40710000000000002</v>
      </c>
      <c r="E83" s="193">
        <f>'Demande Format Medpro'!E81</f>
        <v>0.39639999999999997</v>
      </c>
      <c r="F83" s="193">
        <f>'Demande Format Medpro'!F81</f>
        <v>0.38569999999999999</v>
      </c>
      <c r="G83" s="193">
        <f>'Demande Format Medpro'!G81</f>
        <v>0.37719999999999998</v>
      </c>
      <c r="H83" s="193">
        <f>'Demande Format Medpro'!H81</f>
        <v>-1.9335502070624101E-2</v>
      </c>
      <c r="I83" s="193">
        <f>'Demande Format Medpro'!I81</f>
        <v>-5.2229753729545799E-3</v>
      </c>
      <c r="J83" s="193">
        <f>'Demande Format Medpro'!J81</f>
        <v>-5.3128472502146397E-3</v>
      </c>
      <c r="K83" s="193">
        <f>'Demande Format Medpro'!K81</f>
        <v>-5.4578390293750197E-3</v>
      </c>
      <c r="L83" s="193">
        <f>'Demande Format Medpro'!L81</f>
        <v>-1.1135952148868501E-3</v>
      </c>
      <c r="N83" s="201"/>
      <c r="O83" s="201"/>
      <c r="P83" s="201"/>
      <c r="Q83" s="201"/>
      <c r="R83" s="201"/>
      <c r="S83" s="201"/>
    </row>
    <row r="84" spans="1:19">
      <c r="A84" s="202" t="s">
        <v>116</v>
      </c>
      <c r="B84" s="193">
        <f>'Demande Format Medpro'!B82</f>
        <v>4.3108000000000004</v>
      </c>
      <c r="C84" s="193">
        <f>'Demande Format Medpro'!C82</f>
        <v>3.5078999999999998</v>
      </c>
      <c r="D84" s="193">
        <f>'Demande Format Medpro'!D82</f>
        <v>3.4723000000000002</v>
      </c>
      <c r="E84" s="193">
        <f>'Demande Format Medpro'!E82</f>
        <v>3.4371</v>
      </c>
      <c r="F84" s="193">
        <f>'Demande Format Medpro'!F82</f>
        <v>3.4016000000000002</v>
      </c>
      <c r="G84" s="193">
        <f>'Demande Format Medpro'!G82</f>
        <v>3.3660000000000001</v>
      </c>
      <c r="H84" s="193">
        <f>'Demande Format Medpro'!H82</f>
        <v>-1.3646427238164199E-2</v>
      </c>
      <c r="I84" s="193">
        <f>'Demande Format Medpro'!I82</f>
        <v>-2.0379943111109599E-3</v>
      </c>
      <c r="J84" s="193">
        <f>'Demande Format Medpro'!J82</f>
        <v>-2.03574625402381E-3</v>
      </c>
      <c r="K84" s="193">
        <f>'Demande Format Medpro'!K82</f>
        <v>-2.0742823807102799E-3</v>
      </c>
      <c r="L84" s="193">
        <f>'Demande Format Medpro'!L82</f>
        <v>-5.2590233470839497E-4</v>
      </c>
      <c r="N84" s="201"/>
      <c r="O84" s="201"/>
      <c r="P84" s="201"/>
      <c r="Q84" s="201"/>
      <c r="R84" s="201"/>
      <c r="S84" s="201"/>
    </row>
    <row r="85" spans="1:19">
      <c r="A85" s="202" t="s">
        <v>117</v>
      </c>
      <c r="B85" s="193">
        <f>'Demande Format Medpro'!B83</f>
        <v>0</v>
      </c>
      <c r="C85" s="193">
        <f>'Demande Format Medpro'!C83</f>
        <v>0</v>
      </c>
      <c r="D85" s="193">
        <f>'Demande Format Medpro'!D83</f>
        <v>0</v>
      </c>
      <c r="E85" s="193">
        <f>'Demande Format Medpro'!E83</f>
        <v>0</v>
      </c>
      <c r="F85" s="193">
        <f>'Demande Format Medpro'!F83</f>
        <v>0</v>
      </c>
      <c r="G85" s="193">
        <f>'Demande Format Medpro'!G83</f>
        <v>0</v>
      </c>
      <c r="H85" s="193" t="e">
        <f>'Demande Format Medpro'!H83</f>
        <v>#DIV/0!</v>
      </c>
      <c r="I85" s="193" t="e">
        <f>'Demande Format Medpro'!I83</f>
        <v>#DIV/0!</v>
      </c>
      <c r="J85" s="193" t="e">
        <f>'Demande Format Medpro'!J83</f>
        <v>#DIV/0!</v>
      </c>
      <c r="K85" s="193" t="e">
        <f>'Demande Format Medpro'!K83</f>
        <v>#DIV/0!</v>
      </c>
      <c r="L85" s="193" t="e">
        <f>'Demande Format Medpro'!L83</f>
        <v>#DIV/0!</v>
      </c>
      <c r="N85" s="201"/>
      <c r="O85" s="201"/>
      <c r="P85" s="201"/>
      <c r="Q85" s="201"/>
      <c r="R85" s="201"/>
      <c r="S85" s="201"/>
    </row>
    <row r="86" spans="1:19">
      <c r="A86" s="199" t="s">
        <v>118</v>
      </c>
      <c r="B86" s="193">
        <f>'Demande Format Medpro'!B84</f>
        <v>3.6520000000000001</v>
      </c>
      <c r="C86" s="193">
        <f>'Demande Format Medpro'!C84</f>
        <v>2.6435</v>
      </c>
      <c r="D86" s="193">
        <f>'Demande Format Medpro'!D84</f>
        <v>2.7433000000000001</v>
      </c>
      <c r="E86" s="193">
        <f>'Demande Format Medpro'!E84</f>
        <v>2.7486000000000002</v>
      </c>
      <c r="F86" s="193">
        <f>'Demande Format Medpro'!F84</f>
        <v>2.8064</v>
      </c>
      <c r="G86" s="193">
        <f>'Demande Format Medpro'!G84</f>
        <v>2.9599000000000002</v>
      </c>
      <c r="H86" s="193">
        <f>'Demande Format Medpro'!H84</f>
        <v>-2.1314314216928198E-2</v>
      </c>
      <c r="I86" s="193">
        <f>'Demande Format Medpro'!I84</f>
        <v>7.4390892762887803E-3</v>
      </c>
      <c r="J86" s="193">
        <f>'Demande Format Medpro'!J84</f>
        <v>3.8609768850328402E-4</v>
      </c>
      <c r="K86" s="193">
        <f>'Demande Format Medpro'!K84</f>
        <v>4.17084025586023E-3</v>
      </c>
      <c r="L86" s="193">
        <f>'Demande Format Medpro'!L84</f>
        <v>2.6661960349014802E-3</v>
      </c>
      <c r="N86" s="201"/>
      <c r="O86" s="201"/>
      <c r="P86" s="201"/>
      <c r="Q86" s="201"/>
      <c r="R86" s="201"/>
      <c r="S86" s="201"/>
    </row>
    <row r="87" spans="1:19">
      <c r="A87" s="202" t="s">
        <v>119</v>
      </c>
      <c r="B87" s="193">
        <f>'Demande Format Medpro'!B85</f>
        <v>1.4896</v>
      </c>
      <c r="C87" s="193">
        <f>'Demande Format Medpro'!C85</f>
        <v>1.1833</v>
      </c>
      <c r="D87" s="193">
        <f>'Demande Format Medpro'!D85</f>
        <v>1.2706</v>
      </c>
      <c r="E87" s="193">
        <f>'Demande Format Medpro'!E85</f>
        <v>1.2706</v>
      </c>
      <c r="F87" s="193">
        <f>'Demande Format Medpro'!F85</f>
        <v>1.2705</v>
      </c>
      <c r="G87" s="193">
        <f>'Demande Format Medpro'!G85</f>
        <v>1.1798</v>
      </c>
      <c r="H87" s="193">
        <f>'Demande Format Medpro'!H85</f>
        <v>-1.5229538334533801E-2</v>
      </c>
      <c r="I87" s="193">
        <f>'Demande Format Medpro'!I85</f>
        <v>1.4338237283377801E-2</v>
      </c>
      <c r="J87" s="193">
        <f>'Demande Format Medpro'!J85</f>
        <v>0</v>
      </c>
      <c r="K87" s="193">
        <f>'Demande Format Medpro'!K85</f>
        <v>-1.5741090550580601E-5</v>
      </c>
      <c r="L87" s="193">
        <f>'Demande Format Medpro'!L85</f>
        <v>-3.6964308766183102E-3</v>
      </c>
      <c r="N87" s="201"/>
      <c r="O87" s="201"/>
      <c r="P87" s="201"/>
      <c r="Q87" s="201"/>
      <c r="R87" s="201"/>
      <c r="S87" s="201"/>
    </row>
    <row r="88" spans="1:19">
      <c r="A88" s="202" t="s">
        <v>120</v>
      </c>
      <c r="B88" s="193">
        <f>'Demande Format Medpro'!B86</f>
        <v>1.1727000000000001</v>
      </c>
      <c r="C88" s="193">
        <f>'Demande Format Medpro'!C86</f>
        <v>0.98470000000000002</v>
      </c>
      <c r="D88" s="193">
        <f>'Demande Format Medpro'!D86</f>
        <v>0.95599999999999996</v>
      </c>
      <c r="E88" s="193">
        <f>'Demande Format Medpro'!E86</f>
        <v>0.89870000000000005</v>
      </c>
      <c r="F88" s="193">
        <f>'Demande Format Medpro'!F86</f>
        <v>0.89870000000000005</v>
      </c>
      <c r="G88" s="193">
        <f>'Demande Format Medpro'!G86</f>
        <v>0.77249999999999996</v>
      </c>
      <c r="H88" s="193">
        <f>'Demande Format Medpro'!H86</f>
        <v>-1.15808882576653E-2</v>
      </c>
      <c r="I88" s="193">
        <f>'Demande Format Medpro'!I86</f>
        <v>-5.8983586167073998E-3</v>
      </c>
      <c r="J88" s="193">
        <f>'Demande Format Medpro'!J86</f>
        <v>-1.2285635388609301E-2</v>
      </c>
      <c r="K88" s="193">
        <f>'Demande Format Medpro'!K86</f>
        <v>0</v>
      </c>
      <c r="L88" s="193">
        <f>'Demande Format Medpro'!L86</f>
        <v>-7.53731419582315E-3</v>
      </c>
      <c r="N88" s="201"/>
      <c r="O88" s="201"/>
      <c r="P88" s="201"/>
      <c r="Q88" s="201"/>
      <c r="R88" s="201"/>
      <c r="S88" s="201"/>
    </row>
    <row r="89" spans="1:19">
      <c r="A89" s="199" t="s">
        <v>121</v>
      </c>
      <c r="B89" s="193">
        <f>'Demande Format Medpro'!B87</f>
        <v>3.6766999999999999</v>
      </c>
      <c r="C89" s="193">
        <f>'Demande Format Medpro'!C87</f>
        <v>4.0911</v>
      </c>
      <c r="D89" s="193">
        <f>'Demande Format Medpro'!D87</f>
        <v>4.1436999999999999</v>
      </c>
      <c r="E89" s="193">
        <f>'Demande Format Medpro'!E87</f>
        <v>4.1585999999999999</v>
      </c>
      <c r="F89" s="193">
        <f>'Demande Format Medpro'!F87</f>
        <v>4.1642000000000001</v>
      </c>
      <c r="G89" s="193">
        <f>'Demande Format Medpro'!G87</f>
        <v>4.9579000000000004</v>
      </c>
      <c r="H89" s="193">
        <f>'Demande Format Medpro'!H87</f>
        <v>7.1452914287142297E-3</v>
      </c>
      <c r="I89" s="193">
        <f>'Demande Format Medpro'!I87</f>
        <v>2.5583121026373501E-3</v>
      </c>
      <c r="J89" s="193">
        <f>'Demande Format Medpro'!J87</f>
        <v>7.1813186442937205E-4</v>
      </c>
      <c r="K89" s="193">
        <f>'Demande Format Medpro'!K87</f>
        <v>2.6917645530222202E-4</v>
      </c>
      <c r="L89" s="193">
        <f>'Demande Format Medpro'!L87</f>
        <v>8.7610595723068806E-3</v>
      </c>
      <c r="N89" s="201"/>
      <c r="O89" s="201"/>
      <c r="P89" s="201"/>
      <c r="Q89" s="201"/>
      <c r="R89" s="201"/>
      <c r="S89" s="201"/>
    </row>
    <row r="90" spans="1:19">
      <c r="A90" s="202" t="s">
        <v>122</v>
      </c>
      <c r="B90" s="193">
        <f>'Demande Format Medpro'!B88</f>
        <v>0.7994</v>
      </c>
      <c r="C90" s="193">
        <f>'Demande Format Medpro'!C88</f>
        <v>0.79079999999999995</v>
      </c>
      <c r="D90" s="193">
        <f>'Demande Format Medpro'!D88</f>
        <v>0.76119999999999999</v>
      </c>
      <c r="E90" s="193">
        <f>'Demande Format Medpro'!E88</f>
        <v>0.73160000000000003</v>
      </c>
      <c r="F90" s="193">
        <f>'Demande Format Medpro'!F88</f>
        <v>0.70209999999999995</v>
      </c>
      <c r="G90" s="193">
        <f>'Demande Format Medpro'!G88</f>
        <v>0.70209999999999995</v>
      </c>
      <c r="H90" s="193">
        <f>'Demande Format Medpro'!H88</f>
        <v>-7.2083040889703298E-4</v>
      </c>
      <c r="I90" s="193">
        <f>'Demande Format Medpro'!I88</f>
        <v>-7.6007582036337097E-3</v>
      </c>
      <c r="J90" s="193">
        <f>'Demande Format Medpro'!J88</f>
        <v>-7.9010649739121898E-3</v>
      </c>
      <c r="K90" s="193">
        <f>'Demande Format Medpro'!K88</f>
        <v>-8.1978275307315104E-3</v>
      </c>
      <c r="L90" s="193">
        <f>'Demande Format Medpro'!L88</f>
        <v>0</v>
      </c>
      <c r="N90" s="201"/>
      <c r="O90" s="201"/>
      <c r="P90" s="201"/>
      <c r="Q90" s="201"/>
      <c r="R90" s="201"/>
      <c r="S90" s="201"/>
    </row>
    <row r="91" spans="1:19">
      <c r="A91" s="199" t="s">
        <v>123</v>
      </c>
      <c r="B91" s="193">
        <f>'Demande Format Medpro'!B89</f>
        <v>2.4811999999999999</v>
      </c>
      <c r="C91" s="193">
        <f>'Demande Format Medpro'!C89</f>
        <v>1.8880999999999999</v>
      </c>
      <c r="D91" s="193">
        <f>'Demande Format Medpro'!D89</f>
        <v>1.9181999999999999</v>
      </c>
      <c r="E91" s="193">
        <f>'Demande Format Medpro'!E89</f>
        <v>1.9128000000000001</v>
      </c>
      <c r="F91" s="193">
        <f>'Demande Format Medpro'!F89</f>
        <v>1.8733</v>
      </c>
      <c r="G91" s="193">
        <f>'Demande Format Medpro'!G89</f>
        <v>2.4579</v>
      </c>
      <c r="H91" s="193">
        <f>'Demande Format Medpro'!H89</f>
        <v>-1.8046592979841101E-2</v>
      </c>
      <c r="I91" s="193">
        <f>'Demande Format Medpro'!I89</f>
        <v>3.16825110977303E-3</v>
      </c>
      <c r="J91" s="193">
        <f>'Demande Format Medpro'!J89</f>
        <v>-5.6366291228771004E-4</v>
      </c>
      <c r="K91" s="193">
        <f>'Demande Format Medpro'!K89</f>
        <v>-4.1646149739722497E-3</v>
      </c>
      <c r="L91" s="193">
        <f>'Demande Format Medpro'!L89</f>
        <v>1.3672918211887101E-2</v>
      </c>
      <c r="N91" s="201"/>
      <c r="O91" s="201"/>
      <c r="P91" s="201"/>
      <c r="Q91" s="201"/>
      <c r="R91" s="201"/>
      <c r="S91" s="201"/>
    </row>
    <row r="92" spans="1:19">
      <c r="A92" s="199" t="s">
        <v>124</v>
      </c>
      <c r="B92" s="193">
        <f>'Demande Format Medpro'!B90</f>
        <v>4.1561000000000003</v>
      </c>
      <c r="C92" s="193">
        <f>'Demande Format Medpro'!C90</f>
        <v>3.4727000000000001</v>
      </c>
      <c r="D92" s="193">
        <f>'Demande Format Medpro'!D90</f>
        <v>3.2130000000000001</v>
      </c>
      <c r="E92" s="193">
        <f>'Demande Format Medpro'!E90</f>
        <v>3.2161</v>
      </c>
      <c r="F92" s="193">
        <f>'Demande Format Medpro'!F90</f>
        <v>3.2155</v>
      </c>
      <c r="G92" s="193">
        <f>'Demande Format Medpro'!G90</f>
        <v>3.3597999999999999</v>
      </c>
      <c r="H92" s="193">
        <f>'Demande Format Medpro'!H90</f>
        <v>-1.19048857107346E-2</v>
      </c>
      <c r="I92" s="193">
        <f>'Demande Format Medpro'!I90</f>
        <v>-1.54252548544122E-2</v>
      </c>
      <c r="J92" s="193">
        <f>'Demande Format Medpro'!J90</f>
        <v>1.9289164658897699E-4</v>
      </c>
      <c r="K92" s="193">
        <f>'Demande Format Medpro'!K90</f>
        <v>-3.7315057351383602E-5</v>
      </c>
      <c r="L92" s="193">
        <f>'Demande Format Medpro'!L90</f>
        <v>2.19733971030589E-3</v>
      </c>
      <c r="N92" s="201"/>
      <c r="O92" s="201"/>
      <c r="P92" s="201"/>
      <c r="Q92" s="201"/>
      <c r="R92" s="201"/>
      <c r="S92" s="201"/>
    </row>
    <row r="93" spans="1:19">
      <c r="A93" s="202" t="s">
        <v>125</v>
      </c>
      <c r="B93" s="193">
        <f>'Demande Format Medpro'!B91</f>
        <v>2.7366000000000001</v>
      </c>
      <c r="C93" s="193">
        <f>'Demande Format Medpro'!C91</f>
        <v>2.4272999999999998</v>
      </c>
      <c r="D93" s="193">
        <f>'Demande Format Medpro'!D91</f>
        <v>2.1516000000000002</v>
      </c>
      <c r="E93" s="193">
        <f>'Demande Format Medpro'!E91</f>
        <v>2.1516000000000002</v>
      </c>
      <c r="F93" s="193">
        <f>'Demande Format Medpro'!F91</f>
        <v>2.1516000000000002</v>
      </c>
      <c r="G93" s="193">
        <f>'Demande Format Medpro'!G91</f>
        <v>2.1516000000000002</v>
      </c>
      <c r="H93" s="193">
        <f>'Demande Format Medpro'!H91</f>
        <v>-7.9639017862079796E-3</v>
      </c>
      <c r="I93" s="193">
        <f>'Demande Format Medpro'!I91</f>
        <v>-2.3825146478264701E-2</v>
      </c>
      <c r="J93" s="193">
        <f>'Demande Format Medpro'!J91</f>
        <v>0</v>
      </c>
      <c r="K93" s="193">
        <f>'Demande Format Medpro'!K91</f>
        <v>0</v>
      </c>
      <c r="L93" s="193">
        <f>'Demande Format Medpro'!L91</f>
        <v>0</v>
      </c>
      <c r="N93" s="201"/>
      <c r="O93" s="201"/>
      <c r="P93" s="201"/>
      <c r="Q93" s="201"/>
      <c r="R93" s="201"/>
      <c r="S93" s="201"/>
    </row>
    <row r="94" spans="1:19">
      <c r="A94" s="178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</row>
    <row r="95" spans="1:19">
      <c r="A95" s="178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</row>
    <row r="96" spans="1:19" ht="15" thickBot="1">
      <c r="A96" s="181" t="s">
        <v>10</v>
      </c>
      <c r="B96" s="575">
        <f>'Demande Format Medpro'!B94</f>
        <v>27.5228</v>
      </c>
      <c r="C96" s="182">
        <f>'Demande Format Medpro'!C94</f>
        <v>21.892399999999999</v>
      </c>
      <c r="D96" s="182">
        <f>'Demande Format Medpro'!D94</f>
        <v>21.755700000000001</v>
      </c>
      <c r="E96" s="182">
        <f>'Demande Format Medpro'!E94</f>
        <v>21.723600000000001</v>
      </c>
      <c r="F96" s="182">
        <f>'Demande Format Medpro'!F94</f>
        <v>21.683199999999999</v>
      </c>
      <c r="G96" s="182">
        <f>'Demande Format Medpro'!G94</f>
        <v>23.712399999999999</v>
      </c>
      <c r="H96" s="182">
        <f>'Demande Format Medpro'!H94</f>
        <v>-1.5142528399887599E-2</v>
      </c>
      <c r="I96" s="182">
        <f>'Demande Format Medpro'!I94</f>
        <v>-1.25196612833756E-3</v>
      </c>
      <c r="J96" s="182">
        <f>'Demande Format Medpro'!J94</f>
        <v>-2.9526939508450799E-4</v>
      </c>
      <c r="K96" s="182">
        <f>'Demande Format Medpro'!K94</f>
        <v>-3.7222271439563099E-4</v>
      </c>
      <c r="L96" s="182">
        <f>'Demande Format Medpro'!L94</f>
        <v>4.4830364212027404E-3</v>
      </c>
    </row>
    <row r="97" spans="1:12" ht="15" thickBot="1">
      <c r="A97" s="183"/>
      <c r="E97" s="170"/>
    </row>
    <row r="98" spans="1:12" ht="15" thickBot="1">
      <c r="A98" s="204" t="s">
        <v>126</v>
      </c>
      <c r="B98" s="205">
        <f>'Demande Format Medpro'!B96</f>
        <v>16.929500000000001</v>
      </c>
      <c r="C98" s="205">
        <f>'Demande Format Medpro'!C96</f>
        <v>12.960800000000001</v>
      </c>
      <c r="D98" s="205">
        <f>'Demande Format Medpro'!D96</f>
        <v>12.480499999999999</v>
      </c>
      <c r="E98" s="205">
        <f>'Demande Format Medpro'!E96</f>
        <v>12.231400000000001</v>
      </c>
      <c r="F98" s="205">
        <f>'Demande Format Medpro'!F96</f>
        <v>12.0359</v>
      </c>
      <c r="G98" s="205">
        <f>'Demande Format Medpro'!G96</f>
        <v>11.3055</v>
      </c>
      <c r="H98" s="205">
        <f>'Demande Format Medpro'!H96</f>
        <v>-1.76509145787325E-2</v>
      </c>
      <c r="I98" s="205">
        <f>'Demande Format Medpro'!I96</f>
        <v>-7.5239505361731603E-3</v>
      </c>
      <c r="J98" s="205">
        <f>'Demande Format Medpro'!J96</f>
        <v>-4.0240836855555103E-3</v>
      </c>
      <c r="K98" s="205">
        <f>'Demande Format Medpro'!K96</f>
        <v>-3.2173263637790299E-3</v>
      </c>
      <c r="L98" s="205">
        <f>'Demande Format Medpro'!L96</f>
        <v>-3.1253318186170698E-3</v>
      </c>
    </row>
    <row r="99" spans="1:12">
      <c r="A99" s="206"/>
      <c r="B99" s="207"/>
      <c r="C99" s="207"/>
      <c r="D99" s="207"/>
      <c r="E99" s="207"/>
      <c r="F99" s="207"/>
      <c r="G99" s="207"/>
      <c r="H99" s="196"/>
      <c r="I99" s="196"/>
      <c r="J99" s="196"/>
      <c r="K99" s="196"/>
      <c r="L99" s="196"/>
    </row>
    <row r="100" spans="1:12">
      <c r="F100" s="169"/>
    </row>
    <row r="101" spans="1:12" ht="16" thickBot="1">
      <c r="A101" s="90" t="s">
        <v>130</v>
      </c>
      <c r="B101" s="81"/>
      <c r="C101" s="81"/>
      <c r="D101" s="81"/>
      <c r="E101" s="81"/>
      <c r="F101" s="81"/>
      <c r="G101" s="80"/>
      <c r="H101" s="80"/>
      <c r="I101" s="80"/>
      <c r="J101" s="80"/>
      <c r="K101" s="80"/>
      <c r="L101" s="80"/>
    </row>
    <row r="102" spans="1:12" ht="15" thickBot="1">
      <c r="A102" s="176"/>
      <c r="B102" s="177">
        <v>2000</v>
      </c>
      <c r="C102" s="177">
        <v>2015</v>
      </c>
      <c r="D102" s="177">
        <v>2020</v>
      </c>
      <c r="E102" s="177">
        <v>2025</v>
      </c>
      <c r="F102" s="177">
        <v>2030</v>
      </c>
      <c r="G102" s="177">
        <v>2050</v>
      </c>
      <c r="H102" s="185" t="s">
        <v>98</v>
      </c>
      <c r="I102" s="186" t="s">
        <v>99</v>
      </c>
      <c r="J102" s="186" t="s">
        <v>100</v>
      </c>
      <c r="K102" s="186" t="s">
        <v>101</v>
      </c>
      <c r="L102" s="187" t="s">
        <v>102</v>
      </c>
    </row>
    <row r="103" spans="1:12" ht="15" thickBot="1">
      <c r="A103" s="181" t="s">
        <v>131</v>
      </c>
      <c r="B103" s="210">
        <f>'Demande Format Medpro'!B101</f>
        <v>0.14861332923950199</v>
      </c>
      <c r="C103" s="210">
        <f>'Demande Format Medpro'!C101</f>
        <v>0.110941580597999</v>
      </c>
      <c r="D103" s="210">
        <f>'Demande Format Medpro'!D101</f>
        <v>0.10396332292291301</v>
      </c>
      <c r="E103" s="210">
        <f>'Demande Format Medpro'!E101</f>
        <v>9.9385626244271399E-2</v>
      </c>
      <c r="F103" s="210">
        <f>'Demande Format Medpro'!F101</f>
        <v>9.4579979036345102E-2</v>
      </c>
      <c r="G103" s="210">
        <f>'Demande Format Medpro'!G101</f>
        <v>8.2360372895128306E-2</v>
      </c>
      <c r="H103" s="210">
        <f>'Demande Format Medpro'!H101</f>
        <v>-1.9300909856419E-2</v>
      </c>
      <c r="I103" s="210">
        <f>'Demande Format Medpro'!I101</f>
        <v>-1.29090716677155E-2</v>
      </c>
      <c r="J103" s="210">
        <f>'Demande Format Medpro'!J101</f>
        <v>-8.9657011857309198E-3</v>
      </c>
      <c r="K103" s="210">
        <f>'Demande Format Medpro'!K101</f>
        <v>-9.8633712034121909E-3</v>
      </c>
      <c r="L103" s="210">
        <f>'Demande Format Medpro'!L101</f>
        <v>-6.8932024225259996E-3</v>
      </c>
    </row>
    <row r="104" spans="1:12">
      <c r="A104" s="211"/>
      <c r="F104" s="169"/>
    </row>
    <row r="105" spans="1:12">
      <c r="F105" s="169"/>
    </row>
    <row r="106" spans="1:12" ht="21">
      <c r="A106" s="78" t="s">
        <v>132</v>
      </c>
      <c r="B106" s="73"/>
      <c r="C106" s="73"/>
      <c r="D106" s="73"/>
      <c r="E106" s="73"/>
      <c r="F106" s="73"/>
      <c r="G106" s="212"/>
      <c r="H106" s="212"/>
      <c r="I106" s="212"/>
      <c r="J106" s="212"/>
      <c r="K106" s="212"/>
      <c r="L106" s="212"/>
    </row>
    <row r="107" spans="1:12">
      <c r="F107" s="169"/>
    </row>
    <row r="108" spans="1:12" ht="16" thickBot="1">
      <c r="A108" s="90" t="s">
        <v>133</v>
      </c>
      <c r="B108" s="81"/>
      <c r="C108" s="81"/>
      <c r="D108" s="81"/>
      <c r="E108" s="81"/>
      <c r="F108" s="81"/>
      <c r="G108" s="80"/>
      <c r="H108" s="80"/>
      <c r="I108" s="80"/>
      <c r="J108" s="80"/>
      <c r="K108" s="80"/>
      <c r="L108" s="80"/>
    </row>
    <row r="109" spans="1:12" ht="15" thickBot="1">
      <c r="A109" s="176" t="s">
        <v>51</v>
      </c>
      <c r="B109" s="177">
        <v>2000</v>
      </c>
      <c r="C109" s="177">
        <v>2015</v>
      </c>
      <c r="D109" s="177">
        <v>2020</v>
      </c>
      <c r="E109" s="177">
        <v>2025</v>
      </c>
      <c r="F109" s="177">
        <v>2030</v>
      </c>
      <c r="G109" s="177">
        <v>2050</v>
      </c>
      <c r="H109" s="185" t="s">
        <v>98</v>
      </c>
      <c r="I109" s="186" t="s">
        <v>99</v>
      </c>
      <c r="J109" s="186" t="s">
        <v>100</v>
      </c>
      <c r="K109" s="186" t="s">
        <v>101</v>
      </c>
      <c r="L109" s="187" t="s">
        <v>102</v>
      </c>
    </row>
    <row r="110" spans="1:12">
      <c r="A110" s="178" t="s">
        <v>103</v>
      </c>
      <c r="B110" s="179">
        <f>'Demande Format Medpro'!B108</f>
        <v>9.0759000000000007</v>
      </c>
      <c r="C110" s="179">
        <f>'Demande Format Medpro'!C108</f>
        <v>6.5214999999999996</v>
      </c>
      <c r="D110" s="179">
        <f>'Demande Format Medpro'!D108</f>
        <v>5.1642000000000001</v>
      </c>
      <c r="E110" s="179">
        <f>'Demande Format Medpro'!E108</f>
        <v>4.3639999999999999</v>
      </c>
      <c r="F110" s="179">
        <f>'Demande Format Medpro'!F108</f>
        <v>3.6859000000000002</v>
      </c>
      <c r="G110" s="179">
        <f>'Demande Format Medpro'!G108</f>
        <v>2.8035000000000001</v>
      </c>
      <c r="H110" s="179">
        <f>'Demande Format Medpro'!H108</f>
        <v>-2.17935552584426E-2</v>
      </c>
      <c r="I110" s="179">
        <f>'Demande Format Medpro'!I108</f>
        <v>-4.5598505014204697E-2</v>
      </c>
      <c r="J110" s="179">
        <f>'Demande Format Medpro'!J108</f>
        <v>-3.3111627186345201E-2</v>
      </c>
      <c r="K110" s="179">
        <f>'Demande Format Medpro'!K108</f>
        <v>-3.3210864451994698E-2</v>
      </c>
      <c r="L110" s="179">
        <f>'Demande Format Medpro'!L108</f>
        <v>-1.35891273449983E-2</v>
      </c>
    </row>
    <row r="111" spans="1:12">
      <c r="A111" s="178" t="s">
        <v>54</v>
      </c>
      <c r="B111" s="179">
        <f>'Demande Format Medpro'!B109</f>
        <v>15.005599999999999</v>
      </c>
      <c r="C111" s="179">
        <f>'Demande Format Medpro'!C109</f>
        <v>14.2493</v>
      </c>
      <c r="D111" s="179">
        <f>'Demande Format Medpro'!D109</f>
        <v>12.052199999999999</v>
      </c>
      <c r="E111" s="179">
        <f>'Demande Format Medpro'!E109</f>
        <v>11.236800000000001</v>
      </c>
      <c r="F111" s="179">
        <f>'Demande Format Medpro'!F109</f>
        <v>10.642799999999999</v>
      </c>
      <c r="G111" s="179">
        <f>'Demande Format Medpro'!G109</f>
        <v>9.4556000000000004</v>
      </c>
      <c r="H111" s="179">
        <f>'Demande Format Medpro'!H109</f>
        <v>-3.44177560248382E-3</v>
      </c>
      <c r="I111" s="179">
        <f>'Demande Format Medpro'!I109</f>
        <v>-3.2937461927411801E-2</v>
      </c>
      <c r="J111" s="179">
        <f>'Demande Format Medpro'!J109</f>
        <v>-1.39129299038766E-2</v>
      </c>
      <c r="K111" s="179">
        <f>'Demande Format Medpro'!K109</f>
        <v>-1.0803320256092101E-2</v>
      </c>
      <c r="L111" s="179">
        <f>'Demande Format Medpro'!L109</f>
        <v>-5.8963702023894201E-3</v>
      </c>
    </row>
    <row r="112" spans="1:12">
      <c r="A112" s="178" t="s">
        <v>42</v>
      </c>
      <c r="B112" s="179">
        <f>'Demande Format Medpro'!B110</f>
        <v>0.06</v>
      </c>
      <c r="C112" s="179">
        <f>'Demande Format Medpro'!C110</f>
        <v>8.1900000000000001E-2</v>
      </c>
      <c r="D112" s="179">
        <f>'Demande Format Medpro'!D110</f>
        <v>1.0500000000000001E-2</v>
      </c>
      <c r="E112" s="179">
        <f>'Demande Format Medpro'!E110</f>
        <v>1.2E-2</v>
      </c>
      <c r="F112" s="179">
        <f>'Demande Format Medpro'!F110</f>
        <v>8.8000000000000005E-3</v>
      </c>
      <c r="G112" s="179">
        <f>'Demande Format Medpro'!G110</f>
        <v>7.1000000000000004E-3</v>
      </c>
      <c r="H112" s="179">
        <f>'Demande Format Medpro'!H110</f>
        <v>2.0960273043430001E-2</v>
      </c>
      <c r="I112" s="179">
        <f>'Demande Format Medpro'!I110</f>
        <v>-0.33689686759559401</v>
      </c>
      <c r="J112" s="179">
        <f>'Demande Format Medpro'!J110</f>
        <v>2.7066087089351799E-2</v>
      </c>
      <c r="K112" s="179">
        <f>'Demande Format Medpro'!K110</f>
        <v>-6.0146235650011301E-2</v>
      </c>
      <c r="L112" s="179">
        <f>'Demande Format Medpro'!L110</f>
        <v>-1.0675455379070199E-2</v>
      </c>
    </row>
    <row r="113" spans="1:12">
      <c r="A113" s="178" t="s">
        <v>104</v>
      </c>
      <c r="B113" s="179">
        <f>'Demande Format Medpro'!B111</f>
        <v>10.5669</v>
      </c>
      <c r="C113" s="179">
        <f>'Demande Format Medpro'!C111</f>
        <v>12.6416</v>
      </c>
      <c r="D113" s="179">
        <f>'Demande Format Medpro'!D111</f>
        <v>12.3057</v>
      </c>
      <c r="E113" s="179">
        <f>'Demande Format Medpro'!E111</f>
        <v>12.1876</v>
      </c>
      <c r="F113" s="179">
        <f>'Demande Format Medpro'!F111</f>
        <v>12.1678</v>
      </c>
      <c r="G113" s="179">
        <f>'Demande Format Medpro'!G111</f>
        <v>12.6196</v>
      </c>
      <c r="H113" s="179">
        <f>'Demande Format Medpro'!H111</f>
        <v>1.20227989987569E-2</v>
      </c>
      <c r="I113" s="179">
        <f>'Demande Format Medpro'!I111</f>
        <v>-5.3715997482802801E-3</v>
      </c>
      <c r="J113" s="179">
        <f>'Demande Format Medpro'!J111</f>
        <v>-1.9268468925702799E-3</v>
      </c>
      <c r="K113" s="179">
        <f>'Demande Format Medpro'!K111</f>
        <v>-3.2513176350812401E-4</v>
      </c>
      <c r="L113" s="179">
        <f>'Demande Format Medpro'!L111</f>
        <v>1.8245646272585501E-3</v>
      </c>
    </row>
    <row r="114" spans="1:12">
      <c r="A114" s="178" t="s">
        <v>105</v>
      </c>
      <c r="B114" s="179">
        <f>'Demande Format Medpro'!B112</f>
        <v>1.752</v>
      </c>
      <c r="C114" s="179">
        <f>'Demande Format Medpro'!C112</f>
        <v>1.3252999999999999</v>
      </c>
      <c r="D114" s="179">
        <f>'Demande Format Medpro'!D112</f>
        <v>1.4417</v>
      </c>
      <c r="E114" s="179">
        <f>'Demande Format Medpro'!E112</f>
        <v>1.4137999999999999</v>
      </c>
      <c r="F114" s="179">
        <f>'Demande Format Medpro'!F112</f>
        <v>1.3756999999999999</v>
      </c>
      <c r="G114" s="179">
        <f>'Demande Format Medpro'!G112</f>
        <v>1.2588999999999999</v>
      </c>
      <c r="H114" s="179">
        <f>'Demande Format Medpro'!H112</f>
        <v>-1.8435884011240002E-2</v>
      </c>
      <c r="I114" s="179">
        <f>'Demande Format Medpro'!I112</f>
        <v>1.69793629604462E-2</v>
      </c>
      <c r="J114" s="179">
        <f>'Demande Format Medpro'!J112</f>
        <v>-3.9007438724438801E-3</v>
      </c>
      <c r="K114" s="179">
        <f>'Demande Format Medpro'!K112</f>
        <v>-5.4487856764971997E-3</v>
      </c>
      <c r="L114" s="179">
        <f>'Demande Format Medpro'!L112</f>
        <v>-4.4263929524347399E-3</v>
      </c>
    </row>
    <row r="115" spans="1:12">
      <c r="A115" s="178" t="s">
        <v>134</v>
      </c>
      <c r="B115" s="179">
        <f>'Demande Format Medpro'!B113</f>
        <v>6.2961</v>
      </c>
      <c r="C115" s="179">
        <f>'Demande Format Medpro'!C113</f>
        <v>6.7679</v>
      </c>
      <c r="D115" s="179">
        <f>'Demande Format Medpro'!D113</f>
        <v>7.2196999999999996</v>
      </c>
      <c r="E115" s="179">
        <f>'Demande Format Medpro'!E113</f>
        <v>7.2439</v>
      </c>
      <c r="F115" s="179">
        <f>'Demande Format Medpro'!F113</f>
        <v>7.2420000000000098</v>
      </c>
      <c r="G115" s="179">
        <f>'Demande Format Medpro'!G113</f>
        <v>6.9114000000000004</v>
      </c>
      <c r="H115" s="179">
        <f>'Demande Format Medpro'!H113</f>
        <v>4.8289856636014603E-3</v>
      </c>
      <c r="I115" s="179">
        <f>'Demande Format Medpro'!I113</f>
        <v>1.30083932829694E-2</v>
      </c>
      <c r="J115" s="179">
        <f>'Demande Format Medpro'!J113</f>
        <v>6.6949092969248501E-4</v>
      </c>
      <c r="K115" s="179">
        <f>'Demande Format Medpro'!K113</f>
        <v>-5.2463434655591903E-5</v>
      </c>
      <c r="L115" s="179">
        <f>'Demande Format Medpro'!L113</f>
        <v>-2.3335325281442802E-3</v>
      </c>
    </row>
    <row r="116" spans="1:12">
      <c r="A116" s="178" t="s">
        <v>135</v>
      </c>
      <c r="B116" s="179">
        <f>'Demande Format Medpro'!B114</f>
        <v>2.0799999999999999E-2</v>
      </c>
      <c r="C116" s="179">
        <f>'Demande Format Medpro'!C114</f>
        <v>8.5300000000000001E-2</v>
      </c>
      <c r="D116" s="179">
        <f>'Demande Format Medpro'!D114</f>
        <v>0.1007</v>
      </c>
      <c r="E116" s="179">
        <f>'Demande Format Medpro'!E114</f>
        <v>0.1164</v>
      </c>
      <c r="F116" s="179">
        <f>'Demande Format Medpro'!F114</f>
        <v>0.1183</v>
      </c>
      <c r="G116" s="179">
        <f>'Demande Format Medpro'!G114</f>
        <v>0.12470000000000001</v>
      </c>
      <c r="H116" s="179">
        <f>'Demande Format Medpro'!H114</f>
        <v>0</v>
      </c>
      <c r="I116" s="179">
        <f>'Demande Format Medpro'!I114</f>
        <v>0</v>
      </c>
      <c r="J116" s="179">
        <f>'Demande Format Medpro'!J114</f>
        <v>0</v>
      </c>
      <c r="K116" s="179">
        <f>'Demande Format Medpro'!K114</f>
        <v>0</v>
      </c>
      <c r="L116" s="179">
        <f>'Demande Format Medpro'!L114</f>
        <v>0</v>
      </c>
    </row>
    <row r="117" spans="1:12">
      <c r="A117" s="178" t="s">
        <v>136</v>
      </c>
      <c r="B117" s="179">
        <f>'Demande Format Medpro'!B115</f>
        <v>0</v>
      </c>
      <c r="C117" s="179">
        <f>'Demande Format Medpro'!C115</f>
        <v>0.420688103993204</v>
      </c>
      <c r="D117" s="179">
        <f>'Demande Format Medpro'!D115</f>
        <v>0.65528600572635798</v>
      </c>
      <c r="E117" s="179">
        <f>'Demande Format Medpro'!E115</f>
        <v>0.85316975623719604</v>
      </c>
      <c r="F117" s="179">
        <f>'Demande Format Medpro'!F115</f>
        <v>1.0269460024889701</v>
      </c>
      <c r="G117" s="179">
        <f>'Demande Format Medpro'!G115</f>
        <v>1.45611201019554</v>
      </c>
      <c r="H117" s="179">
        <f>'Demande Format Medpro'!H115</f>
        <v>0</v>
      </c>
      <c r="I117" s="179">
        <f>'Demande Format Medpro'!I115</f>
        <v>0</v>
      </c>
      <c r="J117" s="179">
        <f>'Demande Format Medpro'!J115</f>
        <v>0</v>
      </c>
      <c r="K117" s="179">
        <f>'Demande Format Medpro'!K115</f>
        <v>0</v>
      </c>
      <c r="L117" s="179">
        <f>'Demande Format Medpro'!L115</f>
        <v>0</v>
      </c>
    </row>
    <row r="118" spans="1:12">
      <c r="A118" s="178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</row>
    <row r="119" spans="1:12" ht="15" thickBot="1">
      <c r="A119" s="213" t="s">
        <v>10</v>
      </c>
      <c r="B119" s="198">
        <f>'Demande Format Medpro'!B117</f>
        <v>42.777299999999997</v>
      </c>
      <c r="C119" s="203">
        <f>'Demande Format Medpro'!C117</f>
        <v>42.093488103993202</v>
      </c>
      <c r="D119" s="203">
        <f>'Demande Format Medpro'!D117</f>
        <v>38.949986005726402</v>
      </c>
      <c r="E119" s="203">
        <f>'Demande Format Medpro'!E117</f>
        <v>37.427669756237201</v>
      </c>
      <c r="F119" s="203">
        <f>'Demande Format Medpro'!F117</f>
        <v>36.268246002489001</v>
      </c>
      <c r="G119" s="203">
        <f>'Demande Format Medpro'!G117</f>
        <v>34.636912010195502</v>
      </c>
      <c r="H119" s="203">
        <f>'Demande Format Medpro'!H117</f>
        <v>-1.0737255569641701E-3</v>
      </c>
      <c r="I119" s="203">
        <f>'Demande Format Medpro'!I117</f>
        <v>-1.54030681153818E-2</v>
      </c>
      <c r="J119" s="203">
        <f>'Demande Format Medpro'!J117</f>
        <v>-7.9419247568907093E-3</v>
      </c>
      <c r="K119" s="203">
        <f>'Demande Format Medpro'!K117</f>
        <v>-6.27377144735408E-3</v>
      </c>
      <c r="L119" s="203">
        <f>'Demande Format Medpro'!L117</f>
        <v>-2.2984873308317102E-3</v>
      </c>
    </row>
    <row r="120" spans="1:12">
      <c r="A120" s="183"/>
      <c r="B120" s="170"/>
      <c r="C120" s="170"/>
      <c r="D120" s="170"/>
      <c r="E120" s="170"/>
    </row>
    <row r="121" spans="1:12">
      <c r="B121" s="170"/>
      <c r="C121" s="170"/>
      <c r="D121" s="170"/>
      <c r="E121" s="170"/>
    </row>
    <row r="122" spans="1:12" ht="16" thickBot="1">
      <c r="A122" s="90" t="s">
        <v>137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</row>
    <row r="123" spans="1:12" ht="15" thickBot="1">
      <c r="A123" s="176" t="s">
        <v>51</v>
      </c>
      <c r="B123" s="177">
        <v>2000</v>
      </c>
      <c r="C123" s="177">
        <v>2015</v>
      </c>
      <c r="D123" s="177">
        <v>2020</v>
      </c>
      <c r="E123" s="177">
        <v>2025</v>
      </c>
      <c r="F123" s="177">
        <v>2030</v>
      </c>
      <c r="G123" s="177">
        <v>2050</v>
      </c>
      <c r="H123" s="185" t="s">
        <v>98</v>
      </c>
      <c r="I123" s="186" t="s">
        <v>99</v>
      </c>
      <c r="J123" s="186" t="s">
        <v>100</v>
      </c>
      <c r="K123" s="186" t="s">
        <v>101</v>
      </c>
      <c r="L123" s="187" t="s">
        <v>102</v>
      </c>
    </row>
    <row r="124" spans="1:12">
      <c r="A124" s="178" t="s">
        <v>138</v>
      </c>
      <c r="B124" s="179">
        <f>'Demande Format Medpro'!B122</f>
        <v>30.922000000000001</v>
      </c>
      <c r="C124" s="179">
        <f>'Demande Format Medpro'!C122</f>
        <v>28.023920309676601</v>
      </c>
      <c r="D124" s="179">
        <f>'Demande Format Medpro'!D122</f>
        <v>24.912528596675799</v>
      </c>
      <c r="E124" s="179">
        <f>'Demande Format Medpro'!E122</f>
        <v>23.5361416462416</v>
      </c>
      <c r="F124" s="179">
        <f>'Demande Format Medpro'!F122</f>
        <v>22.5010829799809</v>
      </c>
      <c r="G124" s="179">
        <f>'Demande Format Medpro'!G122</f>
        <v>20.207454330937399</v>
      </c>
      <c r="H124" s="179">
        <f>'Demande Format Medpro'!H122</f>
        <v>-6.5391568771049303E-3</v>
      </c>
      <c r="I124" s="179">
        <f>'Demande Format Medpro'!I122</f>
        <v>-2.32626749266578E-2</v>
      </c>
      <c r="J124" s="179">
        <f>'Demande Format Medpro'!J122</f>
        <v>-1.1302373056406001E-2</v>
      </c>
      <c r="K124" s="179">
        <f>'Demande Format Medpro'!K122</f>
        <v>-8.9544165915632599E-3</v>
      </c>
      <c r="L124" s="179">
        <f>'Demande Format Medpro'!L122</f>
        <v>-5.3611712440481104E-3</v>
      </c>
    </row>
    <row r="125" spans="1:12">
      <c r="A125" s="178" t="s">
        <v>139</v>
      </c>
      <c r="B125" s="179">
        <f>'Demande Format Medpro'!B123</f>
        <v>4.4291</v>
      </c>
      <c r="C125" s="179">
        <f>'Demande Format Medpro'!C123</f>
        <v>4.6972677943166401</v>
      </c>
      <c r="D125" s="179">
        <f>'Demande Format Medpro'!D123</f>
        <v>4.4479574090505798</v>
      </c>
      <c r="E125" s="179">
        <f>'Demande Format Medpro'!E123</f>
        <v>4.3295281099956302</v>
      </c>
      <c r="F125" s="179">
        <f>'Demande Format Medpro'!F123</f>
        <v>4.2373630225080401</v>
      </c>
      <c r="G125" s="179">
        <f>'Demande Format Medpro'!G123</f>
        <v>4.09635767925809</v>
      </c>
      <c r="H125" s="179">
        <f>'Demande Format Medpro'!H123</f>
        <v>3.9266636335164602E-3</v>
      </c>
      <c r="I125" s="179">
        <f>'Demande Format Medpro'!I123</f>
        <v>-1.0847939635284E-2</v>
      </c>
      <c r="J125" s="179">
        <f>'Demande Format Medpro'!J123</f>
        <v>-5.3827462339912603E-3</v>
      </c>
      <c r="K125" s="179">
        <f>'Demande Format Medpro'!K123</f>
        <v>-4.2942347802371597E-3</v>
      </c>
      <c r="L125" s="179">
        <f>'Demande Format Medpro'!L123</f>
        <v>-1.69071608403115E-3</v>
      </c>
    </row>
    <row r="126" spans="1:12">
      <c r="A126" s="178" t="s">
        <v>140</v>
      </c>
      <c r="B126" s="179">
        <f>'Demande Format Medpro'!B124</f>
        <v>2.4603000000000002</v>
      </c>
      <c r="C126" s="179">
        <f>'Demande Format Medpro'!C124</f>
        <v>2.6871999999999998</v>
      </c>
      <c r="D126" s="179">
        <f>'Demande Format Medpro'!D124</f>
        <v>2.7454999999999998</v>
      </c>
      <c r="E126" s="179">
        <f>'Demande Format Medpro'!E124</f>
        <v>2.7967</v>
      </c>
      <c r="F126" s="179">
        <f>'Demande Format Medpro'!F124</f>
        <v>2.8445</v>
      </c>
      <c r="G126" s="179">
        <f>'Demande Format Medpro'!G124</f>
        <v>2.9962</v>
      </c>
      <c r="H126" s="179">
        <f>'Demande Format Medpro'!H124</f>
        <v>5.89842531274898E-3</v>
      </c>
      <c r="I126" s="179">
        <f>'Demande Format Medpro'!I124</f>
        <v>4.3019164743893796E-3</v>
      </c>
      <c r="J126" s="179">
        <f>'Demande Format Medpro'!J124</f>
        <v>3.70222495769901E-3</v>
      </c>
      <c r="K126" s="179">
        <f>'Demande Format Medpro'!K124</f>
        <v>3.39518151968621E-3</v>
      </c>
      <c r="L126" s="179">
        <f>'Demande Format Medpro'!L124</f>
        <v>2.60125309774928E-3</v>
      </c>
    </row>
    <row r="127" spans="1:12">
      <c r="A127" s="178" t="s">
        <v>141</v>
      </c>
      <c r="B127" s="179">
        <f>'Demande Format Medpro'!B125</f>
        <v>0.96689999999999998</v>
      </c>
      <c r="C127" s="179">
        <f>'Demande Format Medpro'!C125</f>
        <v>0.70150000000000001</v>
      </c>
      <c r="D127" s="179">
        <f>'Demande Format Medpro'!D125</f>
        <v>0.67610000000000003</v>
      </c>
      <c r="E127" s="179">
        <f>'Demande Format Medpro'!E125</f>
        <v>0.64649999999999996</v>
      </c>
      <c r="F127" s="179">
        <f>'Demande Format Medpro'!F125</f>
        <v>0.6139</v>
      </c>
      <c r="G127" s="179">
        <f>'Demande Format Medpro'!G125</f>
        <v>0.4284</v>
      </c>
      <c r="H127" s="179">
        <f>'Demande Format Medpro'!H125</f>
        <v>-2.1164434117033299E-2</v>
      </c>
      <c r="I127" s="179">
        <f>'Demande Format Medpro'!I125</f>
        <v>-7.3488452993424299E-3</v>
      </c>
      <c r="J127" s="179">
        <f>'Demande Format Medpro'!J125</f>
        <v>-8.9135954275146902E-3</v>
      </c>
      <c r="K127" s="179">
        <f>'Demande Format Medpro'!K125</f>
        <v>-1.0294871238786901E-2</v>
      </c>
      <c r="L127" s="179">
        <f>'Demande Format Medpro'!L125</f>
        <v>-1.7827904019555099E-2</v>
      </c>
    </row>
    <row r="128" spans="1:12">
      <c r="A128" s="178" t="s">
        <v>142</v>
      </c>
      <c r="B128" s="179">
        <f>'Demande Format Medpro'!B126</f>
        <v>3.9872999999999998</v>
      </c>
      <c r="C128" s="179">
        <f>'Demande Format Medpro'!C126</f>
        <v>5.9343000000000004</v>
      </c>
      <c r="D128" s="179">
        <f>'Demande Format Medpro'!D126</f>
        <v>6.0978000000000003</v>
      </c>
      <c r="E128" s="179">
        <f>'Demande Format Medpro'!E126</f>
        <v>6.0098000000000003</v>
      </c>
      <c r="F128" s="179">
        <f>'Demande Format Medpro'!F126</f>
        <v>5.9207999999999998</v>
      </c>
      <c r="G128" s="179">
        <f>'Demande Format Medpro'!G126</f>
        <v>6.4943</v>
      </c>
      <c r="H128" s="179">
        <f>'Demande Format Medpro'!H126</f>
        <v>2.6863473013139599E-2</v>
      </c>
      <c r="I128" s="179">
        <f>'Demande Format Medpro'!I126</f>
        <v>5.4505954743069296E-3</v>
      </c>
      <c r="J128" s="179">
        <f>'Demande Format Medpro'!J126</f>
        <v>-2.9030939026749602E-3</v>
      </c>
      <c r="K128" s="179">
        <f>'Demande Format Medpro'!K126</f>
        <v>-2.9795314039316998E-3</v>
      </c>
      <c r="L128" s="179">
        <f>'Demande Format Medpro'!L126</f>
        <v>4.6333657072765702E-3</v>
      </c>
    </row>
    <row r="129" spans="1:12">
      <c r="A129" s="178" t="s">
        <v>143</v>
      </c>
      <c r="B129" s="179">
        <f>'Demande Format Medpro'!B127</f>
        <v>1.1599999999999999E-2</v>
      </c>
      <c r="C129" s="179">
        <f>'Demande Format Medpro'!C127</f>
        <v>4.9200000000000001E-2</v>
      </c>
      <c r="D129" s="179">
        <f>'Demande Format Medpro'!D127</f>
        <v>7.0000000000000007E-2</v>
      </c>
      <c r="E129" s="179">
        <f>'Demande Format Medpro'!E127</f>
        <v>0.1089</v>
      </c>
      <c r="F129" s="179">
        <f>'Demande Format Medpro'!F127</f>
        <v>0.15049999999999999</v>
      </c>
      <c r="G129" s="179">
        <f>'Demande Format Medpro'!G127</f>
        <v>0.4143</v>
      </c>
      <c r="H129" s="179">
        <f>'Demande Format Medpro'!H127</f>
        <v>0</v>
      </c>
      <c r="I129" s="179">
        <f>'Demande Format Medpro'!I127</f>
        <v>0</v>
      </c>
      <c r="J129" s="179">
        <f>'Demande Format Medpro'!J127</f>
        <v>0</v>
      </c>
      <c r="K129" s="179">
        <f>'Demande Format Medpro'!K127</f>
        <v>0</v>
      </c>
      <c r="L129" s="179">
        <f>'Demande Format Medpro'!L127</f>
        <v>0</v>
      </c>
    </row>
    <row r="130" spans="1:12">
      <c r="A130" s="178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</row>
    <row r="131" spans="1:12" ht="15" thickBot="1">
      <c r="A131" s="213" t="s">
        <v>10</v>
      </c>
      <c r="B131" s="203">
        <f>'Demande Format Medpro'!B129</f>
        <v>42.777299999999997</v>
      </c>
      <c r="C131" s="203">
        <f>'Demande Format Medpro'!C129</f>
        <v>42.093488103993202</v>
      </c>
      <c r="D131" s="203">
        <f>'Demande Format Medpro'!D129</f>
        <v>38.949986005726402</v>
      </c>
      <c r="E131" s="203">
        <f>'Demande Format Medpro'!E129</f>
        <v>37.427669756237201</v>
      </c>
      <c r="F131" s="203">
        <f>'Demande Format Medpro'!F129</f>
        <v>36.268246002489001</v>
      </c>
      <c r="G131" s="203">
        <f>'Demande Format Medpro'!G129</f>
        <v>34.636912010195502</v>
      </c>
      <c r="H131" s="203">
        <f>'Demande Format Medpro'!H129</f>
        <v>-1.0737255569641701E-3</v>
      </c>
      <c r="I131" s="203">
        <f>'Demande Format Medpro'!I129</f>
        <v>-1.54030681153818E-2</v>
      </c>
      <c r="J131" s="203">
        <f>'Demande Format Medpro'!J129</f>
        <v>-7.9419247568907093E-3</v>
      </c>
      <c r="K131" s="203">
        <f>'Demande Format Medpro'!K129</f>
        <v>-6.27377144735408E-3</v>
      </c>
      <c r="L131" s="203">
        <f>'Demande Format Medpro'!L129</f>
        <v>-2.2984873308317102E-3</v>
      </c>
    </row>
    <row r="132" spans="1:12">
      <c r="A132" s="183"/>
      <c r="B132" s="170"/>
      <c r="C132" s="170"/>
      <c r="D132" s="170"/>
      <c r="E132" s="170"/>
    </row>
    <row r="133" spans="1:12">
      <c r="B133" s="170"/>
      <c r="C133" s="170"/>
      <c r="D133" s="170"/>
      <c r="E133" s="170"/>
    </row>
    <row r="134" spans="1:12" ht="16" thickBot="1">
      <c r="A134" s="90" t="s">
        <v>144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</row>
    <row r="135" spans="1:12" ht="15" thickBot="1">
      <c r="A135" s="176" t="s">
        <v>51</v>
      </c>
      <c r="B135" s="177">
        <v>2000</v>
      </c>
      <c r="C135" s="177">
        <v>2015</v>
      </c>
      <c r="D135" s="177">
        <v>2020</v>
      </c>
      <c r="E135" s="177">
        <v>2025</v>
      </c>
      <c r="F135" s="177">
        <v>2030</v>
      </c>
      <c r="G135" s="177">
        <v>2050</v>
      </c>
      <c r="H135" s="185" t="s">
        <v>98</v>
      </c>
      <c r="I135" s="186" t="s">
        <v>99</v>
      </c>
      <c r="J135" s="186" t="s">
        <v>100</v>
      </c>
      <c r="K135" s="186" t="s">
        <v>101</v>
      </c>
      <c r="L135" s="187" t="s">
        <v>102</v>
      </c>
    </row>
    <row r="136" spans="1:12">
      <c r="A136" s="178" t="s">
        <v>103</v>
      </c>
      <c r="B136" s="179">
        <f>'Demande Format Medpro'!B134</f>
        <v>9.0759000000000007</v>
      </c>
      <c r="C136" s="179">
        <f>'Demande Format Medpro'!C134</f>
        <v>6.5214999999999996</v>
      </c>
      <c r="D136" s="179">
        <f>'Demande Format Medpro'!D134</f>
        <v>5.1642000000000001</v>
      </c>
      <c r="E136" s="179">
        <f>'Demande Format Medpro'!E134</f>
        <v>4.3639999999999999</v>
      </c>
      <c r="F136" s="179">
        <f>'Demande Format Medpro'!F134</f>
        <v>3.6859000000000002</v>
      </c>
      <c r="G136" s="179">
        <f>'Demande Format Medpro'!G134</f>
        <v>2.8035000000000001</v>
      </c>
      <c r="H136" s="179">
        <f>'Demande Format Medpro'!H134</f>
        <v>-2.17935552584426E-2</v>
      </c>
      <c r="I136" s="179">
        <f>'Demande Format Medpro'!I134</f>
        <v>-4.5598505014204697E-2</v>
      </c>
      <c r="J136" s="179">
        <f>'Demande Format Medpro'!J134</f>
        <v>-3.3111627186345201E-2</v>
      </c>
      <c r="K136" s="179">
        <f>'Demande Format Medpro'!K134</f>
        <v>-3.3210864451994698E-2</v>
      </c>
      <c r="L136" s="179">
        <f>'Demande Format Medpro'!L134</f>
        <v>-1.35891273449983E-2</v>
      </c>
    </row>
    <row r="137" spans="1:12">
      <c r="A137" s="178" t="s">
        <v>54</v>
      </c>
      <c r="B137" s="179">
        <f>'Demande Format Medpro'!B135</f>
        <v>15.005599999999999</v>
      </c>
      <c r="C137" s="179">
        <f>'Demande Format Medpro'!C135</f>
        <v>14.2493</v>
      </c>
      <c r="D137" s="179">
        <f>'Demande Format Medpro'!D135</f>
        <v>12.052199999999999</v>
      </c>
      <c r="E137" s="179">
        <f>'Demande Format Medpro'!E135</f>
        <v>11.236800000000001</v>
      </c>
      <c r="F137" s="179">
        <f>'Demande Format Medpro'!F135</f>
        <v>10.642799999999999</v>
      </c>
      <c r="G137" s="179">
        <f>'Demande Format Medpro'!G135</f>
        <v>9.4556000000000004</v>
      </c>
      <c r="H137" s="179">
        <f>'Demande Format Medpro'!H135</f>
        <v>-3.44177560248382E-3</v>
      </c>
      <c r="I137" s="179">
        <f>'Demande Format Medpro'!I135</f>
        <v>-3.2937461927411801E-2</v>
      </c>
      <c r="J137" s="179">
        <f>'Demande Format Medpro'!J135</f>
        <v>-1.39129299038766E-2</v>
      </c>
      <c r="K137" s="179">
        <f>'Demande Format Medpro'!K135</f>
        <v>-1.0803320256092101E-2</v>
      </c>
      <c r="L137" s="179">
        <f>'Demande Format Medpro'!L135</f>
        <v>-5.8963702023894201E-3</v>
      </c>
    </row>
    <row r="138" spans="1:12">
      <c r="A138" s="178" t="s">
        <v>42</v>
      </c>
      <c r="B138" s="179">
        <f>'Demande Format Medpro'!B136</f>
        <v>0.06</v>
      </c>
      <c r="C138" s="179">
        <f>'Demande Format Medpro'!C136</f>
        <v>8.1900000000000001E-2</v>
      </c>
      <c r="D138" s="179">
        <f>'Demande Format Medpro'!D136</f>
        <v>1.0500000000000001E-2</v>
      </c>
      <c r="E138" s="179">
        <f>'Demande Format Medpro'!E136</f>
        <v>1.2E-2</v>
      </c>
      <c r="F138" s="179">
        <f>'Demande Format Medpro'!F136</f>
        <v>8.8000000000000005E-3</v>
      </c>
      <c r="G138" s="179">
        <f>'Demande Format Medpro'!G136</f>
        <v>7.1000000000000004E-3</v>
      </c>
      <c r="H138" s="179">
        <f>'Demande Format Medpro'!H136</f>
        <v>2.0960273043430001E-2</v>
      </c>
      <c r="I138" s="179">
        <f>'Demande Format Medpro'!I136</f>
        <v>-0.33689686759559401</v>
      </c>
      <c r="J138" s="179">
        <f>'Demande Format Medpro'!J136</f>
        <v>2.7066087089351799E-2</v>
      </c>
      <c r="K138" s="179">
        <f>'Demande Format Medpro'!K136</f>
        <v>-6.0146235650011301E-2</v>
      </c>
      <c r="L138" s="179">
        <f>'Demande Format Medpro'!L136</f>
        <v>-1.0675455379070199E-2</v>
      </c>
    </row>
    <row r="139" spans="1:12">
      <c r="A139" s="178" t="s">
        <v>104</v>
      </c>
      <c r="B139" s="179">
        <f>'Demande Format Medpro'!B137</f>
        <v>5.6010999999999997</v>
      </c>
      <c r="C139" s="179">
        <f>'Demande Format Medpro'!C137</f>
        <v>5.9565999999999999</v>
      </c>
      <c r="D139" s="179">
        <f>'Demande Format Medpro'!D137</f>
        <v>5.4618000000000002</v>
      </c>
      <c r="E139" s="179">
        <f>'Demande Format Medpro'!E137</f>
        <v>5.4223999999999997</v>
      </c>
      <c r="F139" s="179">
        <f>'Demande Format Medpro'!F137</f>
        <v>5.4825999999999997</v>
      </c>
      <c r="G139" s="179">
        <f>'Demande Format Medpro'!G137</f>
        <v>5.2826000000000004</v>
      </c>
      <c r="H139" s="179">
        <f>'Demande Format Medpro'!H137</f>
        <v>4.1108826907092499E-3</v>
      </c>
      <c r="I139" s="179">
        <f>'Demande Format Medpro'!I137</f>
        <v>-1.7194742215482599E-2</v>
      </c>
      <c r="J139" s="179">
        <f>'Demande Format Medpro'!J137</f>
        <v>-1.44692896472554E-3</v>
      </c>
      <c r="K139" s="179">
        <f>'Demande Format Medpro'!K137</f>
        <v>2.21062365883862E-3</v>
      </c>
      <c r="L139" s="179">
        <f>'Demande Format Medpro'!L137</f>
        <v>-1.85632690187798E-3</v>
      </c>
    </row>
    <row r="140" spans="1:12">
      <c r="A140" s="178" t="s">
        <v>105</v>
      </c>
      <c r="B140" s="179">
        <f>'Demande Format Medpro'!B138</f>
        <v>1.752</v>
      </c>
      <c r="C140" s="179">
        <f>'Demande Format Medpro'!C138</f>
        <v>1.3252999999999999</v>
      </c>
      <c r="D140" s="179">
        <f>'Demande Format Medpro'!D138</f>
        <v>1.4417</v>
      </c>
      <c r="E140" s="179">
        <f>'Demande Format Medpro'!E138</f>
        <v>1.4137999999999999</v>
      </c>
      <c r="F140" s="179">
        <f>'Demande Format Medpro'!F138</f>
        <v>1.3756999999999999</v>
      </c>
      <c r="G140" s="179">
        <f>'Demande Format Medpro'!G138</f>
        <v>1.2588999999999999</v>
      </c>
      <c r="H140" s="179">
        <f>'Demande Format Medpro'!H138</f>
        <v>-1.8435884011240002E-2</v>
      </c>
      <c r="I140" s="179">
        <f>'Demande Format Medpro'!I138</f>
        <v>1.69793629604462E-2</v>
      </c>
      <c r="J140" s="179">
        <f>'Demande Format Medpro'!J138</f>
        <v>-3.9007438724438801E-3</v>
      </c>
      <c r="K140" s="179">
        <f>'Demande Format Medpro'!K138</f>
        <v>-5.4487856764971997E-3</v>
      </c>
      <c r="L140" s="179">
        <f>'Demande Format Medpro'!L138</f>
        <v>-4.4263929524347399E-3</v>
      </c>
    </row>
    <row r="141" spans="1:12">
      <c r="A141" s="178" t="s">
        <v>134</v>
      </c>
      <c r="B141" s="179">
        <f>'Demande Format Medpro'!B139</f>
        <v>6.2961</v>
      </c>
      <c r="C141" s="179">
        <f>'Demande Format Medpro'!C139</f>
        <v>6.7679</v>
      </c>
      <c r="D141" s="179">
        <f>'Demande Format Medpro'!D139</f>
        <v>7.2196999999999996</v>
      </c>
      <c r="E141" s="179">
        <f>'Demande Format Medpro'!E139</f>
        <v>7.2439</v>
      </c>
      <c r="F141" s="179">
        <f>'Demande Format Medpro'!F139</f>
        <v>7.2420000000000098</v>
      </c>
      <c r="G141" s="179">
        <f>'Demande Format Medpro'!G139</f>
        <v>6.9114000000000004</v>
      </c>
      <c r="H141" s="179">
        <f>'Demande Format Medpro'!H139</f>
        <v>4.8289856636014603E-3</v>
      </c>
      <c r="I141" s="179">
        <f>'Demande Format Medpro'!I139</f>
        <v>1.30083932829694E-2</v>
      </c>
      <c r="J141" s="179">
        <f>'Demande Format Medpro'!J139</f>
        <v>6.6949092969248501E-4</v>
      </c>
      <c r="K141" s="179">
        <f>'Demande Format Medpro'!K139</f>
        <v>-5.2463434655591903E-5</v>
      </c>
      <c r="L141" s="179">
        <f>'Demande Format Medpro'!L139</f>
        <v>-2.3335325281442802E-3</v>
      </c>
    </row>
    <row r="142" spans="1:12">
      <c r="A142" s="178" t="s">
        <v>135</v>
      </c>
      <c r="B142" s="179">
        <f>'Demande Format Medpro'!B140</f>
        <v>2.0799999999999999E-2</v>
      </c>
      <c r="C142" s="179">
        <f>'Demande Format Medpro'!C140</f>
        <v>8.5300000000000001E-2</v>
      </c>
      <c r="D142" s="179">
        <f>'Demande Format Medpro'!D140</f>
        <v>0.1007</v>
      </c>
      <c r="E142" s="179">
        <f>'Demande Format Medpro'!E140</f>
        <v>0.1164</v>
      </c>
      <c r="F142" s="179">
        <f>'Demande Format Medpro'!F140</f>
        <v>0.1183</v>
      </c>
      <c r="G142" s="179">
        <f>'Demande Format Medpro'!G140</f>
        <v>0.12470000000000001</v>
      </c>
      <c r="H142" s="179">
        <f>'Demande Format Medpro'!H140</f>
        <v>0</v>
      </c>
      <c r="I142" s="179">
        <f>'Demande Format Medpro'!I140</f>
        <v>0</v>
      </c>
      <c r="J142" s="179">
        <f>'Demande Format Medpro'!J140</f>
        <v>0</v>
      </c>
      <c r="K142" s="179">
        <f>'Demande Format Medpro'!K140</f>
        <v>0</v>
      </c>
      <c r="L142" s="179">
        <f>'Demande Format Medpro'!L140</f>
        <v>0</v>
      </c>
    </row>
    <row r="143" spans="1:12">
      <c r="A143" s="178" t="s">
        <v>136</v>
      </c>
      <c r="B143" s="179">
        <f>'Demande Format Medpro'!B141</f>
        <v>0</v>
      </c>
      <c r="C143" s="179">
        <f>'Demande Format Medpro'!C141</f>
        <v>0.420688103993204</v>
      </c>
      <c r="D143" s="179">
        <f>'Demande Format Medpro'!D141</f>
        <v>0.65528600572635798</v>
      </c>
      <c r="E143" s="179">
        <f>'Demande Format Medpro'!E141</f>
        <v>0.85316975623719604</v>
      </c>
      <c r="F143" s="179">
        <f>'Demande Format Medpro'!F141</f>
        <v>1.0269460024889701</v>
      </c>
      <c r="G143" s="179">
        <f>'Demande Format Medpro'!G141</f>
        <v>1.45611201019554</v>
      </c>
      <c r="H143" s="179">
        <f>'Demande Format Medpro'!H141</f>
        <v>0</v>
      </c>
      <c r="I143" s="179">
        <f>'Demande Format Medpro'!I141</f>
        <v>0</v>
      </c>
      <c r="J143" s="179">
        <f>'Demande Format Medpro'!J141</f>
        <v>0</v>
      </c>
      <c r="K143" s="179">
        <f>'Demande Format Medpro'!K141</f>
        <v>0</v>
      </c>
      <c r="L143" s="179">
        <f>'Demande Format Medpro'!L141</f>
        <v>0</v>
      </c>
    </row>
    <row r="144" spans="1:12">
      <c r="A144" s="178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</row>
    <row r="145" spans="1:18" ht="15" thickBot="1">
      <c r="A145" s="213" t="s">
        <v>10</v>
      </c>
      <c r="B145" s="198">
        <f>'Demande Format Medpro'!B143</f>
        <v>37.811500000000002</v>
      </c>
      <c r="C145" s="203">
        <f>'Demande Format Medpro'!C143</f>
        <v>35.4084881039932</v>
      </c>
      <c r="D145" s="203">
        <f>'Demande Format Medpro'!D143</f>
        <v>32.106086005726397</v>
      </c>
      <c r="E145" s="203">
        <f>'Demande Format Medpro'!E143</f>
        <v>30.662469756237201</v>
      </c>
      <c r="F145" s="203">
        <f>'Demande Format Medpro'!F143</f>
        <v>29.583046002488999</v>
      </c>
      <c r="G145" s="203">
        <f>'Demande Format Medpro'!G143</f>
        <v>27.299912010195499</v>
      </c>
      <c r="H145" s="203">
        <f>'Demande Format Medpro'!H143</f>
        <v>-4.3678809933656E-3</v>
      </c>
      <c r="I145" s="203">
        <f>'Demande Format Medpro'!I143</f>
        <v>-1.9390725865499302E-2</v>
      </c>
      <c r="J145" s="203">
        <f>'Demande Format Medpro'!J143</f>
        <v>-9.1590349797487907E-3</v>
      </c>
      <c r="K145" s="203">
        <f>'Demande Format Medpro'!K143</f>
        <v>-7.1419732611346402E-3</v>
      </c>
      <c r="L145" s="203">
        <f>'Demande Format Medpro'!L143</f>
        <v>-4.0078444641916703E-3</v>
      </c>
    </row>
    <row r="146" spans="1:18">
      <c r="B146" s="216"/>
      <c r="C146" s="216"/>
      <c r="D146" s="216"/>
      <c r="E146" s="216"/>
      <c r="F146" s="216"/>
      <c r="G146" s="216"/>
    </row>
    <row r="147" spans="1:18">
      <c r="B147" s="170"/>
      <c r="C147" s="170"/>
      <c r="D147" s="170"/>
      <c r="E147" s="170"/>
    </row>
    <row r="148" spans="1:18" ht="16" thickBot="1">
      <c r="A148" s="90" t="s">
        <v>145</v>
      </c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</row>
    <row r="149" spans="1:18" ht="15" thickBot="1">
      <c r="A149" s="176" t="s">
        <v>51</v>
      </c>
      <c r="B149" s="177">
        <v>2000</v>
      </c>
      <c r="C149" s="177">
        <v>2015</v>
      </c>
      <c r="D149" s="177">
        <v>2020</v>
      </c>
      <c r="E149" s="177">
        <v>2025</v>
      </c>
      <c r="F149" s="177">
        <v>2030</v>
      </c>
      <c r="G149" s="177">
        <v>2050</v>
      </c>
      <c r="H149" s="185" t="s">
        <v>98</v>
      </c>
      <c r="I149" s="186" t="s">
        <v>99</v>
      </c>
      <c r="J149" s="186" t="s">
        <v>100</v>
      </c>
      <c r="K149" s="186" t="s">
        <v>101</v>
      </c>
      <c r="L149" s="187" t="s">
        <v>102</v>
      </c>
    </row>
    <row r="150" spans="1:18">
      <c r="A150" s="178" t="s">
        <v>103</v>
      </c>
      <c r="B150" s="193">
        <f>'Demande Format Medpro'!B148</f>
        <v>7.42</v>
      </c>
      <c r="C150" s="193">
        <f>'Demande Format Medpro'!C148</f>
        <v>5.2900999999999998</v>
      </c>
      <c r="D150" s="193">
        <f>'Demande Format Medpro'!D148</f>
        <v>4.2248000000000001</v>
      </c>
      <c r="E150" s="193">
        <f>'Demande Format Medpro'!E148</f>
        <v>3.6564000000000001</v>
      </c>
      <c r="F150" s="193">
        <f>'Demande Format Medpro'!F148</f>
        <v>3.2021000000000002</v>
      </c>
      <c r="G150" s="193">
        <f>'Demande Format Medpro'!G148</f>
        <v>2.3736000000000002</v>
      </c>
      <c r="H150" s="193">
        <f>'Demande Format Medpro'!H148</f>
        <v>-2.2303639699071901E-2</v>
      </c>
      <c r="I150" s="193">
        <f>'Demande Format Medpro'!I148</f>
        <v>-4.3976749265529899E-2</v>
      </c>
      <c r="J150" s="193">
        <f>'Demande Format Medpro'!J148</f>
        <v>-2.8485002797911701E-2</v>
      </c>
      <c r="K150" s="193">
        <f>'Demande Format Medpro'!K148</f>
        <v>-2.61854972954489E-2</v>
      </c>
      <c r="L150" s="193">
        <f>'Demande Format Medpro'!L148</f>
        <v>-1.4858460026491599E-2</v>
      </c>
      <c r="N150" s="180"/>
      <c r="O150" s="180"/>
      <c r="P150" s="180"/>
      <c r="Q150" s="180"/>
      <c r="R150" s="180"/>
    </row>
    <row r="151" spans="1:18">
      <c r="A151" s="178" t="s">
        <v>54</v>
      </c>
      <c r="B151" s="193">
        <f>'Demande Format Medpro'!B149</f>
        <v>12.598000000000001</v>
      </c>
      <c r="C151" s="193">
        <f>'Demande Format Medpro'!C149</f>
        <v>11.803000000000001</v>
      </c>
      <c r="D151" s="193">
        <f>'Demande Format Medpro'!D149</f>
        <v>9.6600999999999999</v>
      </c>
      <c r="E151" s="193">
        <f>'Demande Format Medpro'!E149</f>
        <v>8.9097000000000008</v>
      </c>
      <c r="F151" s="193">
        <f>'Demande Format Medpro'!F149</f>
        <v>8.3757000000000001</v>
      </c>
      <c r="G151" s="193">
        <f>'Demande Format Medpro'!G149</f>
        <v>7.4927999999999999</v>
      </c>
      <c r="H151" s="193">
        <f>'Demande Format Medpro'!H149</f>
        <v>-4.3361937627828303E-3</v>
      </c>
      <c r="I151" s="193">
        <f>'Demande Format Medpro'!I149</f>
        <v>-3.9277763087819002E-2</v>
      </c>
      <c r="J151" s="193">
        <f>'Demande Format Medpro'!J149</f>
        <v>-1.6042610135881E-2</v>
      </c>
      <c r="K151" s="193">
        <f>'Demande Format Medpro'!K149</f>
        <v>-1.22850973186632E-2</v>
      </c>
      <c r="L151" s="193">
        <f>'Demande Format Medpro'!L149</f>
        <v>-5.5541233492533201E-3</v>
      </c>
      <c r="N151" s="180"/>
      <c r="O151" s="180"/>
      <c r="P151" s="180"/>
      <c r="Q151" s="180"/>
      <c r="R151" s="180"/>
    </row>
    <row r="152" spans="1:18">
      <c r="A152" s="178" t="s">
        <v>42</v>
      </c>
      <c r="B152" s="193">
        <f>'Demande Format Medpro'!B150</f>
        <v>0.06</v>
      </c>
      <c r="C152" s="193">
        <f>'Demande Format Medpro'!C150</f>
        <v>8.1900000000000001E-2</v>
      </c>
      <c r="D152" s="193">
        <f>'Demande Format Medpro'!D150</f>
        <v>1.0500000000000001E-2</v>
      </c>
      <c r="E152" s="193">
        <f>'Demande Format Medpro'!E150</f>
        <v>1.2E-2</v>
      </c>
      <c r="F152" s="193">
        <f>'Demande Format Medpro'!F150</f>
        <v>8.8000000000000005E-3</v>
      </c>
      <c r="G152" s="193">
        <f>'Demande Format Medpro'!G150</f>
        <v>7.1000000000000004E-3</v>
      </c>
      <c r="H152" s="193">
        <f>'Demande Format Medpro'!H150</f>
        <v>2.0960273043430001E-2</v>
      </c>
      <c r="I152" s="193">
        <f>'Demande Format Medpro'!I150</f>
        <v>-0.33689686759559401</v>
      </c>
      <c r="J152" s="193">
        <f>'Demande Format Medpro'!J150</f>
        <v>2.7066087089351799E-2</v>
      </c>
      <c r="K152" s="193">
        <f>'Demande Format Medpro'!K150</f>
        <v>-6.0146235650011301E-2</v>
      </c>
      <c r="L152" s="193">
        <f>'Demande Format Medpro'!L150</f>
        <v>-1.0675455379070199E-2</v>
      </c>
      <c r="N152" s="180"/>
      <c r="O152" s="180"/>
      <c r="P152" s="180"/>
      <c r="Q152" s="180"/>
      <c r="R152" s="180"/>
    </row>
    <row r="153" spans="1:18">
      <c r="A153" s="178" t="s">
        <v>104</v>
      </c>
      <c r="B153" s="193">
        <f>'Demande Format Medpro'!B151</f>
        <v>3.2040000000000002</v>
      </c>
      <c r="C153" s="193">
        <f>'Demande Format Medpro'!C151</f>
        <v>2.6758000000000002</v>
      </c>
      <c r="D153" s="193">
        <f>'Demande Format Medpro'!D151</f>
        <v>2.1305000000000001</v>
      </c>
      <c r="E153" s="193">
        <f>'Demande Format Medpro'!E151</f>
        <v>1.9403999999999999</v>
      </c>
      <c r="F153" s="193">
        <f>'Demande Format Medpro'!F151</f>
        <v>1.8198000000000001</v>
      </c>
      <c r="G153" s="193">
        <f>'Demande Format Medpro'!G151</f>
        <v>1.5403</v>
      </c>
      <c r="H153" s="193">
        <f>'Demande Format Medpro'!H151</f>
        <v>-1.1938275053230101E-2</v>
      </c>
      <c r="I153" s="193">
        <f>'Demande Format Medpro'!I151</f>
        <v>-4.4555251258347403E-2</v>
      </c>
      <c r="J153" s="193">
        <f>'Demande Format Medpro'!J151</f>
        <v>-1.85188898144911E-2</v>
      </c>
      <c r="K153" s="193">
        <f>'Demande Format Medpro'!K151</f>
        <v>-1.27515081953163E-2</v>
      </c>
      <c r="L153" s="193">
        <f>'Demande Format Medpro'!L151</f>
        <v>-8.3028098039769106E-3</v>
      </c>
      <c r="N153" s="180"/>
      <c r="O153" s="180"/>
      <c r="P153" s="180"/>
      <c r="Q153" s="180"/>
      <c r="R153" s="180"/>
    </row>
    <row r="154" spans="1:18">
      <c r="A154" s="178" t="s">
        <v>105</v>
      </c>
      <c r="B154" s="193">
        <f>'Demande Format Medpro'!B152</f>
        <v>1.4530000000000001</v>
      </c>
      <c r="C154" s="193">
        <f>'Demande Format Medpro'!C152</f>
        <v>1.0764</v>
      </c>
      <c r="D154" s="193">
        <f>'Demande Format Medpro'!D152</f>
        <v>1.1569</v>
      </c>
      <c r="E154" s="193">
        <f>'Demande Format Medpro'!E152</f>
        <v>1.1224000000000001</v>
      </c>
      <c r="F154" s="193">
        <f>'Demande Format Medpro'!F152</f>
        <v>1.0828</v>
      </c>
      <c r="G154" s="193">
        <f>'Demande Format Medpro'!G152</f>
        <v>0.96579999999999999</v>
      </c>
      <c r="H154" s="193">
        <f>'Demande Format Medpro'!H152</f>
        <v>-1.9801865457175799E-2</v>
      </c>
      <c r="I154" s="193">
        <f>'Demande Format Medpro'!I152</f>
        <v>1.45289081355604E-2</v>
      </c>
      <c r="J154" s="193">
        <f>'Demande Format Medpro'!J152</f>
        <v>-6.0366585646151102E-3</v>
      </c>
      <c r="K154" s="193">
        <f>'Demande Format Medpro'!K152</f>
        <v>-7.1580524380782098E-3</v>
      </c>
      <c r="L154" s="193">
        <f>'Demande Format Medpro'!L152</f>
        <v>-5.7011257646408797E-3</v>
      </c>
      <c r="N154" s="180"/>
      <c r="O154" s="180"/>
      <c r="P154" s="180"/>
      <c r="Q154" s="180"/>
      <c r="R154" s="180"/>
    </row>
    <row r="155" spans="1:18">
      <c r="A155" s="178" t="s">
        <v>134</v>
      </c>
      <c r="B155" s="193">
        <f>'Demande Format Medpro'!B153</f>
        <v>6.1870000000000003</v>
      </c>
      <c r="C155" s="193">
        <f>'Demande Format Medpro'!C153</f>
        <v>6.6993999999999998</v>
      </c>
      <c r="D155" s="193">
        <f>'Demande Format Medpro'!D153</f>
        <v>7.1783999999999999</v>
      </c>
      <c r="E155" s="193">
        <f>'Demande Format Medpro'!E153</f>
        <v>7.2217000000000002</v>
      </c>
      <c r="F155" s="193">
        <f>'Demande Format Medpro'!F153</f>
        <v>7.2374000000000001</v>
      </c>
      <c r="G155" s="193">
        <f>'Demande Format Medpro'!G153</f>
        <v>6.9071999999999996</v>
      </c>
      <c r="H155" s="193">
        <f>'Demande Format Medpro'!H153</f>
        <v>5.3186040636485901E-3</v>
      </c>
      <c r="I155" s="193">
        <f>'Demande Format Medpro'!I153</f>
        <v>1.3907531676985699E-2</v>
      </c>
      <c r="J155" s="193">
        <f>'Demande Format Medpro'!J153</f>
        <v>1.20349667180797E-3</v>
      </c>
      <c r="K155" s="193">
        <f>'Demande Format Medpro'!K153</f>
        <v>4.3442305940599702E-4</v>
      </c>
      <c r="L155" s="193">
        <f>'Demande Format Medpro'!L153</f>
        <v>-2.3321602815591399E-3</v>
      </c>
      <c r="N155" s="180"/>
      <c r="O155" s="180"/>
      <c r="P155" s="180"/>
      <c r="Q155" s="180"/>
      <c r="R155" s="180"/>
    </row>
    <row r="156" spans="1:18">
      <c r="A156" s="178" t="s">
        <v>136</v>
      </c>
      <c r="B156" s="193">
        <f>'Demande Format Medpro'!B154</f>
        <v>0</v>
      </c>
      <c r="C156" s="193">
        <f>'Demande Format Medpro'!C154</f>
        <v>0.39732030967656001</v>
      </c>
      <c r="D156" s="193">
        <f>'Demande Format Medpro'!D154</f>
        <v>0.55132859667578105</v>
      </c>
      <c r="E156" s="193">
        <f>'Demande Format Medpro'!E154</f>
        <v>0.67354164624156099</v>
      </c>
      <c r="F156" s="193">
        <f>'Demande Format Medpro'!F154</f>
        <v>0.77448297998092896</v>
      </c>
      <c r="G156" s="193">
        <f>'Demande Format Medpro'!G154</f>
        <v>0.92065433093745397</v>
      </c>
      <c r="H156" s="193">
        <f>'Demande Format Medpro'!H154</f>
        <v>0</v>
      </c>
      <c r="I156" s="193">
        <f>'Demande Format Medpro'!I154</f>
        <v>0</v>
      </c>
      <c r="J156" s="193">
        <f>'Demande Format Medpro'!J154</f>
        <v>0</v>
      </c>
      <c r="K156" s="193">
        <f>'Demande Format Medpro'!K154</f>
        <v>0</v>
      </c>
      <c r="L156" s="193">
        <f>'Demande Format Medpro'!L154</f>
        <v>0</v>
      </c>
      <c r="N156" s="180"/>
      <c r="O156" s="180"/>
      <c r="P156" s="180"/>
      <c r="Q156" s="180"/>
      <c r="R156" s="180"/>
    </row>
    <row r="157" spans="1:18">
      <c r="A157" s="178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N157" s="180"/>
      <c r="O157" s="180"/>
      <c r="P157" s="180"/>
      <c r="Q157" s="180"/>
      <c r="R157" s="180"/>
    </row>
    <row r="158" spans="1:18" ht="15" thickBot="1">
      <c r="A158" s="213" t="s">
        <v>10</v>
      </c>
      <c r="B158" s="575">
        <f>'Demande Format Medpro'!B156</f>
        <v>30.922000000000001</v>
      </c>
      <c r="C158" s="182">
        <f>'Demande Format Medpro'!C156</f>
        <v>28.023920309676601</v>
      </c>
      <c r="D158" s="182">
        <f>'Demande Format Medpro'!D156</f>
        <v>24.912528596675799</v>
      </c>
      <c r="E158" s="182">
        <f>'Demande Format Medpro'!E156</f>
        <v>23.5361416462416</v>
      </c>
      <c r="F158" s="182">
        <f>'Demande Format Medpro'!F156</f>
        <v>22.5010829799809</v>
      </c>
      <c r="G158" s="182">
        <f>'Demande Format Medpro'!G156</f>
        <v>20.207454330937399</v>
      </c>
      <c r="H158" s="182">
        <f>'Demande Format Medpro'!H156</f>
        <v>-6.5391568771049303E-3</v>
      </c>
      <c r="I158" s="182">
        <f>'Demande Format Medpro'!I156</f>
        <v>-2.32626749266578E-2</v>
      </c>
      <c r="J158" s="182">
        <f>'Demande Format Medpro'!J156</f>
        <v>-1.1302373056406001E-2</v>
      </c>
      <c r="K158" s="182">
        <f>'Demande Format Medpro'!K156</f>
        <v>-8.9544165915632599E-3</v>
      </c>
      <c r="L158" s="182">
        <f>'Demande Format Medpro'!L156</f>
        <v>-5.3611712440481104E-3</v>
      </c>
      <c r="N158" s="180"/>
      <c r="O158" s="180"/>
      <c r="P158" s="180"/>
      <c r="Q158" s="180"/>
      <c r="R158" s="180"/>
    </row>
    <row r="159" spans="1:18">
      <c r="A159" s="183"/>
      <c r="B159" s="170"/>
      <c r="D159" s="170"/>
      <c r="E159" s="170"/>
    </row>
    <row r="160" spans="1:18">
      <c r="A160" s="183"/>
      <c r="B160" s="170"/>
      <c r="C160" s="170"/>
      <c r="D160" s="170"/>
      <c r="E160" s="170"/>
    </row>
    <row r="161" spans="1:17" ht="16" thickBot="1">
      <c r="A161" s="90" t="s">
        <v>146</v>
      </c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</row>
    <row r="162" spans="1:17" ht="15" thickBot="1">
      <c r="A162" s="217" t="s">
        <v>51</v>
      </c>
      <c r="B162" s="177">
        <v>2000</v>
      </c>
      <c r="C162" s="177">
        <v>2015</v>
      </c>
      <c r="D162" s="177">
        <v>2020</v>
      </c>
      <c r="E162" s="177">
        <v>2025</v>
      </c>
      <c r="F162" s="177">
        <v>2030</v>
      </c>
      <c r="G162" s="177">
        <v>2050</v>
      </c>
      <c r="H162" s="185" t="s">
        <v>98</v>
      </c>
      <c r="I162" s="186" t="s">
        <v>99</v>
      </c>
      <c r="J162" s="186" t="s">
        <v>100</v>
      </c>
      <c r="K162" s="186" t="s">
        <v>101</v>
      </c>
      <c r="L162" s="187" t="s">
        <v>102</v>
      </c>
    </row>
    <row r="163" spans="1:17">
      <c r="A163" s="178" t="s">
        <v>103</v>
      </c>
      <c r="B163" s="193">
        <f>'Demande Format Medpro'!B161</f>
        <v>0.97709999999999997</v>
      </c>
      <c r="C163" s="193">
        <f>'Demande Format Medpro'!C161</f>
        <v>0.61350000000000005</v>
      </c>
      <c r="D163" s="193">
        <f>'Demande Format Medpro'!D161</f>
        <v>0.37669999999999998</v>
      </c>
      <c r="E163" s="193">
        <f>'Demande Format Medpro'!E161</f>
        <v>0.2039</v>
      </c>
      <c r="F163" s="193">
        <f>'Demande Format Medpro'!F161</f>
        <v>4.2200000000000001E-2</v>
      </c>
      <c r="G163" s="193">
        <f>'Demande Format Medpro'!G161</f>
        <v>3.9600000000000003E-2</v>
      </c>
      <c r="H163" s="193">
        <f>'Demande Format Medpro'!H161</f>
        <v>-3.0550843920237099E-2</v>
      </c>
      <c r="I163" s="193">
        <f>'Demande Format Medpro'!I161</f>
        <v>-9.2939592716890201E-2</v>
      </c>
      <c r="J163" s="193">
        <f>'Demande Format Medpro'!J161</f>
        <v>-0.115527527017108</v>
      </c>
      <c r="K163" s="193">
        <f>'Demande Format Medpro'!K161</f>
        <v>-0.27024169690088501</v>
      </c>
      <c r="L163" s="193">
        <f>'Demande Format Medpro'!L161</f>
        <v>-3.1745057067026298E-3</v>
      </c>
      <c r="N163" s="180"/>
      <c r="O163" s="180"/>
      <c r="P163" s="180"/>
      <c r="Q163" s="180"/>
    </row>
    <row r="164" spans="1:17">
      <c r="A164" s="178" t="s">
        <v>54</v>
      </c>
      <c r="B164" s="193">
        <f>'Demande Format Medpro'!B162</f>
        <v>1.4520999999999999</v>
      </c>
      <c r="C164" s="193">
        <f>'Demande Format Medpro'!C162</f>
        <v>1.4991000000000001</v>
      </c>
      <c r="D164" s="193">
        <f>'Demande Format Medpro'!D162</f>
        <v>1.5206</v>
      </c>
      <c r="E164" s="193">
        <f>'Demande Format Medpro'!E162</f>
        <v>1.5376000000000001</v>
      </c>
      <c r="F164" s="193">
        <f>'Demande Format Medpro'!F162</f>
        <v>1.5640000000000001</v>
      </c>
      <c r="G164" s="193">
        <f>'Demande Format Medpro'!G162</f>
        <v>1.3273999999999999</v>
      </c>
      <c r="H164" s="193">
        <f>'Demande Format Medpro'!H162</f>
        <v>2.1258660212259998E-3</v>
      </c>
      <c r="I164" s="193">
        <f>'Demande Format Medpro'!I162</f>
        <v>2.8520725975464999E-3</v>
      </c>
      <c r="J164" s="193">
        <f>'Demande Format Medpro'!J162</f>
        <v>2.2260270117944198E-3</v>
      </c>
      <c r="K164" s="193">
        <f>'Demande Format Medpro'!K162</f>
        <v>3.41057941353551E-3</v>
      </c>
      <c r="L164" s="193">
        <f>'Demande Format Medpro'!L162</f>
        <v>-8.1676867214299804E-3</v>
      </c>
      <c r="N164" s="180"/>
      <c r="O164" s="180"/>
      <c r="P164" s="180"/>
      <c r="Q164" s="180"/>
    </row>
    <row r="165" spans="1:17">
      <c r="A165" s="178" t="s">
        <v>42</v>
      </c>
      <c r="B165" s="193">
        <f>'Demande Format Medpro'!B163</f>
        <v>0</v>
      </c>
      <c r="C165" s="193">
        <f>'Demande Format Medpro'!C163</f>
        <v>0</v>
      </c>
      <c r="D165" s="193">
        <f>'Demande Format Medpro'!D163</f>
        <v>0</v>
      </c>
      <c r="E165" s="193">
        <f>'Demande Format Medpro'!E163</f>
        <v>0</v>
      </c>
      <c r="F165" s="193">
        <f>'Demande Format Medpro'!F163</f>
        <v>0</v>
      </c>
      <c r="G165" s="193">
        <f>'Demande Format Medpro'!G163</f>
        <v>0</v>
      </c>
      <c r="H165" s="193" t="e">
        <f>'Demande Format Medpro'!H163</f>
        <v>#DIV/0!</v>
      </c>
      <c r="I165" s="193" t="e">
        <f>'Demande Format Medpro'!I163</f>
        <v>#DIV/0!</v>
      </c>
      <c r="J165" s="193" t="e">
        <f>'Demande Format Medpro'!J163</f>
        <v>#DIV/0!</v>
      </c>
      <c r="K165" s="193" t="e">
        <f>'Demande Format Medpro'!K163</f>
        <v>#DIV/0!</v>
      </c>
      <c r="L165" s="193" t="e">
        <f>'Demande Format Medpro'!L163</f>
        <v>#DIV/0!</v>
      </c>
      <c r="N165" s="180"/>
      <c r="O165" s="180"/>
      <c r="P165" s="180"/>
      <c r="Q165" s="180"/>
    </row>
    <row r="166" spans="1:17">
      <c r="A166" s="178" t="s">
        <v>104</v>
      </c>
      <c r="B166" s="193">
        <f>'Demande Format Medpro'!B164</f>
        <v>1.5710999999999999</v>
      </c>
      <c r="C166" s="193">
        <f>'Demande Format Medpro'!C164</f>
        <v>2.1585999999999999</v>
      </c>
      <c r="D166" s="193">
        <f>'Demande Format Medpro'!D164</f>
        <v>2.02</v>
      </c>
      <c r="E166" s="193">
        <f>'Demande Format Medpro'!E164</f>
        <v>1.9784999999999999</v>
      </c>
      <c r="F166" s="193">
        <f>'Demande Format Medpro'!F164</f>
        <v>1.9629000000000001</v>
      </c>
      <c r="G166" s="193">
        <f>'Demande Format Medpro'!G164</f>
        <v>1.7719</v>
      </c>
      <c r="H166" s="193">
        <f>'Demande Format Medpro'!H164</f>
        <v>2.1404788604523901E-2</v>
      </c>
      <c r="I166" s="193">
        <f>'Demande Format Medpro'!I164</f>
        <v>-1.31847795507305E-2</v>
      </c>
      <c r="J166" s="193">
        <f>'Demande Format Medpro'!J164</f>
        <v>-4.1430994975125701E-3</v>
      </c>
      <c r="K166" s="193">
        <f>'Demande Format Medpro'!K164</f>
        <v>-1.58194945308821E-3</v>
      </c>
      <c r="L166" s="193">
        <f>'Demande Format Medpro'!L164</f>
        <v>-5.1054503777423496E-3</v>
      </c>
      <c r="N166" s="180"/>
      <c r="O166" s="180"/>
      <c r="P166" s="180"/>
      <c r="Q166" s="180"/>
    </row>
    <row r="167" spans="1:17">
      <c r="A167" s="178" t="s">
        <v>105</v>
      </c>
      <c r="B167" s="193">
        <f>'Demande Format Medpro'!B165</f>
        <v>0.29899999999999999</v>
      </c>
      <c r="C167" s="193">
        <f>'Demande Format Medpro'!C165</f>
        <v>0.24890000000000001</v>
      </c>
      <c r="D167" s="193">
        <f>'Demande Format Medpro'!D165</f>
        <v>0.2848</v>
      </c>
      <c r="E167" s="193">
        <f>'Demande Format Medpro'!E165</f>
        <v>0.2913</v>
      </c>
      <c r="F167" s="193">
        <f>'Demande Format Medpro'!F165</f>
        <v>0.29289999999999999</v>
      </c>
      <c r="G167" s="193">
        <f>'Demande Format Medpro'!G165</f>
        <v>0.29310000000000003</v>
      </c>
      <c r="H167" s="193">
        <f>'Demande Format Medpro'!H165</f>
        <v>-1.2151721799731299E-2</v>
      </c>
      <c r="I167" s="193">
        <f>'Demande Format Medpro'!I165</f>
        <v>2.7313553045417601E-2</v>
      </c>
      <c r="J167" s="193">
        <f>'Demande Format Medpro'!J165</f>
        <v>4.5234971497356601E-3</v>
      </c>
      <c r="K167" s="193">
        <f>'Demande Format Medpro'!K165</f>
        <v>1.0961182726678699E-3</v>
      </c>
      <c r="L167" s="193">
        <f>'Demande Format Medpro'!L165</f>
        <v>3.4130276582500203E-5</v>
      </c>
      <c r="N167" s="180"/>
      <c r="O167" s="180"/>
      <c r="P167" s="180"/>
      <c r="Q167" s="180"/>
    </row>
    <row r="168" spans="1:17">
      <c r="A168" s="178" t="s">
        <v>134</v>
      </c>
      <c r="B168" s="193">
        <f>'Demande Format Medpro'!B166</f>
        <v>0.109</v>
      </c>
      <c r="C168" s="193">
        <f>'Demande Format Medpro'!C166</f>
        <v>6.8500000000000005E-2</v>
      </c>
      <c r="D168" s="193">
        <f>'Demande Format Medpro'!D166</f>
        <v>4.1200000000000001E-2</v>
      </c>
      <c r="E168" s="193">
        <f>'Demande Format Medpro'!E166</f>
        <v>2.2200000000000001E-2</v>
      </c>
      <c r="F168" s="193">
        <f>'Demande Format Medpro'!F166</f>
        <v>4.5999999999999999E-3</v>
      </c>
      <c r="G168" s="193">
        <f>'Demande Format Medpro'!G166</f>
        <v>4.1999999999999997E-3</v>
      </c>
      <c r="H168" s="193">
        <f>'Demande Format Medpro'!H166</f>
        <v>0</v>
      </c>
      <c r="I168" s="193">
        <f>'Demande Format Medpro'!I166</f>
        <v>0</v>
      </c>
      <c r="J168" s="193">
        <f>'Demande Format Medpro'!J166</f>
        <v>0</v>
      </c>
      <c r="K168" s="193">
        <f>'Demande Format Medpro'!K166</f>
        <v>0</v>
      </c>
      <c r="L168" s="193">
        <f>'Demande Format Medpro'!L166</f>
        <v>0</v>
      </c>
      <c r="N168" s="180"/>
      <c r="O168" s="180"/>
      <c r="P168" s="180"/>
      <c r="Q168" s="180"/>
    </row>
    <row r="169" spans="1:17">
      <c r="A169" s="178" t="s">
        <v>135</v>
      </c>
      <c r="B169" s="193">
        <f>'Demande Format Medpro'!B167</f>
        <v>2.0799999999999999E-2</v>
      </c>
      <c r="C169" s="193">
        <f>'Demande Format Medpro'!C167</f>
        <v>8.5300000000000001E-2</v>
      </c>
      <c r="D169" s="193">
        <f>'Demande Format Medpro'!D167</f>
        <v>0.1007</v>
      </c>
      <c r="E169" s="193">
        <f>'Demande Format Medpro'!E167</f>
        <v>0.1164</v>
      </c>
      <c r="F169" s="193">
        <f>'Demande Format Medpro'!F167</f>
        <v>0.1183</v>
      </c>
      <c r="G169" s="193">
        <f>'Demande Format Medpro'!G167</f>
        <v>0.12470000000000001</v>
      </c>
      <c r="H169" s="193">
        <f>'Demande Format Medpro'!H167</f>
        <v>9.8649206582596793E-2</v>
      </c>
      <c r="I169" s="193">
        <f>'Demande Format Medpro'!I167</f>
        <v>3.3751345622512897E-2</v>
      </c>
      <c r="J169" s="193">
        <f>'Demande Format Medpro'!J167</f>
        <v>2.94012753018515E-2</v>
      </c>
      <c r="K169" s="193">
        <f>'Demande Format Medpro'!K167</f>
        <v>3.2434959237554999E-3</v>
      </c>
      <c r="L169" s="193">
        <f>'Demande Format Medpro'!L167</f>
        <v>2.6378270448042E-3</v>
      </c>
      <c r="N169" s="180"/>
      <c r="O169" s="180"/>
      <c r="P169" s="180"/>
      <c r="Q169" s="180"/>
    </row>
    <row r="170" spans="1:17">
      <c r="A170" s="178" t="s">
        <v>136</v>
      </c>
      <c r="B170" s="193">
        <f>'Demande Format Medpro'!B168</f>
        <v>0</v>
      </c>
      <c r="C170" s="193">
        <f>'Demande Format Medpro'!C168</f>
        <v>2.3367794316644101E-2</v>
      </c>
      <c r="D170" s="193">
        <f>'Demande Format Medpro'!D168</f>
        <v>0.103957409050577</v>
      </c>
      <c r="E170" s="193">
        <f>'Demande Format Medpro'!E168</f>
        <v>0.179628109995635</v>
      </c>
      <c r="F170" s="193">
        <f>'Demande Format Medpro'!F168</f>
        <v>0.25246302250803898</v>
      </c>
      <c r="G170" s="193">
        <f>'Demande Format Medpro'!G168</f>
        <v>0.53545767925808696</v>
      </c>
      <c r="H170" s="193">
        <f>'Demande Format Medpro'!H168</f>
        <v>0</v>
      </c>
      <c r="I170" s="193">
        <f>'Demande Format Medpro'!I168</f>
        <v>0</v>
      </c>
      <c r="J170" s="193">
        <f>'Demande Format Medpro'!J168</f>
        <v>0</v>
      </c>
      <c r="K170" s="193">
        <f>'Demande Format Medpro'!K168</f>
        <v>0</v>
      </c>
      <c r="L170" s="193">
        <f>'Demande Format Medpro'!L168</f>
        <v>0</v>
      </c>
      <c r="N170" s="180"/>
      <c r="O170" s="180"/>
      <c r="P170" s="180"/>
      <c r="Q170" s="180"/>
    </row>
    <row r="171" spans="1:17">
      <c r="A171" s="178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N171" s="180"/>
      <c r="O171" s="180"/>
      <c r="P171" s="180"/>
      <c r="Q171" s="180"/>
    </row>
    <row r="172" spans="1:17" ht="15" thickBot="1">
      <c r="A172" s="213" t="s">
        <v>10</v>
      </c>
      <c r="B172" s="575">
        <f>'Demande Format Medpro'!B170</f>
        <v>4.4291</v>
      </c>
      <c r="C172" s="182">
        <f>'Demande Format Medpro'!C170</f>
        <v>4.6972677943166401</v>
      </c>
      <c r="D172" s="182">
        <f>'Demande Format Medpro'!D170</f>
        <v>4.4479574090505798</v>
      </c>
      <c r="E172" s="182">
        <f>'Demande Format Medpro'!E170</f>
        <v>4.3295281099956302</v>
      </c>
      <c r="F172" s="182">
        <f>'Demande Format Medpro'!F170</f>
        <v>4.2373630225080401</v>
      </c>
      <c r="G172" s="182">
        <f>'Demande Format Medpro'!G170</f>
        <v>4.09635767925809</v>
      </c>
      <c r="H172" s="182">
        <f>'Demande Format Medpro'!H170</f>
        <v>3.9266636335164602E-3</v>
      </c>
      <c r="I172" s="182">
        <f>'Demande Format Medpro'!I170</f>
        <v>-1.0847939635284E-2</v>
      </c>
      <c r="J172" s="182">
        <f>'Demande Format Medpro'!J170</f>
        <v>-5.3827462339912603E-3</v>
      </c>
      <c r="K172" s="182">
        <f>'Demande Format Medpro'!K170</f>
        <v>-4.2942347802371597E-3</v>
      </c>
      <c r="L172" s="182">
        <f>'Demande Format Medpro'!L170</f>
        <v>-1.69071608403115E-3</v>
      </c>
      <c r="N172" s="180"/>
      <c r="O172" s="180"/>
      <c r="P172" s="180"/>
      <c r="Q172" s="180"/>
    </row>
    <row r="173" spans="1:17">
      <c r="A173" s="183"/>
      <c r="B173" s="170"/>
      <c r="C173" s="170"/>
      <c r="D173" s="170"/>
      <c r="E173" s="170"/>
    </row>
    <row r="174" spans="1:17">
      <c r="B174" s="170"/>
      <c r="C174" s="170"/>
      <c r="D174" s="170"/>
      <c r="E174" s="170"/>
    </row>
    <row r="175" spans="1:17" ht="16" thickBot="1">
      <c r="A175" s="90" t="s">
        <v>147</v>
      </c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</row>
    <row r="176" spans="1:17" ht="15" thickBot="1">
      <c r="A176" s="176" t="s">
        <v>51</v>
      </c>
      <c r="B176" s="177">
        <v>2000</v>
      </c>
      <c r="C176" s="177">
        <v>2015</v>
      </c>
      <c r="D176" s="177">
        <v>2020</v>
      </c>
      <c r="E176" s="177">
        <v>2025</v>
      </c>
      <c r="F176" s="177">
        <v>2030</v>
      </c>
      <c r="G176" s="177">
        <v>2050</v>
      </c>
      <c r="H176" s="185" t="s">
        <v>98</v>
      </c>
      <c r="I176" s="186" t="s">
        <v>99</v>
      </c>
      <c r="J176" s="186" t="s">
        <v>100</v>
      </c>
      <c r="K176" s="186" t="s">
        <v>101</v>
      </c>
      <c r="L176" s="187" t="s">
        <v>102</v>
      </c>
    </row>
    <row r="177" spans="1:21">
      <c r="A177" s="178" t="s">
        <v>103</v>
      </c>
      <c r="B177" s="576"/>
      <c r="C177" s="576">
        <v>0.61787754876954737</v>
      </c>
      <c r="D177" s="193">
        <v>0.56698467124688645</v>
      </c>
      <c r="E177" s="193">
        <v>0.41349072896673383</v>
      </c>
      <c r="F177" s="193">
        <v>0.2783747952996008</v>
      </c>
      <c r="G177" s="193">
        <v>0.14231770688151879</v>
      </c>
      <c r="H177" s="577">
        <v>-6.2452325127548836E-3</v>
      </c>
      <c r="I177" s="578">
        <v>-1.7044673184611447E-2</v>
      </c>
      <c r="J177" s="578">
        <v>-6.1187438802784877E-2</v>
      </c>
      <c r="K177" s="578">
        <v>-7.608327939658166E-2</v>
      </c>
      <c r="L177" s="579">
        <v>-3.2988917577112642E-2</v>
      </c>
      <c r="N177" s="219"/>
      <c r="O177" s="219"/>
      <c r="P177" s="219"/>
      <c r="Q177" s="219"/>
      <c r="R177" s="219"/>
      <c r="S177" s="219"/>
      <c r="T177" s="219"/>
      <c r="U177" s="219"/>
    </row>
    <row r="178" spans="1:21">
      <c r="A178" s="178" t="s">
        <v>54</v>
      </c>
      <c r="B178" s="576">
        <v>0.95550701195492693</v>
      </c>
      <c r="C178" s="576">
        <v>0.9471618351452129</v>
      </c>
      <c r="D178" s="193">
        <v>0.83823992763478516</v>
      </c>
      <c r="E178" s="193">
        <v>0.64245054295487036</v>
      </c>
      <c r="F178" s="193">
        <v>0.5589352095883674</v>
      </c>
      <c r="G178" s="193">
        <v>0.38201068689249773</v>
      </c>
      <c r="H178" s="580">
        <v>-5.8463777549722096E-4</v>
      </c>
      <c r="I178" s="581">
        <v>-2.4137047881651941E-2</v>
      </c>
      <c r="J178" s="581">
        <v>-5.1812400269630299E-2</v>
      </c>
      <c r="K178" s="581">
        <v>-2.7466984642139591E-2</v>
      </c>
      <c r="L178" s="582">
        <v>-1.8849335751053742E-2</v>
      </c>
      <c r="N178" s="219"/>
      <c r="O178" s="219"/>
      <c r="P178" s="219"/>
      <c r="Q178" s="219"/>
      <c r="R178" s="219"/>
      <c r="S178" s="219"/>
      <c r="T178" s="219"/>
      <c r="U178" s="219"/>
    </row>
    <row r="179" spans="1:21">
      <c r="A179" s="178" t="s">
        <v>104</v>
      </c>
      <c r="B179" s="576">
        <v>0.82600000000000007</v>
      </c>
      <c r="C179" s="576">
        <v>1.1221837024344656</v>
      </c>
      <c r="D179" s="193">
        <v>1.2801854610800787</v>
      </c>
      <c r="E179" s="193">
        <v>1.6084817283664707</v>
      </c>
      <c r="F179" s="193">
        <v>1.7944935823414079</v>
      </c>
      <c r="G179" s="193">
        <v>1.9175419082714962</v>
      </c>
      <c r="H179" s="580">
        <v>2.0639238204596122E-2</v>
      </c>
      <c r="I179" s="581">
        <v>2.6695803050380995E-2</v>
      </c>
      <c r="J179" s="581">
        <v>4.6715482882137893E-2</v>
      </c>
      <c r="K179" s="581">
        <v>2.2127694242718876E-2</v>
      </c>
      <c r="L179" s="582">
        <v>3.3215669382815616E-3</v>
      </c>
      <c r="N179" s="219"/>
      <c r="O179" s="219"/>
      <c r="P179" s="219"/>
      <c r="Q179" s="219"/>
      <c r="R179" s="201"/>
      <c r="S179" s="219"/>
      <c r="T179" s="219"/>
      <c r="U179" s="219"/>
    </row>
    <row r="180" spans="1:21">
      <c r="A180" s="178"/>
      <c r="B180" s="576"/>
      <c r="C180" s="576"/>
      <c r="D180" s="179"/>
      <c r="E180" s="179"/>
      <c r="F180" s="179"/>
      <c r="G180" s="214"/>
      <c r="H180" s="580"/>
      <c r="I180" s="581"/>
      <c r="J180" s="581"/>
      <c r="K180" s="581"/>
      <c r="L180" s="582"/>
    </row>
    <row r="181" spans="1:21" ht="15" thickBot="1">
      <c r="A181" s="213" t="s">
        <v>10</v>
      </c>
      <c r="B181" s="583">
        <v>2.4602635678511495</v>
      </c>
      <c r="C181" s="584">
        <v>2.6872230863492259</v>
      </c>
      <c r="D181" s="218">
        <v>2.6854100599617503</v>
      </c>
      <c r="E181" s="218">
        <v>2.6644230002880747</v>
      </c>
      <c r="F181" s="218">
        <v>2.6318035872293759</v>
      </c>
      <c r="G181" s="218">
        <v>2.4418703020455128</v>
      </c>
      <c r="H181" s="585">
        <v>5.899994469378278E-3</v>
      </c>
      <c r="I181" s="586">
        <v>-1.349732281475946E-4</v>
      </c>
      <c r="J181" s="586">
        <v>-1.5679524467334671E-3</v>
      </c>
      <c r="K181" s="586">
        <v>-2.4605953999589092E-3</v>
      </c>
      <c r="L181" s="587">
        <v>-3.7382514184234328E-3</v>
      </c>
    </row>
    <row r="182" spans="1:21">
      <c r="B182" s="170"/>
      <c r="C182" s="170"/>
      <c r="D182" s="170"/>
      <c r="E182" s="170"/>
    </row>
    <row r="183" spans="1:21">
      <c r="B183" s="170"/>
      <c r="C183" s="170"/>
      <c r="D183" s="170"/>
      <c r="E183" s="170"/>
    </row>
    <row r="184" spans="1:21" ht="16" thickBot="1">
      <c r="A184" s="90" t="s">
        <v>148</v>
      </c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</row>
    <row r="185" spans="1:21" ht="15" thickBot="1">
      <c r="A185" s="176"/>
      <c r="B185" s="177">
        <v>2000</v>
      </c>
      <c r="C185" s="177">
        <v>2015</v>
      </c>
      <c r="D185" s="177">
        <v>2020</v>
      </c>
      <c r="E185" s="177">
        <v>2025</v>
      </c>
      <c r="F185" s="177">
        <v>2030</v>
      </c>
      <c r="G185" s="177">
        <v>2050</v>
      </c>
      <c r="H185" s="185" t="s">
        <v>98</v>
      </c>
      <c r="I185" s="186" t="s">
        <v>99</v>
      </c>
      <c r="J185" s="186" t="s">
        <v>100</v>
      </c>
      <c r="K185" s="186" t="s">
        <v>101</v>
      </c>
      <c r="L185" s="187" t="s">
        <v>102</v>
      </c>
    </row>
    <row r="186" spans="1:21">
      <c r="A186" s="178" t="s">
        <v>149</v>
      </c>
      <c r="B186" s="220">
        <f>'Demande Format Medpro'!B175</f>
        <v>24.333600000000001</v>
      </c>
      <c r="C186" s="220">
        <f>'Demande Format Medpro'!C175</f>
        <v>28.339300000000001</v>
      </c>
      <c r="D186" s="220">
        <f>'Demande Format Medpro'!D175</f>
        <v>29.486799999999999</v>
      </c>
      <c r="E186" s="220">
        <f>'Demande Format Medpro'!E175</f>
        <v>30.563199999999998</v>
      </c>
      <c r="F186" s="220">
        <f>'Demande Format Medpro'!F175</f>
        <v>31.6767</v>
      </c>
      <c r="G186" s="220">
        <f>'Demande Format Medpro'!G175</f>
        <v>34.886899999999997</v>
      </c>
      <c r="H186" s="220">
        <f>'Demande Format Medpro'!H175</f>
        <v>1.02112103718381E-2</v>
      </c>
      <c r="I186" s="220">
        <f>'Demande Format Medpro'!I175</f>
        <v>7.9702288465317607E-3</v>
      </c>
      <c r="J186" s="220">
        <f>'Demande Format Medpro'!J175</f>
        <v>7.1965647566061301E-3</v>
      </c>
      <c r="K186" s="220">
        <f>'Demande Format Medpro'!K175</f>
        <v>7.1826169366853198E-3</v>
      </c>
      <c r="L186" s="220">
        <f>'Demande Format Medpro'!L175</f>
        <v>4.8381666003032304E-3</v>
      </c>
    </row>
    <row r="187" spans="1:21">
      <c r="A187" s="178" t="s">
        <v>150</v>
      </c>
      <c r="B187" s="220">
        <f>'Demande Format Medpro'!B176</f>
        <v>0.72678820211356199</v>
      </c>
      <c r="C187" s="220">
        <f>'Demande Format Medpro'!C176</f>
        <v>0.64822353265087995</v>
      </c>
      <c r="D187" s="220">
        <f>'Demande Format Medpro'!D176</f>
        <v>0.583033656203088</v>
      </c>
      <c r="E187" s="220">
        <f>'Demande Format Medpro'!E176</f>
        <v>0.54665582556994197</v>
      </c>
      <c r="F187" s="220">
        <f>'Demande Format Medpro'!F176</f>
        <v>0.51786525125971505</v>
      </c>
      <c r="G187" s="220">
        <f>'Demande Format Medpro'!G176</f>
        <v>0.46291147275682398</v>
      </c>
      <c r="H187" s="220">
        <f>'Demande Format Medpro'!H176</f>
        <v>-7.5976249600224798E-3</v>
      </c>
      <c r="I187" s="220">
        <f>'Demande Format Medpro'!I176</f>
        <v>-2.0975034865257002E-2</v>
      </c>
      <c r="J187" s="220">
        <f>'Demande Format Medpro'!J176</f>
        <v>-1.28024451307539E-2</v>
      </c>
      <c r="K187" s="220">
        <f>'Demande Format Medpro'!K176</f>
        <v>-1.0762530034204E-2</v>
      </c>
      <c r="L187" s="220">
        <f>'Demande Format Medpro'!L176</f>
        <v>-5.5932613135782896E-3</v>
      </c>
    </row>
    <row r="188" spans="1:21">
      <c r="A188" s="178" t="s">
        <v>151</v>
      </c>
      <c r="B188" s="220">
        <f>'Demande Format Medpro'!B177</f>
        <v>2087.9582554622998</v>
      </c>
      <c r="C188" s="220">
        <f>'Demande Format Medpro'!C177</f>
        <v>2286.9352613330402</v>
      </c>
      <c r="D188" s="220">
        <f>'Demande Format Medpro'!D177</f>
        <v>2178.91852842035</v>
      </c>
      <c r="E188" s="220">
        <f>'Demande Format Medpro'!E177</f>
        <v>2118.52449485023</v>
      </c>
      <c r="F188" s="220">
        <f>'Demande Format Medpro'!F177</f>
        <v>2079.48900164729</v>
      </c>
      <c r="G188" s="220">
        <f>'Demande Format Medpro'!G177</f>
        <v>2047.55886353649</v>
      </c>
      <c r="H188" s="220">
        <f>'Demande Format Medpro'!H177</f>
        <v>6.0868453574838303E-3</v>
      </c>
      <c r="I188" s="220">
        <f>'Demande Format Medpro'!I177</f>
        <v>-9.6301188556817702E-3</v>
      </c>
      <c r="J188" s="220">
        <f>'Demande Format Medpro'!J177</f>
        <v>-5.6059899545614104E-3</v>
      </c>
      <c r="K188" s="220">
        <f>'Demande Format Medpro'!K177</f>
        <v>-3.7126235333300199E-3</v>
      </c>
      <c r="L188" s="220">
        <f>'Demande Format Medpro'!L177</f>
        <v>-7.7339607167248303E-4</v>
      </c>
    </row>
    <row r="189" spans="1:21" ht="15" thickBot="1">
      <c r="A189" s="181" t="s">
        <v>152</v>
      </c>
      <c r="B189" s="590">
        <f>'Demande Format Medpro'!B178</f>
        <v>4.7056641153043199E-2</v>
      </c>
      <c r="C189" s="591">
        <f>'Demande Format Medpro'!C178</f>
        <v>3.7830929395763602E-2</v>
      </c>
      <c r="D189" s="591">
        <f>'Demande Format Medpro'!D178</f>
        <v>3.2334851141514999E-2</v>
      </c>
      <c r="E189" s="591">
        <f>'Demande Format Medpro'!E178</f>
        <v>2.9127896511607802E-2</v>
      </c>
      <c r="F189" s="591">
        <f>'Demande Format Medpro'!F178</f>
        <v>2.63301368687969E-2</v>
      </c>
      <c r="G189" s="591">
        <f>'Demande Format Medpro'!G178</f>
        <v>1.7949265120470299E-2</v>
      </c>
      <c r="H189" s="591">
        <f>'Demande Format Medpro'!H178</f>
        <v>-1.4443017738933899E-2</v>
      </c>
      <c r="I189" s="591">
        <f>'Demande Format Medpro'!I178</f>
        <v>-3.0908529703838599E-2</v>
      </c>
      <c r="J189" s="591">
        <f>'Demande Format Medpro'!J178</f>
        <v>-2.0673173078978799E-2</v>
      </c>
      <c r="K189" s="591">
        <f>'Demande Format Medpro'!K178</f>
        <v>-1.9993855320703E-2</v>
      </c>
      <c r="L189" s="591">
        <f>'Demande Format Medpro'!L178</f>
        <v>-1.8975897006451602E-2</v>
      </c>
    </row>
    <row r="190" spans="1:21">
      <c r="A190" s="211"/>
      <c r="F190" s="169"/>
    </row>
    <row r="191" spans="1:21">
      <c r="F191" s="169"/>
    </row>
    <row r="192" spans="1:21" ht="21">
      <c r="A192" s="78" t="s">
        <v>153</v>
      </c>
      <c r="B192" s="73"/>
      <c r="C192" s="73"/>
      <c r="D192" s="73"/>
      <c r="E192" s="73"/>
      <c r="F192" s="73"/>
      <c r="G192" s="212"/>
      <c r="H192" s="212"/>
      <c r="I192" s="212"/>
      <c r="J192" s="212"/>
      <c r="K192" s="212"/>
      <c r="L192" s="212"/>
    </row>
    <row r="193" spans="1:13">
      <c r="F193" s="169"/>
    </row>
    <row r="194" spans="1:13" ht="16" thickBot="1">
      <c r="A194" s="90" t="s">
        <v>154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</row>
    <row r="195" spans="1:13" ht="15" thickBot="1">
      <c r="A195" s="209" t="s">
        <v>51</v>
      </c>
      <c r="B195" s="177">
        <v>2000</v>
      </c>
      <c r="C195" s="177">
        <v>2015</v>
      </c>
      <c r="D195" s="177">
        <v>2020</v>
      </c>
      <c r="E195" s="177">
        <v>2025</v>
      </c>
      <c r="F195" s="177">
        <v>2030</v>
      </c>
      <c r="G195" s="177">
        <v>2050</v>
      </c>
      <c r="H195" s="185" t="s">
        <v>98</v>
      </c>
      <c r="I195" s="186" t="s">
        <v>99</v>
      </c>
      <c r="J195" s="186" t="s">
        <v>100</v>
      </c>
      <c r="K195" s="186" t="s">
        <v>101</v>
      </c>
      <c r="L195" s="187" t="s">
        <v>102</v>
      </c>
    </row>
    <row r="196" spans="1:13">
      <c r="A196" s="178" t="s">
        <v>103</v>
      </c>
      <c r="B196" s="193">
        <f>'Demande Format Medpro'!B185</f>
        <v>3.7561</v>
      </c>
      <c r="C196" s="193">
        <f>'Demande Format Medpro'!C185</f>
        <v>2.3746</v>
      </c>
      <c r="D196" s="193">
        <f>'Demande Format Medpro'!D185</f>
        <v>1.9155</v>
      </c>
      <c r="E196" s="193">
        <f>'Demande Format Medpro'!E185</f>
        <v>1.4925999999999999</v>
      </c>
      <c r="F196" s="193">
        <f>'Demande Format Medpro'!F185</f>
        <v>1.1229</v>
      </c>
      <c r="G196" s="193">
        <f>'Demande Format Medpro'!G185</f>
        <v>0.74460000000000004</v>
      </c>
      <c r="H196" s="193">
        <f>'Demande Format Medpro'!H185</f>
        <v>-3.0107603926098101E-2</v>
      </c>
      <c r="I196" s="193">
        <f>'Demande Format Medpro'!I185</f>
        <v>-4.2059932911037302E-2</v>
      </c>
      <c r="J196" s="193">
        <f>'Demande Format Medpro'!J185</f>
        <v>-4.86676696332956E-2</v>
      </c>
      <c r="K196" s="193">
        <f>'Demande Format Medpro'!K185</f>
        <v>-5.5331293629666801E-2</v>
      </c>
      <c r="L196" s="193">
        <f>'Demande Format Medpro'!L185</f>
        <v>-2.03316050780015E-2</v>
      </c>
      <c r="M196" s="219"/>
    </row>
    <row r="197" spans="1:13">
      <c r="A197" s="178" t="s">
        <v>54</v>
      </c>
      <c r="B197" s="193">
        <f>'Demande Format Medpro'!B186</f>
        <v>5.5961999999999996</v>
      </c>
      <c r="C197" s="193">
        <f>'Demande Format Medpro'!C186</f>
        <v>6.1024000000000003</v>
      </c>
      <c r="D197" s="193">
        <f>'Demande Format Medpro'!D186</f>
        <v>5.7868000000000004</v>
      </c>
      <c r="E197" s="193">
        <f>'Demande Format Medpro'!E186</f>
        <v>5.2241999999999997</v>
      </c>
      <c r="F197" s="193">
        <f>'Demande Format Medpro'!F186</f>
        <v>4.3676000000000004</v>
      </c>
      <c r="G197" s="193">
        <f>'Demande Format Medpro'!G186</f>
        <v>2.6025</v>
      </c>
      <c r="H197" s="193">
        <f>'Demande Format Medpro'!H186</f>
        <v>5.7896516525792804E-3</v>
      </c>
      <c r="I197" s="193">
        <f>'Demande Format Medpro'!I186</f>
        <v>-1.05643361785912E-2</v>
      </c>
      <c r="J197" s="193">
        <f>'Demande Format Medpro'!J186</f>
        <v>-2.0247761500076299E-2</v>
      </c>
      <c r="K197" s="193">
        <f>'Demande Format Medpro'!K186</f>
        <v>-3.5183743345156303E-2</v>
      </c>
      <c r="L197" s="193">
        <f>'Demande Format Medpro'!L186</f>
        <v>-2.5554859734163798E-2</v>
      </c>
      <c r="M197" s="219"/>
    </row>
    <row r="198" spans="1:13">
      <c r="A198" s="178" t="s">
        <v>42</v>
      </c>
      <c r="B198" s="193">
        <f>'Demande Format Medpro'!B187</f>
        <v>0.15870000000000001</v>
      </c>
      <c r="C198" s="193">
        <f>'Demande Format Medpro'!C187</f>
        <v>6.5500000000000003E-2</v>
      </c>
      <c r="D198" s="193">
        <f>'Demande Format Medpro'!D187</f>
        <v>0</v>
      </c>
      <c r="E198" s="193">
        <f>'Demande Format Medpro'!E187</f>
        <v>0</v>
      </c>
      <c r="F198" s="193">
        <f>'Demande Format Medpro'!F187</f>
        <v>0</v>
      </c>
      <c r="G198" s="193">
        <f>'Demande Format Medpro'!G187</f>
        <v>0</v>
      </c>
      <c r="H198" s="193">
        <f>'Demande Format Medpro'!H187</f>
        <v>-5.7291061665288301E-2</v>
      </c>
      <c r="I198" s="193">
        <f>'Demande Format Medpro'!I187</f>
        <v>-1</v>
      </c>
      <c r="J198" s="193" t="e">
        <f>'Demande Format Medpro'!J187</f>
        <v>#DIV/0!</v>
      </c>
      <c r="K198" s="193" t="e">
        <f>'Demande Format Medpro'!K187</f>
        <v>#DIV/0!</v>
      </c>
      <c r="L198" s="193" t="e">
        <f>'Demande Format Medpro'!L187</f>
        <v>#DIV/0!</v>
      </c>
      <c r="M198" s="219"/>
    </row>
    <row r="199" spans="1:13">
      <c r="A199" s="178" t="s">
        <v>104</v>
      </c>
      <c r="B199" s="193">
        <f>'Demande Format Medpro'!B188</f>
        <v>9.33</v>
      </c>
      <c r="C199" s="193">
        <f>'Demande Format Medpro'!C188</f>
        <v>12.408300000000001</v>
      </c>
      <c r="D199" s="193">
        <f>'Demande Format Medpro'!D188</f>
        <v>12.885300000000001</v>
      </c>
      <c r="E199" s="193">
        <f>'Demande Format Medpro'!E188</f>
        <v>13.4857</v>
      </c>
      <c r="F199" s="193">
        <f>'Demande Format Medpro'!F188</f>
        <v>14.125299999999999</v>
      </c>
      <c r="G199" s="193">
        <f>'Demande Format Medpro'!G188</f>
        <v>17.1599</v>
      </c>
      <c r="H199" s="193">
        <f>'Demande Format Medpro'!H188</f>
        <v>1.9190521561260901E-2</v>
      </c>
      <c r="I199" s="193">
        <f>'Demande Format Medpro'!I188</f>
        <v>7.5728346050991701E-3</v>
      </c>
      <c r="J199" s="193">
        <f>'Demande Format Medpro'!J188</f>
        <v>9.1501566671643407E-3</v>
      </c>
      <c r="K199" s="193">
        <f>'Demande Format Medpro'!K188</f>
        <v>9.3106067204133895E-3</v>
      </c>
      <c r="L199" s="193">
        <f>'Demande Format Medpro'!L188</f>
        <v>9.7778816809108698E-3</v>
      </c>
      <c r="M199" s="219"/>
    </row>
    <row r="200" spans="1:13">
      <c r="A200" s="178" t="s">
        <v>105</v>
      </c>
      <c r="B200" s="193">
        <f>'Demande Format Medpro'!B189</f>
        <v>0.85540000000000005</v>
      </c>
      <c r="C200" s="193">
        <f>'Demande Format Medpro'!C189</f>
        <v>0.81569999999999998</v>
      </c>
      <c r="D200" s="193">
        <f>'Demande Format Medpro'!D189</f>
        <v>0.73019999999999996</v>
      </c>
      <c r="E200" s="193">
        <f>'Demande Format Medpro'!E189</f>
        <v>0.69030000000000002</v>
      </c>
      <c r="F200" s="193">
        <f>'Demande Format Medpro'!F189</f>
        <v>0.70609999999999995</v>
      </c>
      <c r="G200" s="193">
        <f>'Demande Format Medpro'!G189</f>
        <v>0.83020000000000005</v>
      </c>
      <c r="H200" s="193">
        <f>'Demande Format Medpro'!H189</f>
        <v>-3.1631570098044101E-3</v>
      </c>
      <c r="I200" s="193">
        <f>'Demande Format Medpro'!I189</f>
        <v>-2.19022198260551E-2</v>
      </c>
      <c r="J200" s="193">
        <f>'Demande Format Medpro'!J189</f>
        <v>-1.11755213831751E-2</v>
      </c>
      <c r="K200" s="193">
        <f>'Demande Format Medpro'!K189</f>
        <v>4.5363753009275403E-3</v>
      </c>
      <c r="L200" s="193">
        <f>'Demande Format Medpro'!L189</f>
        <v>8.1283453247007493E-3</v>
      </c>
      <c r="M200" s="219"/>
    </row>
    <row r="201" spans="1:13">
      <c r="A201" s="178" t="s">
        <v>134</v>
      </c>
      <c r="B201" s="193">
        <f>'Demande Format Medpro'!B190</f>
        <v>0.32079999999999997</v>
      </c>
      <c r="C201" s="193">
        <f>'Demande Format Medpro'!C190</f>
        <v>0.43919999999999998</v>
      </c>
      <c r="D201" s="193">
        <f>'Demande Format Medpro'!D190</f>
        <v>0.28920000000000001</v>
      </c>
      <c r="E201" s="193">
        <f>'Demande Format Medpro'!E190</f>
        <v>0.1908</v>
      </c>
      <c r="F201" s="193">
        <f>'Demande Format Medpro'!F190</f>
        <v>0.1142</v>
      </c>
      <c r="G201" s="193">
        <f>'Demande Format Medpro'!G190</f>
        <v>4.9099999999999998E-2</v>
      </c>
      <c r="H201" s="193">
        <f>'Demande Format Medpro'!H190</f>
        <v>2.11632999858604E-2</v>
      </c>
      <c r="I201" s="193">
        <f>'Demande Format Medpro'!I190</f>
        <v>-8.0170801502706598E-2</v>
      </c>
      <c r="J201" s="193">
        <f>'Demande Format Medpro'!J190</f>
        <v>-7.9813163360698103E-2</v>
      </c>
      <c r="K201" s="193">
        <f>'Demande Format Medpro'!K190</f>
        <v>-9.7561641878772601E-2</v>
      </c>
      <c r="L201" s="193">
        <f>'Demande Format Medpro'!L190</f>
        <v>-4.1326396695113801E-2</v>
      </c>
      <c r="M201" s="219"/>
    </row>
    <row r="202" spans="1:13">
      <c r="A202" s="178" t="s">
        <v>135</v>
      </c>
      <c r="B202" s="193">
        <f>'Demande Format Medpro'!B191</f>
        <v>0</v>
      </c>
      <c r="C202" s="193">
        <f>'Demande Format Medpro'!C191</f>
        <v>8.9099999999999999E-2</v>
      </c>
      <c r="D202" s="193">
        <f>'Demande Format Medpro'!D191</f>
        <v>7.9899999999999999E-2</v>
      </c>
      <c r="E202" s="193">
        <f>'Demande Format Medpro'!E191</f>
        <v>6.5100000000000005E-2</v>
      </c>
      <c r="F202" s="193">
        <f>'Demande Format Medpro'!F191</f>
        <v>5.2400000000000002E-2</v>
      </c>
      <c r="G202" s="193">
        <f>'Demande Format Medpro'!G191</f>
        <v>3.4099999999999998E-2</v>
      </c>
      <c r="H202" s="193">
        <f>'Demande Format Medpro'!H191</f>
        <v>0</v>
      </c>
      <c r="I202" s="193">
        <f>'Demande Format Medpro'!I191</f>
        <v>0</v>
      </c>
      <c r="J202" s="193">
        <f>'Demande Format Medpro'!J191</f>
        <v>0</v>
      </c>
      <c r="K202" s="193">
        <f>'Demande Format Medpro'!K191</f>
        <v>0</v>
      </c>
      <c r="L202" s="193">
        <f>'Demande Format Medpro'!L191</f>
        <v>0</v>
      </c>
      <c r="M202" s="219"/>
    </row>
    <row r="203" spans="1:13">
      <c r="A203" s="178" t="s">
        <v>136</v>
      </c>
      <c r="B203" s="193">
        <f>'Demande Format Medpro'!B192</f>
        <v>0</v>
      </c>
      <c r="C203" s="193">
        <f>'Demande Format Medpro'!C192</f>
        <v>0.70541508524818897</v>
      </c>
      <c r="D203" s="193">
        <f>'Demande Format Medpro'!D192</f>
        <v>0.84021412129145101</v>
      </c>
      <c r="E203" s="193">
        <f>'Demande Format Medpro'!E192</f>
        <v>0.92974017049510504</v>
      </c>
      <c r="F203" s="193">
        <f>'Demande Format Medpro'!F192</f>
        <v>0.95436496257908998</v>
      </c>
      <c r="G203" s="193">
        <f>'Demande Format Medpro'!G192</f>
        <v>1.2473564476953301</v>
      </c>
      <c r="H203" s="193">
        <f>'Demande Format Medpro'!H192</f>
        <v>0</v>
      </c>
      <c r="I203" s="193">
        <f>'Demande Format Medpro'!I192</f>
        <v>0</v>
      </c>
      <c r="J203" s="193">
        <f>'Demande Format Medpro'!J192</f>
        <v>0</v>
      </c>
      <c r="K203" s="193">
        <f>'Demande Format Medpro'!K192</f>
        <v>0</v>
      </c>
      <c r="L203" s="193">
        <f>'Demande Format Medpro'!L192</f>
        <v>0</v>
      </c>
      <c r="M203" s="219"/>
    </row>
    <row r="204" spans="1:13">
      <c r="A204" s="178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</row>
    <row r="205" spans="1:13" ht="15" thickBot="1">
      <c r="A205" s="181" t="s">
        <v>10</v>
      </c>
      <c r="B205" s="575">
        <f>'Demande Format Medpro'!B194</f>
        <v>20.017199999999999</v>
      </c>
      <c r="C205" s="182">
        <f>'Demande Format Medpro'!C194</f>
        <v>23.0002150852482</v>
      </c>
      <c r="D205" s="182">
        <f>'Demande Format Medpro'!D194</f>
        <v>22.5271141212915</v>
      </c>
      <c r="E205" s="182">
        <f>'Demande Format Medpro'!E194</f>
        <v>22.078440170495099</v>
      </c>
      <c r="F205" s="182">
        <f>'Demande Format Medpro'!F194</f>
        <v>21.442864962579101</v>
      </c>
      <c r="G205" s="182">
        <f>'Demande Format Medpro'!G194</f>
        <v>22.6677564476953</v>
      </c>
      <c r="H205" s="182">
        <f>'Demande Format Medpro'!H194</f>
        <v>9.3037912415132595E-3</v>
      </c>
      <c r="I205" s="182">
        <f>'Demande Format Medpro'!I194</f>
        <v>-4.1481548719571899E-3</v>
      </c>
      <c r="J205" s="182">
        <f>'Demande Format Medpro'!J194</f>
        <v>-4.0155323599075903E-3</v>
      </c>
      <c r="K205" s="182">
        <f>'Demande Format Medpro'!K194</f>
        <v>-5.8248931822137999E-3</v>
      </c>
      <c r="L205" s="182">
        <f>'Demande Format Medpro'!L194</f>
        <v>2.7814380241897299E-3</v>
      </c>
    </row>
    <row r="206" spans="1:13">
      <c r="A206" s="183"/>
      <c r="B206" s="170"/>
      <c r="C206" s="170"/>
      <c r="D206" s="170"/>
      <c r="E206" s="170"/>
    </row>
    <row r="207" spans="1:13">
      <c r="A207" s="183"/>
      <c r="B207" s="170"/>
      <c r="C207" s="170"/>
      <c r="D207" s="170"/>
      <c r="E207" s="170"/>
    </row>
    <row r="208" spans="1:13" ht="16" thickBot="1">
      <c r="A208" s="90" t="s">
        <v>155</v>
      </c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</row>
    <row r="209" spans="1:14" ht="15" thickBot="1">
      <c r="A209" s="209" t="s">
        <v>51</v>
      </c>
      <c r="B209" s="177">
        <v>2000</v>
      </c>
      <c r="C209" s="177">
        <v>2015</v>
      </c>
      <c r="D209" s="177">
        <v>2020</v>
      </c>
      <c r="E209" s="177">
        <v>2025</v>
      </c>
      <c r="F209" s="177">
        <v>2030</v>
      </c>
      <c r="G209" s="177">
        <v>2050</v>
      </c>
      <c r="H209" s="185" t="s">
        <v>98</v>
      </c>
      <c r="I209" s="186" t="s">
        <v>99</v>
      </c>
      <c r="J209" s="186" t="s">
        <v>100</v>
      </c>
      <c r="K209" s="186" t="s">
        <v>101</v>
      </c>
      <c r="L209" s="187" t="s">
        <v>102</v>
      </c>
    </row>
    <row r="210" spans="1:14">
      <c r="A210" s="178" t="s">
        <v>138</v>
      </c>
      <c r="B210" s="193">
        <f>'Demande Format Medpro'!B199</f>
        <v>9.3125</v>
      </c>
      <c r="C210" s="193">
        <f>'Demande Format Medpro'!C199</f>
        <v>9.4195150852481895</v>
      </c>
      <c r="D210" s="193">
        <f>'Demande Format Medpro'!D199</f>
        <v>8.5917141212914494</v>
      </c>
      <c r="E210" s="193">
        <f>'Demande Format Medpro'!E199</f>
        <v>7.7719401704950997</v>
      </c>
      <c r="F210" s="193">
        <f>'Demande Format Medpro'!F199</f>
        <v>6.7008649625790904</v>
      </c>
      <c r="G210" s="193">
        <f>'Demande Format Medpro'!G199</f>
        <v>5.20145644769533</v>
      </c>
      <c r="H210" s="193">
        <f>'Demande Format Medpro'!H199</f>
        <v>7.6202528770386003E-4</v>
      </c>
      <c r="I210" s="193">
        <f>'Demande Format Medpro'!I199</f>
        <v>-1.8228876035648999E-2</v>
      </c>
      <c r="J210" s="193">
        <f>'Demande Format Medpro'!J199</f>
        <v>-1.9855908742122699E-2</v>
      </c>
      <c r="K210" s="193">
        <f>'Demande Format Medpro'!K199</f>
        <v>-2.9221200253626501E-2</v>
      </c>
      <c r="L210" s="193">
        <f>'Demande Format Medpro'!L199</f>
        <v>-1.25850349185209E-2</v>
      </c>
      <c r="N210" s="180"/>
    </row>
    <row r="211" spans="1:14">
      <c r="A211" s="178" t="s">
        <v>156</v>
      </c>
      <c r="B211" s="193">
        <f>'Demande Format Medpro'!B200</f>
        <v>3.78571461736888</v>
      </c>
      <c r="C211" s="193">
        <f>'Demande Format Medpro'!C200</f>
        <v>3.9586567497850398</v>
      </c>
      <c r="D211" s="193">
        <f>'Demande Format Medpro'!D200</f>
        <v>3.97265709372313</v>
      </c>
      <c r="E211" s="193">
        <f>'Demande Format Medpro'!E200</f>
        <v>3.9334647463456598</v>
      </c>
      <c r="F211" s="193">
        <f>'Demande Format Medpro'!F200</f>
        <v>3.8856425623387798</v>
      </c>
      <c r="G211" s="193">
        <f>'Demande Format Medpro'!G200</f>
        <v>4.0064719690455703</v>
      </c>
      <c r="H211" s="193">
        <f>'Demande Format Medpro'!H200</f>
        <v>2.9824447705471E-3</v>
      </c>
      <c r="I211" s="193">
        <f>'Demande Format Medpro'!I200</f>
        <v>7.0632949884630303E-4</v>
      </c>
      <c r="J211" s="193">
        <f>'Demande Format Medpro'!J200</f>
        <v>-1.9809376716346501E-3</v>
      </c>
      <c r="K211" s="193">
        <f>'Demande Format Medpro'!K200</f>
        <v>-2.4434671579897098E-3</v>
      </c>
      <c r="L211" s="193">
        <f>'Demande Format Medpro'!L200</f>
        <v>1.5323067835169E-3</v>
      </c>
      <c r="N211" s="180"/>
    </row>
    <row r="212" spans="1:14">
      <c r="A212" s="178" t="s">
        <v>143</v>
      </c>
      <c r="B212" s="193">
        <f>'Demande Format Medpro'!B201</f>
        <v>0.26721410146173702</v>
      </c>
      <c r="C212" s="193">
        <f>'Demande Format Medpro'!C201</f>
        <v>0.52036973344797899</v>
      </c>
      <c r="D212" s="193">
        <f>'Demande Format Medpro'!D201</f>
        <v>0.51314703353396396</v>
      </c>
      <c r="E212" s="193">
        <f>'Demande Format Medpro'!E201</f>
        <v>0.54453138435081705</v>
      </c>
      <c r="F212" s="193">
        <f>'Demande Format Medpro'!F201</f>
        <v>0.57324161650902805</v>
      </c>
      <c r="G212" s="193">
        <f>'Demande Format Medpro'!G201</f>
        <v>0.61307824591573501</v>
      </c>
      <c r="H212" s="193">
        <f>'Demande Format Medpro'!H201</f>
        <v>4.54345378075625E-2</v>
      </c>
      <c r="I212" s="193">
        <f>'Demande Format Medpro'!I201</f>
        <v>-2.7915295345626299E-3</v>
      </c>
      <c r="J212" s="193">
        <f>'Demande Format Medpro'!J201</f>
        <v>1.19433915277583E-2</v>
      </c>
      <c r="K212" s="193">
        <f>'Demande Format Medpro'!K201</f>
        <v>1.03293264690474E-2</v>
      </c>
      <c r="L212" s="193">
        <f>'Demande Format Medpro'!L201</f>
        <v>3.3649123941530399E-3</v>
      </c>
      <c r="N212" s="180"/>
    </row>
    <row r="213" spans="1:14">
      <c r="A213" s="178" t="s">
        <v>142</v>
      </c>
      <c r="B213" s="193">
        <f>'Demande Format Medpro'!B202</f>
        <v>6.6517712811693901</v>
      </c>
      <c r="C213" s="193">
        <f>'Demande Format Medpro'!C202</f>
        <v>9.1015735167669796</v>
      </c>
      <c r="D213" s="193">
        <f>'Demande Format Medpro'!D202</f>
        <v>9.4495958727429095</v>
      </c>
      <c r="E213" s="193">
        <f>'Demande Format Medpro'!E202</f>
        <v>9.82850386930353</v>
      </c>
      <c r="F213" s="193">
        <f>'Demande Format Medpro'!F202</f>
        <v>10.283215821152201</v>
      </c>
      <c r="G213" s="193">
        <f>'Demande Format Medpro'!G202</f>
        <v>12.8467497850387</v>
      </c>
      <c r="H213" s="193">
        <f>'Demande Format Medpro'!H202</f>
        <v>2.1124300532036101E-2</v>
      </c>
      <c r="I213" s="193">
        <f>'Demande Format Medpro'!I202</f>
        <v>7.5331652501646803E-3</v>
      </c>
      <c r="J213" s="193">
        <f>'Demande Format Medpro'!J202</f>
        <v>7.8939434265645793E-3</v>
      </c>
      <c r="K213" s="193">
        <f>'Demande Format Medpro'!K202</f>
        <v>9.0862944238156995E-3</v>
      </c>
      <c r="L213" s="193">
        <f>'Demande Format Medpro'!L202</f>
        <v>1.1191046973166001E-2</v>
      </c>
      <c r="N213" s="180"/>
    </row>
    <row r="214" spans="1:14">
      <c r="A214" s="178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N214" s="180"/>
    </row>
    <row r="215" spans="1:14" ht="15" thickBot="1">
      <c r="A215" s="181" t="s">
        <v>10</v>
      </c>
      <c r="B215" s="575">
        <f>'Demande Format Medpro'!B204</f>
        <v>20.017199999999999</v>
      </c>
      <c r="C215" s="182">
        <f>'Demande Format Medpro'!C204</f>
        <v>23.000115085248201</v>
      </c>
      <c r="D215" s="182">
        <f>'Demande Format Medpro'!D204</f>
        <v>22.5271141212915</v>
      </c>
      <c r="E215" s="182">
        <f>'Demande Format Medpro'!E204</f>
        <v>22.078440170495099</v>
      </c>
      <c r="F215" s="182">
        <f>'Demande Format Medpro'!F204</f>
        <v>21.442964962579101</v>
      </c>
      <c r="G215" s="182">
        <f>'Demande Format Medpro'!G204</f>
        <v>22.6677564476953</v>
      </c>
      <c r="H215" s="182">
        <f>'Demande Format Medpro'!H204</f>
        <v>9.3034986918318907E-3</v>
      </c>
      <c r="I215" s="182">
        <f>'Demande Format Medpro'!I204</f>
        <v>-4.1472889196699798E-3</v>
      </c>
      <c r="J215" s="182">
        <f>'Demande Format Medpro'!J204</f>
        <v>-4.0155323599075903E-3</v>
      </c>
      <c r="K215" s="182">
        <f>'Demande Format Medpro'!K204</f>
        <v>-5.82396590570111E-3</v>
      </c>
      <c r="L215" s="182">
        <f>'Demande Format Medpro'!L204</f>
        <v>2.7812041983963399E-3</v>
      </c>
      <c r="N215" s="180"/>
    </row>
    <row r="216" spans="1:14">
      <c r="A216" s="183"/>
      <c r="B216" s="170"/>
      <c r="C216" s="223"/>
      <c r="D216" s="223"/>
      <c r="E216" s="223"/>
      <c r="F216" s="223"/>
      <c r="G216" s="223"/>
      <c r="N216" s="180"/>
    </row>
    <row r="217" spans="1:14">
      <c r="A217" s="183"/>
      <c r="B217" s="170"/>
      <c r="C217" s="170"/>
      <c r="D217" s="170"/>
      <c r="E217" s="223"/>
      <c r="F217" s="224"/>
      <c r="G217" s="223"/>
      <c r="N217" s="180"/>
    </row>
    <row r="218" spans="1:14" ht="16" thickBot="1">
      <c r="A218" s="90" t="s">
        <v>157</v>
      </c>
      <c r="B218" s="80"/>
      <c r="C218" s="80"/>
      <c r="D218" s="80"/>
      <c r="E218" s="225"/>
      <c r="F218" s="225"/>
      <c r="G218" s="225"/>
      <c r="H218" s="80"/>
      <c r="I218" s="80"/>
      <c r="J218" s="80"/>
      <c r="K218" s="80"/>
      <c r="L218" s="80"/>
      <c r="N218" s="180"/>
    </row>
    <row r="219" spans="1:14" ht="15" thickBot="1">
      <c r="A219" s="209" t="s">
        <v>51</v>
      </c>
      <c r="B219" s="177">
        <v>2000</v>
      </c>
      <c r="C219" s="177">
        <v>2015</v>
      </c>
      <c r="D219" s="177">
        <v>2020</v>
      </c>
      <c r="E219" s="177">
        <v>2025</v>
      </c>
      <c r="F219" s="177">
        <v>2030</v>
      </c>
      <c r="G219" s="177">
        <v>2050</v>
      </c>
      <c r="H219" s="185" t="s">
        <v>98</v>
      </c>
      <c r="I219" s="186" t="s">
        <v>99</v>
      </c>
      <c r="J219" s="186" t="s">
        <v>100</v>
      </c>
      <c r="K219" s="186" t="s">
        <v>101</v>
      </c>
      <c r="L219" s="187" t="s">
        <v>102</v>
      </c>
      <c r="N219" s="180"/>
    </row>
    <row r="220" spans="1:14">
      <c r="A220" s="178" t="s">
        <v>103</v>
      </c>
      <c r="B220" s="179">
        <f>'Demande Format Medpro'!B209</f>
        <v>3.7561</v>
      </c>
      <c r="C220" s="179">
        <f>'Demande Format Medpro'!C209</f>
        <v>2.3746</v>
      </c>
      <c r="D220" s="179">
        <f>'Demande Format Medpro'!D209</f>
        <v>1.9155</v>
      </c>
      <c r="E220" s="179">
        <f>'Demande Format Medpro'!E209</f>
        <v>1.4925999999999999</v>
      </c>
      <c r="F220" s="179">
        <f>'Demande Format Medpro'!F209</f>
        <v>1.1229</v>
      </c>
      <c r="G220" s="179">
        <f>'Demande Format Medpro'!G209</f>
        <v>0.74460000000000004</v>
      </c>
      <c r="H220" s="179">
        <f>'Demande Format Medpro'!H209</f>
        <v>-3.0107603926098101E-2</v>
      </c>
      <c r="I220" s="179">
        <f>'Demande Format Medpro'!I209</f>
        <v>-4.2059932911037302E-2</v>
      </c>
      <c r="J220" s="179">
        <f>'Demande Format Medpro'!J209</f>
        <v>-4.86676696332956E-2</v>
      </c>
      <c r="K220" s="179">
        <f>'Demande Format Medpro'!K209</f>
        <v>-5.5331293629666801E-2</v>
      </c>
      <c r="L220" s="179">
        <f>'Demande Format Medpro'!L209</f>
        <v>-2.03316050780015E-2</v>
      </c>
      <c r="N220" s="180"/>
    </row>
    <row r="221" spans="1:14">
      <c r="A221" s="178" t="s">
        <v>54</v>
      </c>
      <c r="B221" s="179">
        <f>'Demande Format Medpro'!B210</f>
        <v>5.5961999999999996</v>
      </c>
      <c r="C221" s="179">
        <f>'Demande Format Medpro'!C210</f>
        <v>6.1024000000000003</v>
      </c>
      <c r="D221" s="179">
        <f>'Demande Format Medpro'!D210</f>
        <v>5.7868000000000004</v>
      </c>
      <c r="E221" s="179">
        <f>'Demande Format Medpro'!E210</f>
        <v>5.2241999999999997</v>
      </c>
      <c r="F221" s="179">
        <f>'Demande Format Medpro'!F210</f>
        <v>4.3676000000000004</v>
      </c>
      <c r="G221" s="179">
        <f>'Demande Format Medpro'!G210</f>
        <v>2.6025</v>
      </c>
      <c r="H221" s="179">
        <f>'Demande Format Medpro'!H210</f>
        <v>5.7896516525792804E-3</v>
      </c>
      <c r="I221" s="179">
        <f>'Demande Format Medpro'!I210</f>
        <v>-1.05643361785912E-2</v>
      </c>
      <c r="J221" s="179">
        <f>'Demande Format Medpro'!J210</f>
        <v>-2.0247761500076299E-2</v>
      </c>
      <c r="K221" s="179">
        <f>'Demande Format Medpro'!K210</f>
        <v>-3.5183743345156303E-2</v>
      </c>
      <c r="L221" s="179">
        <f>'Demande Format Medpro'!L210</f>
        <v>-2.5554859734163798E-2</v>
      </c>
      <c r="N221" s="180"/>
    </row>
    <row r="222" spans="1:14">
      <c r="A222" s="178" t="s">
        <v>42</v>
      </c>
      <c r="B222" s="179">
        <f>'Demande Format Medpro'!B211</f>
        <v>0.15870000000000001</v>
      </c>
      <c r="C222" s="179">
        <f>'Demande Format Medpro'!C211</f>
        <v>6.5500000000000003E-2</v>
      </c>
      <c r="D222" s="179">
        <f>'Demande Format Medpro'!D211</f>
        <v>0</v>
      </c>
      <c r="E222" s="179">
        <f>'Demande Format Medpro'!E211</f>
        <v>0</v>
      </c>
      <c r="F222" s="179">
        <f>'Demande Format Medpro'!F211</f>
        <v>0</v>
      </c>
      <c r="G222" s="179">
        <f>'Demande Format Medpro'!G211</f>
        <v>0</v>
      </c>
      <c r="H222" s="179">
        <f>'Demande Format Medpro'!H211</f>
        <v>-5.7291061665288301E-2</v>
      </c>
      <c r="I222" s="179">
        <f>'Demande Format Medpro'!I211</f>
        <v>-1</v>
      </c>
      <c r="J222" s="179" t="e">
        <f>'Demande Format Medpro'!J211</f>
        <v>#DIV/0!</v>
      </c>
      <c r="K222" s="179" t="e">
        <f>'Demande Format Medpro'!K211</f>
        <v>#DIV/0!</v>
      </c>
      <c r="L222" s="179" t="e">
        <f>'Demande Format Medpro'!L211</f>
        <v>#DIV/0!</v>
      </c>
      <c r="N222" s="180"/>
    </row>
    <row r="223" spans="1:14">
      <c r="A223" s="178" t="s">
        <v>104</v>
      </c>
      <c r="B223" s="179">
        <f>'Demande Format Medpro'!B212</f>
        <v>2.4110146173688798</v>
      </c>
      <c r="C223" s="179">
        <f>'Demande Format Medpro'!C212</f>
        <v>2.7863567497850399</v>
      </c>
      <c r="D223" s="179">
        <f>'Demande Format Medpro'!D212</f>
        <v>2.92255709372313</v>
      </c>
      <c r="E223" s="179">
        <f>'Demande Format Medpro'!E212</f>
        <v>3.11266474634566</v>
      </c>
      <c r="F223" s="179">
        <f>'Demande Format Medpro'!F212</f>
        <v>3.2688425623387798</v>
      </c>
      <c r="G223" s="179">
        <f>'Demande Format Medpro'!G212</f>
        <v>3.7000719690455699</v>
      </c>
      <c r="H223" s="179">
        <f>'Demande Format Medpro'!H212</f>
        <v>9.6924879048045903E-3</v>
      </c>
      <c r="I223" s="179">
        <f>'Demande Format Medpro'!I212</f>
        <v>9.5905033465326604E-3</v>
      </c>
      <c r="J223" s="179">
        <f>'Demande Format Medpro'!J212</f>
        <v>1.2683813956920999E-2</v>
      </c>
      <c r="K223" s="179">
        <f>'Demande Format Medpro'!K212</f>
        <v>9.8394471178493408E-3</v>
      </c>
      <c r="L223" s="179">
        <f>'Demande Format Medpro'!L212</f>
        <v>6.2150490043679802E-3</v>
      </c>
      <c r="N223" s="180"/>
    </row>
    <row r="224" spans="1:14">
      <c r="A224" s="178" t="s">
        <v>105</v>
      </c>
      <c r="B224" s="179">
        <f>'Demande Format Medpro'!B213</f>
        <v>0.85540000000000005</v>
      </c>
      <c r="C224" s="179">
        <f>'Demande Format Medpro'!C213</f>
        <v>0.81569999999999998</v>
      </c>
      <c r="D224" s="179">
        <f>'Demande Format Medpro'!D213</f>
        <v>0.73019999999999996</v>
      </c>
      <c r="E224" s="179">
        <f>'Demande Format Medpro'!E213</f>
        <v>0.69030000000000002</v>
      </c>
      <c r="F224" s="179">
        <f>'Demande Format Medpro'!F213</f>
        <v>0.70609999999999995</v>
      </c>
      <c r="G224" s="179">
        <f>'Demande Format Medpro'!G213</f>
        <v>0.83020000000000005</v>
      </c>
      <c r="H224" s="179">
        <f>'Demande Format Medpro'!H213</f>
        <v>-3.1631570098044101E-3</v>
      </c>
      <c r="I224" s="179">
        <f>'Demande Format Medpro'!I213</f>
        <v>-2.19022198260551E-2</v>
      </c>
      <c r="J224" s="179">
        <f>'Demande Format Medpro'!J213</f>
        <v>-1.11755213831751E-2</v>
      </c>
      <c r="K224" s="179">
        <f>'Demande Format Medpro'!K213</f>
        <v>4.5363753009275403E-3</v>
      </c>
      <c r="L224" s="179">
        <f>'Demande Format Medpro'!L213</f>
        <v>8.1283453247007493E-3</v>
      </c>
      <c r="N224" s="180"/>
    </row>
    <row r="225" spans="1:14">
      <c r="A225" s="178" t="s">
        <v>134</v>
      </c>
      <c r="B225" s="179">
        <f>'Demande Format Medpro'!B214</f>
        <v>0.32079999999999997</v>
      </c>
      <c r="C225" s="179">
        <f>'Demande Format Medpro'!C214</f>
        <v>0.43919999999999998</v>
      </c>
      <c r="D225" s="179">
        <f>'Demande Format Medpro'!D214</f>
        <v>0.28920000000000001</v>
      </c>
      <c r="E225" s="179">
        <f>'Demande Format Medpro'!E214</f>
        <v>0.1908</v>
      </c>
      <c r="F225" s="179">
        <f>'Demande Format Medpro'!F214</f>
        <v>0.1142</v>
      </c>
      <c r="G225" s="179">
        <f>'Demande Format Medpro'!G214</f>
        <v>4.9099999999999998E-2</v>
      </c>
      <c r="H225" s="179">
        <f>'Demande Format Medpro'!H214</f>
        <v>2.11632999858604E-2</v>
      </c>
      <c r="I225" s="179">
        <f>'Demande Format Medpro'!I214</f>
        <v>-8.0170801502706598E-2</v>
      </c>
      <c r="J225" s="179">
        <f>'Demande Format Medpro'!J214</f>
        <v>-7.9813163360698103E-2</v>
      </c>
      <c r="K225" s="179">
        <f>'Demande Format Medpro'!K214</f>
        <v>-9.7561641878772601E-2</v>
      </c>
      <c r="L225" s="179">
        <f>'Demande Format Medpro'!L214</f>
        <v>-4.1326396695113801E-2</v>
      </c>
      <c r="N225" s="180"/>
    </row>
    <row r="226" spans="1:14">
      <c r="A226" s="178" t="s">
        <v>135</v>
      </c>
      <c r="B226" s="179">
        <f>'Demande Format Medpro'!B215</f>
        <v>0</v>
      </c>
      <c r="C226" s="179">
        <f>'Demande Format Medpro'!C215</f>
        <v>8.9099999999999999E-2</v>
      </c>
      <c r="D226" s="179">
        <f>'Demande Format Medpro'!D215</f>
        <v>7.9899999999999999E-2</v>
      </c>
      <c r="E226" s="179">
        <f>'Demande Format Medpro'!E215</f>
        <v>6.5100000000000005E-2</v>
      </c>
      <c r="F226" s="179">
        <f>'Demande Format Medpro'!F215</f>
        <v>5.2400000000000002E-2</v>
      </c>
      <c r="G226" s="179">
        <f>'Demande Format Medpro'!G215</f>
        <v>3.4099999999999998E-2</v>
      </c>
      <c r="H226" s="179">
        <f>'Demande Format Medpro'!H215</f>
        <v>0</v>
      </c>
      <c r="I226" s="179">
        <f>'Demande Format Medpro'!I215</f>
        <v>0</v>
      </c>
      <c r="J226" s="179">
        <f>'Demande Format Medpro'!J215</f>
        <v>0</v>
      </c>
      <c r="K226" s="179">
        <f>'Demande Format Medpro'!K215</f>
        <v>0</v>
      </c>
      <c r="L226" s="179">
        <f>'Demande Format Medpro'!L215</f>
        <v>0</v>
      </c>
      <c r="N226" s="180"/>
    </row>
    <row r="227" spans="1:14">
      <c r="A227" s="178" t="s">
        <v>136</v>
      </c>
      <c r="B227" s="179">
        <f>'Demande Format Medpro'!B216</f>
        <v>0</v>
      </c>
      <c r="C227" s="179">
        <f>'Demande Format Medpro'!C216</f>
        <v>0.70541508524818897</v>
      </c>
      <c r="D227" s="179">
        <f>'Demande Format Medpro'!D216</f>
        <v>0.84021412129145101</v>
      </c>
      <c r="E227" s="179">
        <f>'Demande Format Medpro'!E216</f>
        <v>0.92974017049510504</v>
      </c>
      <c r="F227" s="179">
        <f>'Demande Format Medpro'!F216</f>
        <v>0.95436496257908998</v>
      </c>
      <c r="G227" s="179">
        <f>'Demande Format Medpro'!G216</f>
        <v>1.2473564476953301</v>
      </c>
      <c r="H227" s="179">
        <f>'Demande Format Medpro'!H216</f>
        <v>0</v>
      </c>
      <c r="I227" s="179">
        <f>'Demande Format Medpro'!I216</f>
        <v>0</v>
      </c>
      <c r="J227" s="179">
        <f>'Demande Format Medpro'!J216</f>
        <v>0</v>
      </c>
      <c r="K227" s="179">
        <f>'Demande Format Medpro'!K216</f>
        <v>0</v>
      </c>
      <c r="L227" s="179">
        <f>'Demande Format Medpro'!L216</f>
        <v>0</v>
      </c>
      <c r="N227" s="180"/>
    </row>
    <row r="228" spans="1:14">
      <c r="A228" s="178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N228" s="180"/>
    </row>
    <row r="229" spans="1:14" ht="15" thickBot="1">
      <c r="A229" s="181" t="s">
        <v>10</v>
      </c>
      <c r="B229" s="198">
        <f>'Demande Format Medpro'!B218</f>
        <v>13.0982146173689</v>
      </c>
      <c r="C229" s="203">
        <f>'Demande Format Medpro'!C218</f>
        <v>13.3782718350332</v>
      </c>
      <c r="D229" s="203">
        <f>'Demande Format Medpro'!D218</f>
        <v>12.564371215014599</v>
      </c>
      <c r="E229" s="203">
        <f>'Demande Format Medpro'!E218</f>
        <v>11.7054049168408</v>
      </c>
      <c r="F229" s="203">
        <f>'Demande Format Medpro'!F218</f>
        <v>10.586407524917901</v>
      </c>
      <c r="G229" s="203">
        <f>'Demande Format Medpro'!G218</f>
        <v>9.2079284167409003</v>
      </c>
      <c r="H229" s="203">
        <f>'Demande Format Medpro'!H218</f>
        <v>1.41139200272455E-3</v>
      </c>
      <c r="I229" s="203">
        <f>'Demande Format Medpro'!I218</f>
        <v>-1.24748871303695E-2</v>
      </c>
      <c r="J229" s="203">
        <f>'Demande Format Medpro'!J218</f>
        <v>-1.40630647971826E-2</v>
      </c>
      <c r="K229" s="203">
        <f>'Demande Format Medpro'!K218</f>
        <v>-1.9895386857720899E-2</v>
      </c>
      <c r="L229" s="203">
        <f>'Demande Format Medpro'!L218</f>
        <v>-6.9510276661613997E-3</v>
      </c>
      <c r="N229" s="180"/>
    </row>
    <row r="230" spans="1:14">
      <c r="A230" s="183"/>
      <c r="B230" s="170"/>
      <c r="C230" s="170"/>
      <c r="D230" s="170"/>
      <c r="E230" s="170"/>
      <c r="N230" s="180"/>
    </row>
    <row r="231" spans="1:14">
      <c r="A231" s="183"/>
      <c r="B231" s="170"/>
      <c r="C231" s="170"/>
      <c r="D231" s="170"/>
      <c r="E231" s="170"/>
      <c r="N231" s="180"/>
    </row>
    <row r="232" spans="1:14" ht="16" thickBot="1">
      <c r="A232" s="90" t="s">
        <v>158</v>
      </c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N232" s="180"/>
    </row>
    <row r="233" spans="1:14" ht="15" thickBot="1">
      <c r="A233" s="209" t="s">
        <v>51</v>
      </c>
      <c r="B233" s="177">
        <v>2000</v>
      </c>
      <c r="C233" s="177">
        <v>2015</v>
      </c>
      <c r="D233" s="177">
        <v>2020</v>
      </c>
      <c r="E233" s="177">
        <v>2025</v>
      </c>
      <c r="F233" s="177">
        <v>2030</v>
      </c>
      <c r="G233" s="177">
        <v>2050</v>
      </c>
      <c r="H233" s="185" t="s">
        <v>98</v>
      </c>
      <c r="I233" s="186" t="s">
        <v>99</v>
      </c>
      <c r="J233" s="186" t="s">
        <v>100</v>
      </c>
      <c r="K233" s="186" t="s">
        <v>101</v>
      </c>
      <c r="L233" s="187" t="s">
        <v>102</v>
      </c>
      <c r="N233" s="226"/>
    </row>
    <row r="234" spans="1:14">
      <c r="A234" s="178" t="s">
        <v>103</v>
      </c>
      <c r="B234" s="193">
        <f>'Demande Format Medpro'!B223</f>
        <v>2.6355</v>
      </c>
      <c r="C234" s="193">
        <f>'Demande Format Medpro'!C223</f>
        <v>1.5865</v>
      </c>
      <c r="D234" s="193">
        <f>'Demande Format Medpro'!D223</f>
        <v>1.2203999999999999</v>
      </c>
      <c r="E234" s="193">
        <f>'Demande Format Medpro'!E223</f>
        <v>0.9052</v>
      </c>
      <c r="F234" s="193">
        <f>'Demande Format Medpro'!F223</f>
        <v>0.63119999999999998</v>
      </c>
      <c r="G234" s="193">
        <f>'Demande Format Medpro'!G223</f>
        <v>0.33550000000000002</v>
      </c>
      <c r="H234" s="193">
        <f>'Demande Format Medpro'!H223</f>
        <v>-3.32701312538944E-2</v>
      </c>
      <c r="I234" s="193">
        <f>'Demande Format Medpro'!I223</f>
        <v>-5.1117527571357797E-2</v>
      </c>
      <c r="J234" s="193">
        <f>'Demande Format Medpro'!J223</f>
        <v>-5.8005278398234397E-2</v>
      </c>
      <c r="K234" s="193">
        <f>'Demande Format Medpro'!K223</f>
        <v>-6.9568320334211703E-2</v>
      </c>
      <c r="L234" s="193">
        <f>'Demande Format Medpro'!L223</f>
        <v>-3.1105977188465101E-2</v>
      </c>
      <c r="M234" s="227"/>
      <c r="N234" s="226"/>
    </row>
    <row r="235" spans="1:14">
      <c r="A235" s="178" t="s">
        <v>54</v>
      </c>
      <c r="B235" s="193">
        <f>'Demande Format Medpro'!B224</f>
        <v>3.9832000000000001</v>
      </c>
      <c r="C235" s="193">
        <f>'Demande Format Medpro'!C224</f>
        <v>4.2202000000000002</v>
      </c>
      <c r="D235" s="193">
        <f>'Demande Format Medpro'!D224</f>
        <v>3.8336999999999999</v>
      </c>
      <c r="E235" s="193">
        <f>'Demande Format Medpro'!E224</f>
        <v>3.3018000000000001</v>
      </c>
      <c r="F235" s="193">
        <f>'Demande Format Medpro'!F224</f>
        <v>2.5691000000000002</v>
      </c>
      <c r="G235" s="193">
        <f>'Demande Format Medpro'!G224</f>
        <v>1.2297</v>
      </c>
      <c r="H235" s="193">
        <f>'Demande Format Medpro'!H224</f>
        <v>3.8605664590591901E-3</v>
      </c>
      <c r="I235" s="193">
        <f>'Demande Format Medpro'!I224</f>
        <v>-1.90270808974272E-2</v>
      </c>
      <c r="J235" s="193">
        <f>'Demande Format Medpro'!J224</f>
        <v>-2.9430750049253399E-2</v>
      </c>
      <c r="K235" s="193">
        <f>'Demande Format Medpro'!K224</f>
        <v>-4.8944088896414002E-2</v>
      </c>
      <c r="L235" s="193">
        <f>'Demande Format Medpro'!L224</f>
        <v>-3.6168960817935601E-2</v>
      </c>
      <c r="M235" s="227"/>
      <c r="N235" s="226"/>
    </row>
    <row r="236" spans="1:14">
      <c r="A236" s="178" t="s">
        <v>42</v>
      </c>
      <c r="B236" s="193">
        <f>'Demande Format Medpro'!B225</f>
        <v>0.11509999999999999</v>
      </c>
      <c r="C236" s="193">
        <f>'Demande Format Medpro'!C225</f>
        <v>4.6199999999999998E-2</v>
      </c>
      <c r="D236" s="193">
        <f>'Demande Format Medpro'!D225</f>
        <v>0</v>
      </c>
      <c r="E236" s="193">
        <f>'Demande Format Medpro'!E225</f>
        <v>0</v>
      </c>
      <c r="F236" s="193">
        <f>'Demande Format Medpro'!F225</f>
        <v>0</v>
      </c>
      <c r="G236" s="193">
        <f>'Demande Format Medpro'!G225</f>
        <v>0</v>
      </c>
      <c r="H236" s="193">
        <f>'Demande Format Medpro'!H225</f>
        <v>-5.9040112512636501E-2</v>
      </c>
      <c r="I236" s="193">
        <f>'Demande Format Medpro'!I225</f>
        <v>-1</v>
      </c>
      <c r="J236" s="193" t="e">
        <f>'Demande Format Medpro'!J225</f>
        <v>#DIV/0!</v>
      </c>
      <c r="K236" s="193" t="e">
        <f>'Demande Format Medpro'!K225</f>
        <v>#DIV/0!</v>
      </c>
      <c r="L236" s="193" t="e">
        <f>'Demande Format Medpro'!L225</f>
        <v>#DIV/0!</v>
      </c>
      <c r="M236" s="227"/>
      <c r="N236" s="226"/>
    </row>
    <row r="237" spans="1:14">
      <c r="A237" s="178" t="s">
        <v>104</v>
      </c>
      <c r="B237" s="193">
        <f>'Demande Format Medpro'!B226</f>
        <v>1.7258</v>
      </c>
      <c r="C237" s="193">
        <f>'Demande Format Medpro'!C226</f>
        <v>1.9755</v>
      </c>
      <c r="D237" s="193">
        <f>'Demande Format Medpro'!D226</f>
        <v>2.0043000000000002</v>
      </c>
      <c r="E237" s="193">
        <f>'Demande Format Medpro'!E226</f>
        <v>2.0605000000000002</v>
      </c>
      <c r="F237" s="193">
        <f>'Demande Format Medpro'!F226</f>
        <v>2.0430000000000001</v>
      </c>
      <c r="G237" s="193">
        <f>'Demande Format Medpro'!G226</f>
        <v>1.9240999999999999</v>
      </c>
      <c r="H237" s="193">
        <f>'Demande Format Medpro'!H226</f>
        <v>9.0494219768668706E-3</v>
      </c>
      <c r="I237" s="193">
        <f>'Demande Format Medpro'!I226</f>
        <v>2.8988619474283901E-3</v>
      </c>
      <c r="J237" s="193">
        <f>'Demande Format Medpro'!J226</f>
        <v>5.5460827240940702E-3</v>
      </c>
      <c r="K237" s="193">
        <f>'Demande Format Medpro'!K226</f>
        <v>-1.70441702098156E-3</v>
      </c>
      <c r="L237" s="193">
        <f>'Demande Format Medpro'!L226</f>
        <v>-2.9935598320109899E-3</v>
      </c>
      <c r="M237" s="227"/>
      <c r="N237" s="226"/>
    </row>
    <row r="238" spans="1:14">
      <c r="A238" s="178" t="s">
        <v>105</v>
      </c>
      <c r="B238" s="193">
        <f>'Demande Format Medpro'!B227</f>
        <v>0.62029999999999996</v>
      </c>
      <c r="C238" s="193">
        <f>'Demande Format Medpro'!C227</f>
        <v>0.57579999999999998</v>
      </c>
      <c r="D238" s="193">
        <f>'Demande Format Medpro'!D227</f>
        <v>0.49149999999999999</v>
      </c>
      <c r="E238" s="193">
        <f>'Demande Format Medpro'!E227</f>
        <v>0.44379999999999997</v>
      </c>
      <c r="F238" s="193">
        <f>'Demande Format Medpro'!F227</f>
        <v>0.42580000000000001</v>
      </c>
      <c r="G238" s="193">
        <f>'Demande Format Medpro'!G227</f>
        <v>0.43020000000000003</v>
      </c>
      <c r="H238" s="193">
        <f>'Demande Format Medpro'!H227</f>
        <v>-4.9505622928958104E-3</v>
      </c>
      <c r="I238" s="193">
        <f>'Demande Format Medpro'!I227</f>
        <v>-3.1163767146966399E-2</v>
      </c>
      <c r="J238" s="193">
        <f>'Demande Format Medpro'!J227</f>
        <v>-2.0210558307184798E-2</v>
      </c>
      <c r="K238" s="193">
        <f>'Demande Format Medpro'!K227</f>
        <v>-8.2466598003344601E-3</v>
      </c>
      <c r="L238" s="193">
        <f>'Demande Format Medpro'!L227</f>
        <v>5.1415535128596101E-4</v>
      </c>
      <c r="M238" s="227"/>
      <c r="N238" s="226"/>
    </row>
    <row r="239" spans="1:14">
      <c r="A239" s="178" t="s">
        <v>134</v>
      </c>
      <c r="B239" s="193">
        <f>'Demande Format Medpro'!B228</f>
        <v>0.2326</v>
      </c>
      <c r="C239" s="193">
        <f>'Demande Format Medpro'!C228</f>
        <v>0.30990000000000001</v>
      </c>
      <c r="D239" s="193">
        <f>'Demande Format Medpro'!D228</f>
        <v>0.2016</v>
      </c>
      <c r="E239" s="193">
        <f>'Demande Format Medpro'!E228</f>
        <v>0.13089999999999999</v>
      </c>
      <c r="F239" s="193">
        <f>'Demande Format Medpro'!F228</f>
        <v>7.7399999999999997E-2</v>
      </c>
      <c r="G239" s="193">
        <f>'Demande Format Medpro'!G228</f>
        <v>3.4599999999999999E-2</v>
      </c>
      <c r="H239" s="193">
        <f>'Demande Format Medpro'!H228</f>
        <v>1.9312752666136499E-2</v>
      </c>
      <c r="I239" s="193">
        <f>'Demande Format Medpro'!I228</f>
        <v>-8.2399185677649006E-2</v>
      </c>
      <c r="J239" s="193">
        <f>'Demande Format Medpro'!J228</f>
        <v>-8.2745557664505698E-2</v>
      </c>
      <c r="K239" s="193">
        <f>'Demande Format Medpro'!K228</f>
        <v>-9.97559434406773E-2</v>
      </c>
      <c r="L239" s="193">
        <f>'Demande Format Medpro'!L228</f>
        <v>-3.9457120548926097E-2</v>
      </c>
      <c r="M239" s="227"/>
      <c r="N239" s="226"/>
    </row>
    <row r="240" spans="1:14">
      <c r="A240" s="178" t="s">
        <v>135</v>
      </c>
      <c r="B240" s="193">
        <v>0</v>
      </c>
      <c r="C240" s="193">
        <v>1</v>
      </c>
      <c r="D240" s="193">
        <v>9.8601218835455459E-2</v>
      </c>
      <c r="E240" s="193">
        <v>0.13582199694526742</v>
      </c>
      <c r="F240" s="193">
        <v>0.15372765584619141</v>
      </c>
      <c r="G240" s="193">
        <v>0.11641782052141147</v>
      </c>
      <c r="H240" s="193">
        <v>6</v>
      </c>
      <c r="I240" s="193">
        <v>7</v>
      </c>
      <c r="J240" s="193">
        <v>8</v>
      </c>
      <c r="K240" s="193">
        <v>9</v>
      </c>
      <c r="L240" s="193">
        <v>10</v>
      </c>
      <c r="M240" s="228"/>
      <c r="N240" s="226"/>
    </row>
    <row r="241" spans="1:14">
      <c r="A241" s="178" t="s">
        <v>136</v>
      </c>
      <c r="B241" s="193">
        <f>'Demande Format Medpro'!B229</f>
        <v>0</v>
      </c>
      <c r="C241" s="193">
        <f>'Demande Format Medpro'!C229</f>
        <v>0.70541508524818897</v>
      </c>
      <c r="D241" s="193">
        <f>'Demande Format Medpro'!D229</f>
        <v>0.84021412129145101</v>
      </c>
      <c r="E241" s="193">
        <f>'Demande Format Medpro'!E229</f>
        <v>0.92974017049510504</v>
      </c>
      <c r="F241" s="193">
        <f>'Demande Format Medpro'!F229</f>
        <v>0.95436496257908998</v>
      </c>
      <c r="G241" s="193">
        <f>'Demande Format Medpro'!G229</f>
        <v>1.2473564476953301</v>
      </c>
      <c r="H241" s="193">
        <f>'Demande Format Medpro'!H229</f>
        <v>0</v>
      </c>
      <c r="I241" s="193">
        <f>'Demande Format Medpro'!I229</f>
        <v>0</v>
      </c>
      <c r="J241" s="193">
        <f>'Demande Format Medpro'!J229</f>
        <v>0</v>
      </c>
      <c r="K241" s="193">
        <f>'Demande Format Medpro'!K229</f>
        <v>0</v>
      </c>
      <c r="L241" s="193">
        <f>'Demande Format Medpro'!L229</f>
        <v>0</v>
      </c>
      <c r="M241" s="228"/>
      <c r="N241" s="226"/>
    </row>
    <row r="242" spans="1:14">
      <c r="A242" s="178"/>
      <c r="B242" s="193"/>
      <c r="C242" s="193"/>
      <c r="D242" s="179"/>
      <c r="E242" s="179"/>
      <c r="F242" s="179"/>
      <c r="G242" s="179"/>
      <c r="H242" s="193"/>
      <c r="I242" s="193"/>
      <c r="J242" s="193"/>
      <c r="K242" s="193"/>
      <c r="L242" s="193"/>
      <c r="N242" s="180"/>
    </row>
    <row r="243" spans="1:14" ht="15" thickBot="1">
      <c r="A243" s="181" t="s">
        <v>10</v>
      </c>
      <c r="B243" s="575">
        <f>'Demande Format Medpro'!B231</f>
        <v>9.3125</v>
      </c>
      <c r="C243" s="182">
        <f>'Demande Format Medpro'!C231</f>
        <v>9.4195150852481895</v>
      </c>
      <c r="D243" s="203">
        <f>SUM(D234:D241)</f>
        <v>8.6903153401269062</v>
      </c>
      <c r="E243" s="203">
        <f>SUM(E234:E241)</f>
        <v>7.9077621674403717</v>
      </c>
      <c r="F243" s="203">
        <f>SUM(F234:F241)</f>
        <v>6.8545926184252819</v>
      </c>
      <c r="G243" s="203">
        <f>SUM(G234:G241)</f>
        <v>5.317874268216741</v>
      </c>
      <c r="H243" s="193">
        <f>'Demande Format Medpro'!H231</f>
        <v>7.6202528770386003E-4</v>
      </c>
      <c r="I243" s="193">
        <f>'Demande Format Medpro'!I231</f>
        <v>-1.8228876035648999E-2</v>
      </c>
      <c r="J243" s="193">
        <f>'Demande Format Medpro'!J231</f>
        <v>-1.9855908742122699E-2</v>
      </c>
      <c r="K243" s="193">
        <f>'Demande Format Medpro'!K231</f>
        <v>-2.9221200253626501E-2</v>
      </c>
      <c r="L243" s="193">
        <f>'Demande Format Medpro'!L231</f>
        <v>-1.25850349185209E-2</v>
      </c>
      <c r="N243" s="180"/>
    </row>
    <row r="244" spans="1:14">
      <c r="A244" s="183"/>
      <c r="B244" s="170"/>
      <c r="C244" s="170"/>
      <c r="D244" s="170"/>
      <c r="E244" s="170"/>
      <c r="G244" s="216"/>
      <c r="N244" s="180"/>
    </row>
    <row r="245" spans="1:14">
      <c r="A245" s="183"/>
      <c r="B245" s="170"/>
      <c r="C245" s="170"/>
      <c r="D245" s="170"/>
      <c r="E245" s="170"/>
      <c r="N245" s="180"/>
    </row>
    <row r="246" spans="1:14" ht="16" thickBot="1">
      <c r="A246" s="90" t="s">
        <v>159</v>
      </c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N246" s="180"/>
    </row>
    <row r="247" spans="1:14" ht="15" thickBot="1">
      <c r="A247" s="209" t="s">
        <v>51</v>
      </c>
      <c r="B247" s="177">
        <v>2000</v>
      </c>
      <c r="C247" s="177">
        <v>2015</v>
      </c>
      <c r="D247" s="177">
        <v>2020</v>
      </c>
      <c r="E247" s="177">
        <v>2025</v>
      </c>
      <c r="F247" s="177">
        <v>2030</v>
      </c>
      <c r="G247" s="177">
        <v>2050</v>
      </c>
      <c r="H247" s="185" t="s">
        <v>98</v>
      </c>
      <c r="I247" s="186" t="s">
        <v>99</v>
      </c>
      <c r="J247" s="186" t="s">
        <v>100</v>
      </c>
      <c r="K247" s="186" t="s">
        <v>101</v>
      </c>
      <c r="L247" s="187" t="s">
        <v>102</v>
      </c>
      <c r="N247" s="180"/>
    </row>
    <row r="248" spans="1:14">
      <c r="A248" s="178" t="s">
        <v>103</v>
      </c>
      <c r="B248" s="193">
        <f>'Demande Format Medpro'!B236</f>
        <v>1.1206</v>
      </c>
      <c r="C248" s="193">
        <f>'Demande Format Medpro'!C236</f>
        <v>0.78810000000000002</v>
      </c>
      <c r="D248" s="193">
        <f>'Demande Format Medpro'!D236</f>
        <v>0.69510000000000005</v>
      </c>
      <c r="E248" s="193">
        <f>'Demande Format Medpro'!E236</f>
        <v>0.58740000000000003</v>
      </c>
      <c r="F248" s="193">
        <f>'Demande Format Medpro'!F236</f>
        <v>0.49180000000000001</v>
      </c>
      <c r="G248" s="193">
        <f>'Demande Format Medpro'!G236</f>
        <v>0.40910000000000002</v>
      </c>
      <c r="H248" s="193">
        <f>'Demande Format Medpro'!H236</f>
        <v>-2.3193110734695498E-2</v>
      </c>
      <c r="I248" s="193">
        <f>'Demande Format Medpro'!I236</f>
        <v>-2.4801123659468301E-2</v>
      </c>
      <c r="J248" s="193">
        <f>'Demande Format Medpro'!J236</f>
        <v>-3.31094163764196E-2</v>
      </c>
      <c r="K248" s="193">
        <f>'Demande Format Medpro'!K236</f>
        <v>-3.4903109284142503E-2</v>
      </c>
      <c r="L248" s="193">
        <f>'Demande Format Medpro'!L236</f>
        <v>-9.1633831951471994E-3</v>
      </c>
      <c r="N248" s="180"/>
    </row>
    <row r="249" spans="1:14">
      <c r="A249" s="178" t="s">
        <v>54</v>
      </c>
      <c r="B249" s="193">
        <f>'Demande Format Medpro'!B237</f>
        <v>1.613</v>
      </c>
      <c r="C249" s="193">
        <f>'Demande Format Medpro'!C237</f>
        <v>1.8822000000000001</v>
      </c>
      <c r="D249" s="193">
        <f>'Demande Format Medpro'!D237</f>
        <v>1.9531000000000001</v>
      </c>
      <c r="E249" s="193">
        <f>'Demande Format Medpro'!E237</f>
        <v>1.9224000000000001</v>
      </c>
      <c r="F249" s="193">
        <f>'Demande Format Medpro'!F237</f>
        <v>1.7985</v>
      </c>
      <c r="G249" s="193">
        <f>'Demande Format Medpro'!G237</f>
        <v>1.3728</v>
      </c>
      <c r="H249" s="193">
        <f>'Demande Format Medpro'!H237</f>
        <v>1.0342821430755E-2</v>
      </c>
      <c r="I249" s="193">
        <f>'Demande Format Medpro'!I237</f>
        <v>7.4227225200960102E-3</v>
      </c>
      <c r="J249" s="193">
        <f>'Demande Format Medpro'!J237</f>
        <v>-3.1636746853501698E-3</v>
      </c>
      <c r="K249" s="193">
        <f>'Demande Format Medpro'!K237</f>
        <v>-1.3235908929934001E-2</v>
      </c>
      <c r="L249" s="193">
        <f>'Demande Format Medpro'!L237</f>
        <v>-1.3414242985186099E-2</v>
      </c>
      <c r="N249" s="180"/>
    </row>
    <row r="250" spans="1:14">
      <c r="A250" s="178" t="s">
        <v>42</v>
      </c>
      <c r="B250" s="193">
        <f>'Demande Format Medpro'!B238</f>
        <v>4.36E-2</v>
      </c>
      <c r="C250" s="193">
        <f>'Demande Format Medpro'!C238</f>
        <v>1.9199999999999998E-2</v>
      </c>
      <c r="D250" s="193">
        <f>'Demande Format Medpro'!D238</f>
        <v>0</v>
      </c>
      <c r="E250" s="193">
        <f>'Demande Format Medpro'!E238</f>
        <v>0</v>
      </c>
      <c r="F250" s="193">
        <f>'Demande Format Medpro'!F238</f>
        <v>0</v>
      </c>
      <c r="G250" s="193">
        <f>'Demande Format Medpro'!G238</f>
        <v>0</v>
      </c>
      <c r="H250" s="193">
        <f>'Demande Format Medpro'!H238</f>
        <v>-5.3208574888069703E-2</v>
      </c>
      <c r="I250" s="193">
        <f>'Demande Format Medpro'!I238</f>
        <v>-1</v>
      </c>
      <c r="J250" s="193" t="e">
        <f>'Demande Format Medpro'!J238</f>
        <v>#DIV/0!</v>
      </c>
      <c r="K250" s="193" t="e">
        <f>'Demande Format Medpro'!K238</f>
        <v>#DIV/0!</v>
      </c>
      <c r="L250" s="193" t="e">
        <f>'Demande Format Medpro'!L238</f>
        <v>#DIV/0!</v>
      </c>
      <c r="N250" s="180"/>
    </row>
    <row r="251" spans="1:14">
      <c r="A251" s="178" t="s">
        <v>104</v>
      </c>
      <c r="B251" s="193">
        <f>'Demande Format Medpro'!B239</f>
        <v>0.68521461736887601</v>
      </c>
      <c r="C251" s="193">
        <f>'Demande Format Medpro'!C239</f>
        <v>0.81085674978504096</v>
      </c>
      <c r="D251" s="193">
        <f>'Demande Format Medpro'!D239</f>
        <v>0.91825709372313202</v>
      </c>
      <c r="E251" s="193">
        <f>'Demande Format Medpro'!E239</f>
        <v>1.05216474634566</v>
      </c>
      <c r="F251" s="193">
        <f>'Demande Format Medpro'!F239</f>
        <v>1.2258425623387801</v>
      </c>
      <c r="G251" s="193">
        <f>'Demande Format Medpro'!G239</f>
        <v>1.77597196904557</v>
      </c>
      <c r="H251" s="193">
        <f>'Demande Format Medpro'!H239</f>
        <v>1.1287178574132001E-2</v>
      </c>
      <c r="I251" s="193">
        <f>'Demande Format Medpro'!I239</f>
        <v>2.5189220679678399E-2</v>
      </c>
      <c r="J251" s="193">
        <f>'Demande Format Medpro'!J239</f>
        <v>2.7599515553620401E-2</v>
      </c>
      <c r="K251" s="193">
        <f>'Demande Format Medpro'!K239</f>
        <v>3.1027359667426899E-2</v>
      </c>
      <c r="L251" s="193">
        <f>'Demande Format Medpro'!L239</f>
        <v>1.8708829896345799E-2</v>
      </c>
      <c r="N251" s="180"/>
    </row>
    <row r="252" spans="1:14">
      <c r="A252" s="178" t="s">
        <v>105</v>
      </c>
      <c r="B252" s="193">
        <f>'Demande Format Medpro'!B240</f>
        <v>0.2351</v>
      </c>
      <c r="C252" s="193">
        <f>'Demande Format Medpro'!C240</f>
        <v>0.2399</v>
      </c>
      <c r="D252" s="193">
        <f>'Demande Format Medpro'!D240</f>
        <v>0.2387</v>
      </c>
      <c r="E252" s="193">
        <f>'Demande Format Medpro'!E240</f>
        <v>0.2465</v>
      </c>
      <c r="F252" s="193">
        <f>'Demande Format Medpro'!F240</f>
        <v>0.28029999999999999</v>
      </c>
      <c r="G252" s="193">
        <f>'Demande Format Medpro'!G240</f>
        <v>0.4</v>
      </c>
      <c r="H252" s="193">
        <f>'Demande Format Medpro'!H240</f>
        <v>1.3483224571198E-3</v>
      </c>
      <c r="I252" s="193">
        <f>'Demande Format Medpro'!I240</f>
        <v>-1.00242453668065E-3</v>
      </c>
      <c r="J252" s="193">
        <f>'Demande Format Medpro'!J240</f>
        <v>6.4516146114776997E-3</v>
      </c>
      <c r="K252" s="193">
        <f>'Demande Format Medpro'!K240</f>
        <v>2.60327773134887E-2</v>
      </c>
      <c r="L252" s="193">
        <f>'Demande Format Medpro'!L240</f>
        <v>1.7939213287181802E-2</v>
      </c>
      <c r="N252" s="180"/>
    </row>
    <row r="253" spans="1:14">
      <c r="A253" s="178" t="s">
        <v>134</v>
      </c>
      <c r="B253" s="193">
        <f>'Demande Format Medpro'!B241</f>
        <v>8.8200000000000001E-2</v>
      </c>
      <c r="C253" s="193">
        <f>'Demande Format Medpro'!C241</f>
        <v>0.1293</v>
      </c>
      <c r="D253" s="193">
        <f>'Demande Format Medpro'!D241</f>
        <v>8.7599999999999997E-2</v>
      </c>
      <c r="E253" s="193">
        <f>'Demande Format Medpro'!E241</f>
        <v>5.9900000000000002E-2</v>
      </c>
      <c r="F253" s="193">
        <f>'Demande Format Medpro'!F241</f>
        <v>3.6799999999999999E-2</v>
      </c>
      <c r="G253" s="193">
        <f>'Demande Format Medpro'!G241</f>
        <v>1.4500000000000001E-2</v>
      </c>
      <c r="H253" s="193">
        <f>'Demande Format Medpro'!H241</f>
        <v>2.5829843224459002E-2</v>
      </c>
      <c r="I253" s="193">
        <f>'Demande Format Medpro'!I241</f>
        <v>-7.4916113586561597E-2</v>
      </c>
      <c r="J253" s="193">
        <f>'Demande Format Medpro'!J241</f>
        <v>-7.3203162366209398E-2</v>
      </c>
      <c r="K253" s="193">
        <f>'Demande Format Medpro'!K241</f>
        <v>-9.2839358907831002E-2</v>
      </c>
      <c r="L253" s="193">
        <f>'Demande Format Medpro'!L241</f>
        <v>-4.5499831980384001E-2</v>
      </c>
      <c r="N253" s="180"/>
    </row>
    <row r="254" spans="1:14">
      <c r="A254" s="178" t="s">
        <v>135</v>
      </c>
      <c r="B254" s="193">
        <v>0</v>
      </c>
      <c r="C254" s="193">
        <v>0</v>
      </c>
      <c r="D254" s="193">
        <v>0.17538671311330201</v>
      </c>
      <c r="E254" s="193">
        <v>0.27725777640469929</v>
      </c>
      <c r="F254" s="193">
        <v>0.32589748131457796</v>
      </c>
      <c r="G254" s="193">
        <v>0.26969532605157076</v>
      </c>
      <c r="H254" s="193">
        <v>0</v>
      </c>
      <c r="I254" s="193">
        <v>0</v>
      </c>
      <c r="J254" s="193">
        <v>0</v>
      </c>
      <c r="K254" s="193">
        <v>0</v>
      </c>
      <c r="L254" s="193">
        <v>0</v>
      </c>
      <c r="N254" s="180"/>
    </row>
    <row r="255" spans="1:14">
      <c r="A255" s="178" t="s">
        <v>136</v>
      </c>
      <c r="B255" s="193">
        <v>0</v>
      </c>
      <c r="C255" s="193">
        <v>0</v>
      </c>
      <c r="D255" s="193">
        <v>0.27147606234765886</v>
      </c>
      <c r="E255" s="193">
        <v>0.44817270420611521</v>
      </c>
      <c r="F255" s="193">
        <v>0.52852105884237166</v>
      </c>
      <c r="G255" s="193">
        <v>0.53095438697366792</v>
      </c>
      <c r="H255" s="193">
        <v>0</v>
      </c>
      <c r="I255" s="193">
        <v>0</v>
      </c>
      <c r="J255" s="193">
        <v>0</v>
      </c>
      <c r="K255" s="193">
        <v>0</v>
      </c>
      <c r="L255" s="193">
        <v>0</v>
      </c>
      <c r="N255" s="180"/>
    </row>
    <row r="256" spans="1:14">
      <c r="A256" s="178"/>
      <c r="B256" s="179"/>
      <c r="C256" s="179"/>
      <c r="D256" s="179"/>
      <c r="E256" s="214"/>
      <c r="F256" s="179"/>
      <c r="G256" s="179"/>
      <c r="H256" s="179"/>
      <c r="I256" s="179"/>
      <c r="J256" s="179"/>
      <c r="K256" s="179"/>
      <c r="L256" s="179"/>
      <c r="N256" s="180"/>
    </row>
    <row r="257" spans="1:14" ht="15" thickBot="1">
      <c r="A257" s="181" t="s">
        <v>10</v>
      </c>
      <c r="B257" s="203">
        <f>SUM(B248:B255)</f>
        <v>3.785714617368876</v>
      </c>
      <c r="C257" s="203">
        <f t="shared" ref="C257:L257" si="2">SUM(C248:C255)</f>
        <v>3.8695567497850414</v>
      </c>
      <c r="D257" s="203">
        <f t="shared" si="2"/>
        <v>4.3396198691840926</v>
      </c>
      <c r="E257" s="203">
        <f t="shared" si="2"/>
        <v>4.593795226956475</v>
      </c>
      <c r="F257" s="203">
        <f t="shared" si="2"/>
        <v>4.6876611024957295</v>
      </c>
      <c r="G257" s="203">
        <f t="shared" si="2"/>
        <v>4.7730216820708087</v>
      </c>
      <c r="H257" s="203">
        <f t="shared" si="2"/>
        <v>-2.7593519936299406E-2</v>
      </c>
      <c r="I257" s="203">
        <f t="shared" si="2"/>
        <v>-1.0681077185829362</v>
      </c>
      <c r="J257" s="203" t="e">
        <f t="shared" si="2"/>
        <v>#DIV/0!</v>
      </c>
      <c r="K257" s="203" t="e">
        <f t="shared" si="2"/>
        <v>#DIV/0!</v>
      </c>
      <c r="L257" s="203" t="e">
        <f t="shared" si="2"/>
        <v>#DIV/0!</v>
      </c>
      <c r="N257" s="180"/>
    </row>
    <row r="258" spans="1:14">
      <c r="A258" s="183"/>
      <c r="B258" s="170"/>
      <c r="C258" s="170"/>
      <c r="D258" s="170"/>
      <c r="E258" s="170"/>
    </row>
    <row r="259" spans="1:14">
      <c r="A259" s="183"/>
      <c r="B259" s="170"/>
      <c r="C259" s="170"/>
      <c r="D259" s="170"/>
      <c r="E259" s="170"/>
    </row>
    <row r="260" spans="1:14" ht="16" thickBot="1">
      <c r="A260" s="90" t="s">
        <v>160</v>
      </c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</row>
    <row r="261" spans="1:14" ht="15" thickBot="1">
      <c r="A261" s="176"/>
      <c r="B261" s="177">
        <v>2000</v>
      </c>
      <c r="C261" s="177">
        <v>2015</v>
      </c>
      <c r="D261" s="177">
        <v>2020</v>
      </c>
      <c r="E261" s="177">
        <v>2025</v>
      </c>
      <c r="F261" s="177">
        <v>2030</v>
      </c>
      <c r="G261" s="177">
        <v>2050</v>
      </c>
      <c r="H261" s="185" t="s">
        <v>98</v>
      </c>
      <c r="I261" s="186" t="s">
        <v>99</v>
      </c>
      <c r="J261" s="186" t="s">
        <v>100</v>
      </c>
      <c r="K261" s="186" t="s">
        <v>101</v>
      </c>
      <c r="L261" s="187" t="s">
        <v>102</v>
      </c>
    </row>
    <row r="262" spans="1:14">
      <c r="A262" s="178" t="s">
        <v>161</v>
      </c>
      <c r="B262" s="221">
        <f>'Demande Format Medpro'!B249</f>
        <v>1.4720905322587E-2</v>
      </c>
      <c r="C262" s="221">
        <f>'Demande Format Medpro'!C249</f>
        <v>1.3822364259190799E-2</v>
      </c>
      <c r="D262" s="221">
        <f>'Demande Format Medpro'!D249</f>
        <v>1.24768482009943E-2</v>
      </c>
      <c r="E262" s="221">
        <f>'Demande Format Medpro'!E249</f>
        <v>1.14751113707548E-2</v>
      </c>
      <c r="F262" s="221">
        <f>'Demande Format Medpro'!F249</f>
        <v>1.0392448104838E-2</v>
      </c>
      <c r="G262" s="221">
        <f>'Demande Format Medpro'!G249</f>
        <v>7.77069433164654E-3</v>
      </c>
      <c r="H262" s="221">
        <f>'Demande Format Medpro'!H249</f>
        <v>-4.1899134103409201E-3</v>
      </c>
      <c r="I262" s="221">
        <f>'Demande Format Medpro'!I249</f>
        <v>-2.0274275228004401E-2</v>
      </c>
      <c r="J262" s="221">
        <f>'Demande Format Medpro'!J249</f>
        <v>-1.6599547953537099E-2</v>
      </c>
      <c r="K262" s="221">
        <f>'Demande Format Medpro'!K249</f>
        <v>-1.9625083440440099E-2</v>
      </c>
      <c r="L262" s="221">
        <f>'Demande Format Medpro'!L249</f>
        <v>-1.4430856366119999E-2</v>
      </c>
    </row>
    <row r="263" spans="1:14">
      <c r="A263" s="178" t="s">
        <v>162</v>
      </c>
      <c r="B263" s="221">
        <f>'Demande Format Medpro'!B250</f>
        <v>17.813600000000001</v>
      </c>
      <c r="C263" s="221">
        <f>'Demande Format Medpro'!C250</f>
        <v>20.182200000000002</v>
      </c>
      <c r="D263" s="221">
        <f>'Demande Format Medpro'!D250</f>
        <v>20.667100000000001</v>
      </c>
      <c r="E263" s="221">
        <f>'Demande Format Medpro'!E250</f>
        <v>21.0288</v>
      </c>
      <c r="F263" s="221">
        <f>'Demande Format Medpro'!F250</f>
        <v>21.396899999999999</v>
      </c>
      <c r="G263" s="221">
        <f>'Demande Format Medpro'!G250</f>
        <v>22.7471</v>
      </c>
      <c r="H263" s="221">
        <f>'Demande Format Medpro'!H250</f>
        <v>8.35731683262542E-3</v>
      </c>
      <c r="I263" s="221">
        <f>'Demande Format Medpro'!I250</f>
        <v>4.7596987678148999E-3</v>
      </c>
      <c r="J263" s="221">
        <f>'Demande Format Medpro'!J250</f>
        <v>3.47599989365133E-3</v>
      </c>
      <c r="K263" s="221">
        <f>'Demande Format Medpro'!K250</f>
        <v>3.4766545875790601E-3</v>
      </c>
      <c r="L263" s="221">
        <f>'Demande Format Medpro'!L250</f>
        <v>3.0642659451392E-3</v>
      </c>
    </row>
    <row r="264" spans="1:14">
      <c r="A264" s="178" t="s">
        <v>163</v>
      </c>
      <c r="B264" s="221">
        <f>'Demande Format Medpro'!B251</f>
        <v>1.1237032379754801</v>
      </c>
      <c r="C264" s="221">
        <f>'Demande Format Medpro'!C251</f>
        <v>1.1396287364731399</v>
      </c>
      <c r="D264" s="221">
        <f>'Demande Format Medpro'!D251</f>
        <v>1.0899987962167601</v>
      </c>
      <c r="E264" s="221">
        <f>'Demande Format Medpro'!E251</f>
        <v>1.04991441121201</v>
      </c>
      <c r="F264" s="221">
        <f>'Demande Format Medpro'!F251</f>
        <v>1.00214820663643</v>
      </c>
      <c r="G264" s="221">
        <f>'Demande Format Medpro'!G251</f>
        <v>0.996511926693747</v>
      </c>
      <c r="H264" s="221">
        <f>'Demande Format Medpro'!H251</f>
        <v>9.3862998075011595E-4</v>
      </c>
      <c r="I264" s="221">
        <f>'Demande Format Medpro'!I251</f>
        <v>-8.8656557888380193E-3</v>
      </c>
      <c r="J264" s="221">
        <f>'Demande Format Medpro'!J251</f>
        <v>-7.4655818916973303E-3</v>
      </c>
      <c r="K264" s="221">
        <f>'Demande Format Medpro'!K251</f>
        <v>-9.2693215405353895E-3</v>
      </c>
      <c r="L264" s="221">
        <f>'Demande Format Medpro'!L251</f>
        <v>-2.8196390854673398E-4</v>
      </c>
    </row>
    <row r="265" spans="1:14" ht="15" thickBot="1">
      <c r="A265" s="181" t="s">
        <v>164</v>
      </c>
      <c r="B265" s="592">
        <f>'Demande Format Medpro'!B252</f>
        <v>6091.2954147393002</v>
      </c>
      <c r="C265" s="593">
        <f>'Demande Format Medpro'!C252</f>
        <v>7150.2873324018201</v>
      </c>
      <c r="D265" s="593">
        <f>'Demande Format Medpro'!D252</f>
        <v>7250.9466253127002</v>
      </c>
      <c r="E265" s="593">
        <f>'Demande Format Medpro'!E252</f>
        <v>7458.2805961348304</v>
      </c>
      <c r="F265" s="593">
        <f>'Demande Format Medpro'!F252</f>
        <v>7677.61867373311</v>
      </c>
      <c r="G265" s="593">
        <f>'Demande Format Medpro'!G252</f>
        <v>8773.4101050243808</v>
      </c>
      <c r="H265" s="593">
        <f>'Demande Format Medpro'!H252</f>
        <v>1.0743418575732499E-2</v>
      </c>
      <c r="I265" s="593">
        <f>'Demande Format Medpro'!I252</f>
        <v>2.7998095870427299E-3</v>
      </c>
      <c r="J265" s="593">
        <f>'Demande Format Medpro'!J252</f>
        <v>5.6545017261144803E-3</v>
      </c>
      <c r="K265" s="593">
        <f>'Demande Format Medpro'!K252</f>
        <v>5.8137397677995297E-3</v>
      </c>
      <c r="L265" s="593">
        <f>'Demande Format Medpro'!L252</f>
        <v>6.6931062781363498E-3</v>
      </c>
    </row>
    <row r="266" spans="1:14">
      <c r="A266" s="211"/>
      <c r="F266" s="169"/>
    </row>
    <row r="267" spans="1:14">
      <c r="F267" s="169"/>
      <c r="G267" s="196"/>
      <c r="H267" s="196"/>
      <c r="I267" s="196"/>
    </row>
    <row r="268" spans="1:14" ht="21">
      <c r="A268" s="78" t="s">
        <v>165</v>
      </c>
      <c r="B268" s="73"/>
      <c r="C268" s="73"/>
      <c r="D268" s="73"/>
      <c r="E268" s="73"/>
      <c r="F268" s="73"/>
      <c r="G268" s="212"/>
      <c r="H268" s="212"/>
      <c r="I268" s="212"/>
      <c r="J268" s="212"/>
      <c r="K268" s="212"/>
      <c r="L268" s="212"/>
    </row>
    <row r="269" spans="1:14" ht="21">
      <c r="A269" s="171"/>
      <c r="E269" s="184"/>
      <c r="F269" s="169"/>
      <c r="G269" s="169"/>
    </row>
    <row r="270" spans="1:14" ht="16" thickBot="1">
      <c r="A270" s="90" t="s">
        <v>166</v>
      </c>
      <c r="B270" s="81"/>
      <c r="C270" s="81"/>
      <c r="D270" s="81"/>
      <c r="E270" s="81"/>
      <c r="F270" s="81"/>
      <c r="G270" s="80"/>
      <c r="H270" s="80"/>
      <c r="I270" s="80"/>
      <c r="J270" s="80"/>
      <c r="K270" s="80"/>
      <c r="L270" s="80"/>
    </row>
    <row r="271" spans="1:14" ht="15" thickBot="1">
      <c r="A271" s="176"/>
      <c r="B271" s="177">
        <v>2000</v>
      </c>
      <c r="C271" s="177">
        <v>2015</v>
      </c>
      <c r="D271" s="177">
        <v>2020</v>
      </c>
      <c r="E271" s="177">
        <v>2025</v>
      </c>
      <c r="F271" s="177">
        <v>2030</v>
      </c>
      <c r="G271" s="177">
        <v>2050</v>
      </c>
      <c r="H271" s="185" t="s">
        <v>98</v>
      </c>
      <c r="I271" s="186" t="s">
        <v>99</v>
      </c>
      <c r="J271" s="186" t="s">
        <v>100</v>
      </c>
      <c r="K271" s="186" t="s">
        <v>101</v>
      </c>
      <c r="L271" s="187" t="s">
        <v>102</v>
      </c>
    </row>
    <row r="272" spans="1:14">
      <c r="A272" s="229" t="s">
        <v>167</v>
      </c>
      <c r="B272" s="230"/>
      <c r="C272" s="230"/>
      <c r="D272" s="230"/>
      <c r="E272" s="230"/>
      <c r="F272" s="230"/>
      <c r="G272" s="230"/>
      <c r="H272" s="230"/>
      <c r="I272" s="230"/>
      <c r="J272" s="230"/>
      <c r="K272" s="230"/>
      <c r="L272" s="230"/>
    </row>
    <row r="273" spans="1:15">
      <c r="A273" s="178" t="s">
        <v>168</v>
      </c>
      <c r="B273" s="231">
        <f>'Demande Format Medpro'!B260</f>
        <v>687.75139999999999</v>
      </c>
      <c r="C273" s="231">
        <f>'Demande Format Medpro'!C260</f>
        <v>729.41039999999998</v>
      </c>
      <c r="D273" s="231">
        <f>'Demande Format Medpro'!D260</f>
        <v>741.40110000000004</v>
      </c>
      <c r="E273" s="231">
        <f>'Demande Format Medpro'!E260</f>
        <v>756.66959999999995</v>
      </c>
      <c r="F273" s="231">
        <f>'Demande Format Medpro'!F260</f>
        <v>778.22469999999998</v>
      </c>
      <c r="G273" s="231">
        <f>'Demande Format Medpro'!G260</f>
        <v>909.726</v>
      </c>
      <c r="H273" s="231">
        <f>'Demande Format Medpro'!H260</f>
        <v>3.9283023752718603E-3</v>
      </c>
      <c r="I273" s="231">
        <f>'Demande Format Medpro'!I260</f>
        <v>3.2663705657525201E-3</v>
      </c>
      <c r="J273" s="231">
        <f>'Demande Format Medpro'!J260</f>
        <v>4.0853070199218201E-3</v>
      </c>
      <c r="K273" s="231">
        <f>'Demande Format Medpro'!K260</f>
        <v>5.6335292818185901E-3</v>
      </c>
      <c r="L273" s="231">
        <f>'Demande Format Medpro'!L260</f>
        <v>7.8369572087166901E-3</v>
      </c>
    </row>
    <row r="274" spans="1:15">
      <c r="A274" s="178" t="s">
        <v>169</v>
      </c>
      <c r="B274" s="231">
        <f>'Demande Format Medpro'!B261</f>
        <v>55.897300000000001</v>
      </c>
      <c r="C274" s="231">
        <f>'Demande Format Medpro'!C261</f>
        <v>71.178700000000006</v>
      </c>
      <c r="D274" s="231">
        <f>'Demande Format Medpro'!D261</f>
        <v>82.192400000000006</v>
      </c>
      <c r="E274" s="231">
        <f>'Demande Format Medpro'!E261</f>
        <v>85.473299999999995</v>
      </c>
      <c r="F274" s="231">
        <f>'Demande Format Medpro'!F261</f>
        <v>89.915099999999995</v>
      </c>
      <c r="G274" s="231">
        <f>'Demande Format Medpro'!G261</f>
        <v>111.08929999999999</v>
      </c>
      <c r="H274" s="231">
        <f>'Demande Format Medpro'!H261</f>
        <v>1.6242331386241898E-2</v>
      </c>
      <c r="I274" s="231">
        <f>'Demande Format Medpro'!I261</f>
        <v>2.9191811075447899E-2</v>
      </c>
      <c r="J274" s="231">
        <f>'Demande Format Medpro'!J261</f>
        <v>7.8589620121247705E-3</v>
      </c>
      <c r="K274" s="231">
        <f>'Demande Format Medpro'!K261</f>
        <v>1.01838753259413E-2</v>
      </c>
      <c r="L274" s="231">
        <f>'Demande Format Medpro'!L261</f>
        <v>1.06295207183478E-2</v>
      </c>
    </row>
    <row r="275" spans="1:15">
      <c r="A275" s="178" t="s">
        <v>170</v>
      </c>
      <c r="B275" s="231">
        <f>'Demande Format Medpro'!B262</f>
        <v>80.924999999999997</v>
      </c>
      <c r="C275" s="231">
        <f>'Demande Format Medpro'!C262</f>
        <v>104.51479999999999</v>
      </c>
      <c r="D275" s="231">
        <f>'Demande Format Medpro'!D262</f>
        <v>113.20359999999999</v>
      </c>
      <c r="E275" s="231">
        <f>'Demande Format Medpro'!E262</f>
        <v>119.03700000000001</v>
      </c>
      <c r="F275" s="231">
        <f>'Demande Format Medpro'!F262</f>
        <v>126.9782</v>
      </c>
      <c r="G275" s="231">
        <f>'Demande Format Medpro'!G262</f>
        <v>164.40620000000001</v>
      </c>
      <c r="H275" s="231">
        <f>'Demande Format Medpro'!H262</f>
        <v>1.7199970831537799E-2</v>
      </c>
      <c r="I275" s="231">
        <f>'Demande Format Medpro'!I262</f>
        <v>1.61000877227735E-2</v>
      </c>
      <c r="J275" s="231">
        <f>'Demande Format Medpro'!J262</f>
        <v>1.00999439406149E-2</v>
      </c>
      <c r="K275" s="231">
        <f>'Demande Format Medpro'!K262</f>
        <v>1.29999843378217E-2</v>
      </c>
      <c r="L275" s="231">
        <f>'Demande Format Medpro'!L262</f>
        <v>1.30000137410558E-2</v>
      </c>
    </row>
    <row r="276" spans="1:15">
      <c r="A276" s="178" t="s">
        <v>171</v>
      </c>
      <c r="B276" s="231">
        <f>'Demande Format Medpro'!B263</f>
        <v>15.128</v>
      </c>
      <c r="C276" s="231">
        <f>'Demande Format Medpro'!C263</f>
        <v>14.279299999999999</v>
      </c>
      <c r="D276" s="231">
        <f>'Demande Format Medpro'!D263</f>
        <v>14.2354</v>
      </c>
      <c r="E276" s="231">
        <f>'Demande Format Medpro'!E263</f>
        <v>15.2354</v>
      </c>
      <c r="F276" s="231">
        <f>'Demande Format Medpro'!F263</f>
        <v>17.1067</v>
      </c>
      <c r="G276" s="231">
        <f>'Demande Format Medpro'!G263</f>
        <v>23.6632</v>
      </c>
      <c r="H276" s="231">
        <f>'Demande Format Medpro'!H263</f>
        <v>-3.84169475365603E-3</v>
      </c>
      <c r="I276" s="231">
        <f>'Demande Format Medpro'!I263</f>
        <v>-6.1563362236105601E-4</v>
      </c>
      <c r="J276" s="231">
        <f>'Demande Format Medpro'!J263</f>
        <v>1.36705687234326E-2</v>
      </c>
      <c r="K276" s="231">
        <f>'Demande Format Medpro'!K263</f>
        <v>2.3440209206746498E-2</v>
      </c>
      <c r="L276" s="231">
        <f>'Demande Format Medpro'!L263</f>
        <v>1.6354844884853201E-2</v>
      </c>
    </row>
    <row r="277" spans="1:15">
      <c r="A277" s="178"/>
      <c r="B277" s="231">
        <f>'Demande Format Medpro'!B264</f>
        <v>0</v>
      </c>
      <c r="C277" s="231">
        <f>'Demande Format Medpro'!C264</f>
        <v>0</v>
      </c>
      <c r="D277" s="231">
        <f>'Demande Format Medpro'!D264</f>
        <v>0</v>
      </c>
      <c r="E277" s="231">
        <f>'Demande Format Medpro'!E264</f>
        <v>0</v>
      </c>
      <c r="F277" s="231">
        <f>'Demande Format Medpro'!F264</f>
        <v>0</v>
      </c>
      <c r="G277" s="231">
        <f>'Demande Format Medpro'!G264</f>
        <v>0</v>
      </c>
      <c r="H277" s="231">
        <f>'Demande Format Medpro'!H264</f>
        <v>0</v>
      </c>
      <c r="I277" s="231">
        <f>'Demande Format Medpro'!I264</f>
        <v>0</v>
      </c>
      <c r="J277" s="231">
        <f>'Demande Format Medpro'!J264</f>
        <v>0</v>
      </c>
      <c r="K277" s="231">
        <f>'Demande Format Medpro'!K264</f>
        <v>0</v>
      </c>
      <c r="L277" s="231">
        <f>'Demande Format Medpro'!L264</f>
        <v>0</v>
      </c>
    </row>
    <row r="278" spans="1:15">
      <c r="A278" s="178"/>
      <c r="B278" s="231">
        <f>'Demande Format Medpro'!B265</f>
        <v>0</v>
      </c>
      <c r="C278" s="231">
        <f>'Demande Format Medpro'!C265</f>
        <v>0</v>
      </c>
      <c r="D278" s="231">
        <f>'Demande Format Medpro'!D265</f>
        <v>0</v>
      </c>
      <c r="E278" s="231">
        <f>'Demande Format Medpro'!E265</f>
        <v>0</v>
      </c>
      <c r="F278" s="231">
        <f>'Demande Format Medpro'!F265</f>
        <v>0</v>
      </c>
      <c r="G278" s="231">
        <f>'Demande Format Medpro'!G265</f>
        <v>0</v>
      </c>
      <c r="H278" s="231">
        <f>'Demande Format Medpro'!H265</f>
        <v>0</v>
      </c>
      <c r="I278" s="231">
        <f>'Demande Format Medpro'!I265</f>
        <v>0</v>
      </c>
      <c r="J278" s="231">
        <f>'Demande Format Medpro'!J265</f>
        <v>0</v>
      </c>
      <c r="K278" s="231">
        <f>'Demande Format Medpro'!K265</f>
        <v>0</v>
      </c>
      <c r="L278" s="231">
        <f>'Demande Format Medpro'!L265</f>
        <v>0</v>
      </c>
    </row>
    <row r="279" spans="1:15">
      <c r="A279" s="229" t="s">
        <v>172</v>
      </c>
      <c r="B279" s="231">
        <f>'Demande Format Medpro'!B266</f>
        <v>0</v>
      </c>
      <c r="C279" s="231">
        <f>'Demande Format Medpro'!C266</f>
        <v>0</v>
      </c>
      <c r="D279" s="231">
        <f>'Demande Format Medpro'!D266</f>
        <v>0</v>
      </c>
      <c r="E279" s="231">
        <f>'Demande Format Medpro'!E266</f>
        <v>0</v>
      </c>
      <c r="F279" s="231">
        <f>'Demande Format Medpro'!F266</f>
        <v>0</v>
      </c>
      <c r="G279" s="231">
        <f>'Demande Format Medpro'!G266</f>
        <v>0</v>
      </c>
      <c r="H279" s="231">
        <f>'Demande Format Medpro'!H266</f>
        <v>0</v>
      </c>
      <c r="I279" s="231">
        <f>'Demande Format Medpro'!I266</f>
        <v>0</v>
      </c>
      <c r="J279" s="231">
        <f>'Demande Format Medpro'!J266</f>
        <v>0</v>
      </c>
      <c r="K279" s="231">
        <f>'Demande Format Medpro'!K266</f>
        <v>0</v>
      </c>
      <c r="L279" s="231">
        <f>'Demande Format Medpro'!L266</f>
        <v>0</v>
      </c>
    </row>
    <row r="280" spans="1:15">
      <c r="A280" s="178" t="s">
        <v>173</v>
      </c>
      <c r="B280" s="231">
        <f>'Demande Format Medpro'!B267</f>
        <v>276.81830000000002</v>
      </c>
      <c r="C280" s="231">
        <f>'Demande Format Medpro'!C267</f>
        <v>281.44720000000001</v>
      </c>
      <c r="D280" s="231">
        <f>'Demande Format Medpro'!D267</f>
        <v>309.88189999999997</v>
      </c>
      <c r="E280" s="231">
        <f>'Demande Format Medpro'!E267</f>
        <v>329.65730000000002</v>
      </c>
      <c r="F280" s="231">
        <f>'Demande Format Medpro'!F267</f>
        <v>353.20060000000001</v>
      </c>
      <c r="G280" s="231">
        <f>'Demande Format Medpro'!G267</f>
        <v>495.22289999999998</v>
      </c>
      <c r="H280" s="231">
        <f>'Demande Format Medpro'!H267</f>
        <v>1.10617997322349E-3</v>
      </c>
      <c r="I280" s="231">
        <f>'Demande Format Medpro'!I267</f>
        <v>1.9435740617660398E-2</v>
      </c>
      <c r="J280" s="231">
        <f>'Demande Format Medpro'!J267</f>
        <v>1.2449330274007899E-2</v>
      </c>
      <c r="K280" s="231">
        <f>'Demande Format Medpro'!K267</f>
        <v>1.3892118496743299E-2</v>
      </c>
      <c r="L280" s="231">
        <f>'Demande Format Medpro'!L267</f>
        <v>1.7042178683341701E-2</v>
      </c>
    </row>
    <row r="281" spans="1:15">
      <c r="A281" s="178" t="s">
        <v>170</v>
      </c>
      <c r="B281" s="231">
        <f>'Demande Format Medpro'!B268</f>
        <v>57.725999999999999</v>
      </c>
      <c r="C281" s="231">
        <f>'Demande Format Medpro'!C268</f>
        <v>34.2515</v>
      </c>
      <c r="D281" s="231">
        <f>'Demande Format Medpro'!D268</f>
        <v>39.9968</v>
      </c>
      <c r="E281" s="231">
        <f>'Demande Format Medpro'!E268</f>
        <v>42.5809</v>
      </c>
      <c r="F281" s="231">
        <f>'Demande Format Medpro'!F268</f>
        <v>45.5563</v>
      </c>
      <c r="G281" s="231">
        <f>'Demande Format Medpro'!G268</f>
        <v>66.248999999999995</v>
      </c>
      <c r="H281" s="231">
        <f>'Demande Format Medpro'!H268</f>
        <v>-3.4199983008170301E-2</v>
      </c>
      <c r="I281" s="231">
        <f>'Demande Format Medpro'!I268</f>
        <v>3.1499757370236699E-2</v>
      </c>
      <c r="J281" s="231">
        <f>'Demande Format Medpro'!J268</f>
        <v>1.2599988303198599E-2</v>
      </c>
      <c r="K281" s="231">
        <f>'Demande Format Medpro'!K268</f>
        <v>1.3600279275669499E-2</v>
      </c>
      <c r="L281" s="231">
        <f>'Demande Format Medpro'!L268</f>
        <v>1.8899957550523299E-2</v>
      </c>
    </row>
    <row r="282" spans="1:15">
      <c r="A282" s="178" t="s">
        <v>174</v>
      </c>
      <c r="B282" s="231">
        <f>'Demande Format Medpro'!B269</f>
        <v>7.2610000000000001</v>
      </c>
      <c r="C282" s="231">
        <f>'Demande Format Medpro'!C269</f>
        <v>7.4595000000000002</v>
      </c>
      <c r="D282" s="231">
        <f>'Demande Format Medpro'!D269</f>
        <v>8.1836000000000002</v>
      </c>
      <c r="E282" s="231">
        <f>'Demande Format Medpro'!E269</f>
        <v>8.3943999999999992</v>
      </c>
      <c r="F282" s="231">
        <f>'Demande Format Medpro'!F269</f>
        <v>8.6234999999999999</v>
      </c>
      <c r="G282" s="231">
        <f>'Demande Format Medpro'!G269</f>
        <v>12.7639</v>
      </c>
      <c r="H282" s="231">
        <f>'Demande Format Medpro'!H269</f>
        <v>1.79967263331648E-3</v>
      </c>
      <c r="I282" s="231">
        <f>'Demande Format Medpro'!I269</f>
        <v>1.8701475219116401E-2</v>
      </c>
      <c r="J282" s="231">
        <f>'Demande Format Medpro'!J269</f>
        <v>5.0994914233970503E-3</v>
      </c>
      <c r="K282" s="231">
        <f>'Demande Format Medpro'!K269</f>
        <v>5.3997700662658001E-3</v>
      </c>
      <c r="L282" s="231">
        <f>'Demande Format Medpro'!L269</f>
        <v>1.97999615700102E-2</v>
      </c>
      <c r="O282" s="232"/>
    </row>
    <row r="283" spans="1:15">
      <c r="A283" s="178"/>
      <c r="B283" s="231">
        <f>'Demande Format Medpro'!B270</f>
        <v>0</v>
      </c>
      <c r="C283" s="231">
        <f>'Demande Format Medpro'!C270</f>
        <v>0</v>
      </c>
      <c r="D283" s="231">
        <f>'Demande Format Medpro'!D270</f>
        <v>0</v>
      </c>
      <c r="E283" s="231">
        <f>'Demande Format Medpro'!E270</f>
        <v>0</v>
      </c>
      <c r="F283" s="231">
        <f>'Demande Format Medpro'!F270</f>
        <v>0</v>
      </c>
      <c r="G283" s="231">
        <f>'Demande Format Medpro'!G270</f>
        <v>0</v>
      </c>
      <c r="H283" s="231">
        <f>'Demande Format Medpro'!H270</f>
        <v>0</v>
      </c>
      <c r="I283" s="231">
        <f>'Demande Format Medpro'!I270</f>
        <v>0</v>
      </c>
      <c r="J283" s="231">
        <f>'Demande Format Medpro'!J270</f>
        <v>0</v>
      </c>
      <c r="K283" s="231">
        <f>'Demande Format Medpro'!K270</f>
        <v>0</v>
      </c>
      <c r="L283" s="231">
        <f>'Demande Format Medpro'!L270</f>
        <v>0</v>
      </c>
    </row>
    <row r="284" spans="1:15">
      <c r="A284" s="178" t="s">
        <v>175</v>
      </c>
      <c r="B284" s="231">
        <f>'Demande Format Medpro'!B271</f>
        <v>397.56709999999998</v>
      </c>
      <c r="C284" s="231">
        <f>'Demande Format Medpro'!C271</f>
        <v>443.3836</v>
      </c>
      <c r="D284" s="231">
        <f>'Demande Format Medpro'!D271</f>
        <v>450.69979999999998</v>
      </c>
      <c r="E284" s="231">
        <f>'Demande Format Medpro'!E271</f>
        <v>459.702</v>
      </c>
      <c r="F284" s="231">
        <f>'Demande Format Medpro'!F271</f>
        <v>472.85500000000002</v>
      </c>
      <c r="G284" s="231">
        <f>'Demande Format Medpro'!G271</f>
        <v>554.00160000000005</v>
      </c>
      <c r="H284" s="231">
        <f>'Demande Format Medpro'!H271</f>
        <v>7.2979400871426899E-3</v>
      </c>
      <c r="I284" s="231">
        <f>'Demande Format Medpro'!I271</f>
        <v>3.2785981569913901E-3</v>
      </c>
      <c r="J284" s="231">
        <f>'Demande Format Medpro'!J271</f>
        <v>3.9632263976450101E-3</v>
      </c>
      <c r="K284" s="231">
        <f>'Demande Format Medpro'!K271</f>
        <v>5.6580132586543401E-3</v>
      </c>
      <c r="L284" s="231">
        <f>'Demande Format Medpro'!L271</f>
        <v>7.9503770923274892E-3</v>
      </c>
    </row>
    <row r="285" spans="1:15" ht="15" thickBot="1">
      <c r="A285" s="213"/>
      <c r="B285" s="594"/>
      <c r="C285" s="595"/>
      <c r="D285" s="233"/>
      <c r="E285" s="233"/>
      <c r="F285" s="233"/>
      <c r="G285" s="233"/>
      <c r="H285" s="595"/>
      <c r="I285" s="595"/>
      <c r="J285" s="595"/>
      <c r="K285" s="595"/>
      <c r="L285" s="595"/>
    </row>
    <row r="286" spans="1:15">
      <c r="A286" s="183"/>
      <c r="B286" s="234"/>
      <c r="C286" s="234"/>
      <c r="D286" s="234"/>
      <c r="E286" s="234"/>
      <c r="F286" s="234"/>
      <c r="G286" s="234"/>
    </row>
    <row r="287" spans="1:15">
      <c r="A287" s="183"/>
      <c r="B287" s="234"/>
      <c r="C287" s="234"/>
      <c r="D287" s="235"/>
      <c r="E287" s="235"/>
      <c r="F287" s="235"/>
      <c r="G287" s="235"/>
    </row>
    <row r="288" spans="1:15" ht="16" thickBot="1">
      <c r="A288" s="90" t="s">
        <v>176</v>
      </c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</row>
    <row r="289" spans="1:13" ht="15" thickBot="1">
      <c r="A289" s="176" t="s">
        <v>51</v>
      </c>
      <c r="B289" s="177">
        <v>2000</v>
      </c>
      <c r="C289" s="177">
        <v>2015</v>
      </c>
      <c r="D289" s="177">
        <v>2020</v>
      </c>
      <c r="E289" s="177">
        <v>2025</v>
      </c>
      <c r="F289" s="177">
        <v>2030</v>
      </c>
      <c r="G289" s="177">
        <v>2050</v>
      </c>
      <c r="H289" s="185" t="s">
        <v>98</v>
      </c>
      <c r="I289" s="186" t="s">
        <v>99</v>
      </c>
      <c r="J289" s="186" t="s">
        <v>100</v>
      </c>
      <c r="K289" s="186" t="s">
        <v>101</v>
      </c>
      <c r="L289" s="187" t="s">
        <v>102</v>
      </c>
    </row>
    <row r="290" spans="1:13">
      <c r="A290" s="178" t="s">
        <v>177</v>
      </c>
      <c r="B290" s="193">
        <f>'Demande Format Medpro'!B277</f>
        <v>13.9971</v>
      </c>
      <c r="C290" s="193">
        <f>'Demande Format Medpro'!C277</f>
        <v>7.2347999999999999</v>
      </c>
      <c r="D290" s="193">
        <f>'Demande Format Medpro'!D277</f>
        <v>6.7095000000000002</v>
      </c>
      <c r="E290" s="193">
        <f>'Demande Format Medpro'!E277</f>
        <v>6.4130000000000003</v>
      </c>
      <c r="F290" s="193">
        <f>'Demande Format Medpro'!F277</f>
        <v>5.77</v>
      </c>
      <c r="G290" s="193">
        <f>'Demande Format Medpro'!G277</f>
        <v>3.5712999999999999</v>
      </c>
      <c r="H290" s="193">
        <f>'Demande Format Medpro'!H277</f>
        <v>-4.3042689928576301E-2</v>
      </c>
      <c r="I290" s="193">
        <f>'Demande Format Medpro'!I277</f>
        <v>-1.49625879438747E-2</v>
      </c>
      <c r="J290" s="193">
        <f>'Demande Format Medpro'!J277</f>
        <v>-8.9987174730144E-3</v>
      </c>
      <c r="K290" s="193">
        <f>'Demande Format Medpro'!K277</f>
        <v>-2.0909324225712199E-2</v>
      </c>
      <c r="L290" s="193">
        <f>'Demande Format Medpro'!L277</f>
        <v>-2.3701715862578999E-2</v>
      </c>
      <c r="M290" s="190"/>
    </row>
    <row r="291" spans="1:13">
      <c r="A291" s="178" t="s">
        <v>178</v>
      </c>
      <c r="B291" s="193">
        <f>'Demande Format Medpro'!B278</f>
        <v>26.535799999999998</v>
      </c>
      <c r="C291" s="193">
        <f>'Demande Format Medpro'!C278</f>
        <v>32.707599999999999</v>
      </c>
      <c r="D291" s="193">
        <f>'Demande Format Medpro'!D278</f>
        <v>32.730899999999998</v>
      </c>
      <c r="E291" s="193">
        <f>'Demande Format Medpro'!E278</f>
        <v>31.736999999999998</v>
      </c>
      <c r="F291" s="193">
        <f>'Demande Format Medpro'!F278</f>
        <v>31.259599999999999</v>
      </c>
      <c r="G291" s="193">
        <f>'Demande Format Medpro'!G278</f>
        <v>31.748000000000001</v>
      </c>
      <c r="H291" s="193">
        <f>'Demande Format Medpro'!H278</f>
        <v>1.40384735515253E-2</v>
      </c>
      <c r="I291" s="193">
        <f>'Demande Format Medpro'!I278</f>
        <v>1.4243395127255801E-4</v>
      </c>
      <c r="J291" s="193">
        <f>'Demande Format Medpro'!J278</f>
        <v>-6.1483000068241998E-3</v>
      </c>
      <c r="K291" s="193">
        <f>'Demande Format Medpro'!K278</f>
        <v>-3.0267428832079198E-3</v>
      </c>
      <c r="L291" s="193">
        <f>'Demande Format Medpro'!L278</f>
        <v>7.7546062536670802E-4</v>
      </c>
      <c r="M291" s="190"/>
    </row>
    <row r="292" spans="1:13">
      <c r="A292" s="178" t="s">
        <v>179</v>
      </c>
      <c r="B292" s="193">
        <f>'Demande Format Medpro'!B279</f>
        <v>1.7838000000000001</v>
      </c>
      <c r="C292" s="193">
        <f>'Demande Format Medpro'!C279</f>
        <v>1.1121000000000001</v>
      </c>
      <c r="D292" s="193">
        <f>'Demande Format Medpro'!D279</f>
        <v>0.97289999999999999</v>
      </c>
      <c r="E292" s="193">
        <f>'Demande Format Medpro'!E279</f>
        <v>0.98340000000000005</v>
      </c>
      <c r="F292" s="193">
        <f>'Demande Format Medpro'!F279</f>
        <v>1.016</v>
      </c>
      <c r="G292" s="193">
        <f>'Demande Format Medpro'!G279</f>
        <v>1.0871</v>
      </c>
      <c r="H292" s="193">
        <f>'Demande Format Medpro'!H279</f>
        <v>-3.10087722550666E-2</v>
      </c>
      <c r="I292" s="193">
        <f>'Demande Format Medpro'!I279</f>
        <v>-2.63903438455984E-2</v>
      </c>
      <c r="J292" s="193">
        <f>'Demande Format Medpro'!J279</f>
        <v>2.1492369049878101E-3</v>
      </c>
      <c r="K292" s="193">
        <f>'Demande Format Medpro'!K279</f>
        <v>6.5438526851737703E-3</v>
      </c>
      <c r="L292" s="193">
        <f>'Demande Format Medpro'!L279</f>
        <v>3.38773801073589E-3</v>
      </c>
      <c r="M292" s="190"/>
    </row>
    <row r="293" spans="1:13">
      <c r="A293" s="178" t="s">
        <v>180</v>
      </c>
      <c r="B293" s="193">
        <f>'Demande Format Medpro'!B280</f>
        <v>0.20849999999999999</v>
      </c>
      <c r="C293" s="193">
        <f>'Demande Format Medpro'!C280</f>
        <v>0.15459999999999999</v>
      </c>
      <c r="D293" s="193">
        <f>'Demande Format Medpro'!D280</f>
        <v>0.152</v>
      </c>
      <c r="E293" s="193">
        <f>'Demande Format Medpro'!E280</f>
        <v>0.15179999999999999</v>
      </c>
      <c r="F293" s="193">
        <f>'Demande Format Medpro'!F280</f>
        <v>1.44E-2</v>
      </c>
      <c r="G293" s="193">
        <f>'Demande Format Medpro'!G280</f>
        <v>4.0000000000000001E-3</v>
      </c>
      <c r="H293" s="193">
        <f>'Demande Format Medpro'!H280</f>
        <v>-1.9742376104737801E-2</v>
      </c>
      <c r="I293" s="193">
        <f>'Demande Format Medpro'!I280</f>
        <v>-3.3863763117075699E-3</v>
      </c>
      <c r="J293" s="193">
        <f>'Demande Format Medpro'!J280</f>
        <v>-2.6329650833822898E-4</v>
      </c>
      <c r="K293" s="193">
        <f>'Demande Format Medpro'!K280</f>
        <v>-0.37566433569493302</v>
      </c>
      <c r="L293" s="193">
        <f>'Demande Format Medpro'!L280</f>
        <v>-6.20387970323922E-2</v>
      </c>
      <c r="M293" s="190"/>
    </row>
    <row r="294" spans="1:13">
      <c r="A294" s="178" t="s">
        <v>181</v>
      </c>
      <c r="B294" s="193">
        <f>'Demande Format Medpro'!B281</f>
        <v>0</v>
      </c>
      <c r="C294" s="193">
        <f>'Demande Format Medpro'!C281</f>
        <v>7.5200000000000003E-2</v>
      </c>
      <c r="D294" s="193">
        <f>'Demande Format Medpro'!D281</f>
        <v>8.6400000000000005E-2</v>
      </c>
      <c r="E294" s="193">
        <f>'Demande Format Medpro'!E281</f>
        <v>9.1899999999999996E-2</v>
      </c>
      <c r="F294" s="193">
        <f>'Demande Format Medpro'!F281</f>
        <v>9.7500000000000003E-2</v>
      </c>
      <c r="G294" s="193">
        <f>'Demande Format Medpro'!G281</f>
        <v>0.1215</v>
      </c>
      <c r="H294" s="193">
        <f>'Demande Format Medpro'!H281</f>
        <v>0</v>
      </c>
      <c r="I294" s="193">
        <f>'Demande Format Medpro'!I281</f>
        <v>2.8156393247250399E-2</v>
      </c>
      <c r="J294" s="193">
        <f>'Demande Format Medpro'!J281</f>
        <v>1.2419155823384201E-2</v>
      </c>
      <c r="K294" s="193">
        <f>'Demande Format Medpro'!K281</f>
        <v>1.1900524138891399E-2</v>
      </c>
      <c r="L294" s="193">
        <f>'Demande Format Medpro'!L281</f>
        <v>1.10638509129168E-2</v>
      </c>
      <c r="M294" s="190"/>
    </row>
    <row r="295" spans="1:13">
      <c r="A295" s="178" t="s">
        <v>104</v>
      </c>
      <c r="B295" s="193">
        <f>'Demande Format Medpro'!B282</f>
        <v>0.80669999999999997</v>
      </c>
      <c r="C295" s="193">
        <f>'Demande Format Medpro'!C282</f>
        <v>0.89270000000000005</v>
      </c>
      <c r="D295" s="193">
        <f>'Demande Format Medpro'!D282</f>
        <v>1.147</v>
      </c>
      <c r="E295" s="193">
        <f>'Demande Format Medpro'!E282</f>
        <v>1.4209000000000001</v>
      </c>
      <c r="F295" s="193">
        <f>'Demande Format Medpro'!F282</f>
        <v>1.8814</v>
      </c>
      <c r="G295" s="193">
        <f>'Demande Format Medpro'!G282</f>
        <v>4.0824999999999996</v>
      </c>
      <c r="H295" s="193">
        <f>'Demande Format Medpro'!H282</f>
        <v>6.7761030168769203E-3</v>
      </c>
      <c r="I295" s="193">
        <f>'Demande Format Medpro'!I282</f>
        <v>5.1408724958821497E-2</v>
      </c>
      <c r="J295" s="193">
        <f>'Demande Format Medpro'!J282</f>
        <v>4.3758485638497602E-2</v>
      </c>
      <c r="K295" s="193">
        <f>'Demande Format Medpro'!K282</f>
        <v>5.7751196062832501E-2</v>
      </c>
      <c r="L295" s="193">
        <f>'Demande Format Medpro'!L282</f>
        <v>3.9494636141248499E-2</v>
      </c>
      <c r="M295" s="190"/>
    </row>
    <row r="296" spans="1:13">
      <c r="A296" s="178" t="s">
        <v>109</v>
      </c>
      <c r="B296" s="193">
        <f>'Demande Format Medpro'!B283</f>
        <v>0</v>
      </c>
      <c r="C296" s="193">
        <f>'Demande Format Medpro'!C283</f>
        <v>0</v>
      </c>
      <c r="D296" s="193">
        <f>'Demande Format Medpro'!D283</f>
        <v>0</v>
      </c>
      <c r="E296" s="193">
        <f>'Demande Format Medpro'!E283</f>
        <v>0</v>
      </c>
      <c r="F296" s="193">
        <f>'Demande Format Medpro'!F283</f>
        <v>0</v>
      </c>
      <c r="G296" s="193">
        <f>'Demande Format Medpro'!G283</f>
        <v>0</v>
      </c>
      <c r="H296" s="193">
        <f>'Demande Format Medpro'!H283</f>
        <v>0</v>
      </c>
      <c r="I296" s="193">
        <f>'Demande Format Medpro'!I283</f>
        <v>0</v>
      </c>
      <c r="J296" s="193">
        <f>'Demande Format Medpro'!J283</f>
        <v>0</v>
      </c>
      <c r="K296" s="193">
        <f>'Demande Format Medpro'!K283</f>
        <v>0</v>
      </c>
      <c r="L296" s="193">
        <f>'Demande Format Medpro'!L283</f>
        <v>0</v>
      </c>
      <c r="M296" s="190"/>
    </row>
    <row r="297" spans="1:13">
      <c r="A297" s="178"/>
      <c r="B297" s="193">
        <f>'Demande Format Medpro'!B284</f>
        <v>0</v>
      </c>
      <c r="C297" s="193">
        <f>'Demande Format Medpro'!C284</f>
        <v>0</v>
      </c>
      <c r="D297" s="193">
        <f>'Demande Format Medpro'!D284</f>
        <v>0</v>
      </c>
      <c r="E297" s="193">
        <f>'Demande Format Medpro'!E284</f>
        <v>0</v>
      </c>
      <c r="F297" s="193">
        <f>'Demande Format Medpro'!F284</f>
        <v>0</v>
      </c>
      <c r="G297" s="193">
        <f>'Demande Format Medpro'!G284</f>
        <v>0</v>
      </c>
      <c r="H297" s="193">
        <f>'Demande Format Medpro'!H284</f>
        <v>0</v>
      </c>
      <c r="I297" s="193">
        <f>'Demande Format Medpro'!I284</f>
        <v>0</v>
      </c>
      <c r="J297" s="193">
        <f>'Demande Format Medpro'!J284</f>
        <v>0</v>
      </c>
      <c r="K297" s="193">
        <f>'Demande Format Medpro'!K284</f>
        <v>0</v>
      </c>
      <c r="L297" s="193">
        <f>'Demande Format Medpro'!L284</f>
        <v>0</v>
      </c>
    </row>
    <row r="298" spans="1:13" ht="15" thickBot="1">
      <c r="A298" s="181" t="s">
        <v>10</v>
      </c>
      <c r="B298" s="575">
        <f>'Demande Format Medpro'!B285</f>
        <v>43.331899999999997</v>
      </c>
      <c r="C298" s="182">
        <f>'Demande Format Medpro'!C285</f>
        <v>42.177</v>
      </c>
      <c r="D298" s="182">
        <f>'Demande Format Medpro'!D285</f>
        <v>41.798699999999997</v>
      </c>
      <c r="E298" s="182">
        <f>'Demande Format Medpro'!E285</f>
        <v>40.798000000000002</v>
      </c>
      <c r="F298" s="182">
        <f>'Demande Format Medpro'!F285</f>
        <v>40.038899999999998</v>
      </c>
      <c r="G298" s="182">
        <f>'Demande Format Medpro'!G285</f>
        <v>40.614400000000003</v>
      </c>
      <c r="H298" s="182">
        <f>'Demande Format Medpro'!H285</f>
        <v>-1.7993149918053E-3</v>
      </c>
      <c r="I298" s="182">
        <f>'Demande Format Medpro'!I285</f>
        <v>-1.80033948060065E-3</v>
      </c>
      <c r="J298" s="182">
        <f>'Demande Format Medpro'!J285</f>
        <v>-4.83471057375173E-3</v>
      </c>
      <c r="K298" s="182">
        <f>'Demande Format Medpro'!K285</f>
        <v>-3.7492696827380301E-3</v>
      </c>
      <c r="L298" s="182">
        <f>'Demande Format Medpro'!L285</f>
        <v>7.1381474379505995E-4</v>
      </c>
      <c r="M298" s="180"/>
    </row>
    <row r="299" spans="1:13">
      <c r="A299" s="183"/>
      <c r="B299" s="170"/>
      <c r="C299" s="170"/>
      <c r="D299" s="170"/>
      <c r="E299" s="223"/>
      <c r="F299" s="223"/>
      <c r="M299" s="201"/>
    </row>
    <row r="300" spans="1:13">
      <c r="A300" s="183"/>
      <c r="B300" s="170"/>
      <c r="C300" s="170"/>
      <c r="D300" s="170"/>
      <c r="E300" s="223"/>
      <c r="F300" s="223"/>
    </row>
    <row r="301" spans="1:13" ht="16" thickBot="1">
      <c r="A301" s="90" t="s">
        <v>182</v>
      </c>
      <c r="B301" s="80"/>
      <c r="C301" s="80"/>
      <c r="D301" s="80"/>
      <c r="E301" s="236"/>
      <c r="F301" s="236"/>
      <c r="G301" s="236"/>
      <c r="H301" s="80"/>
      <c r="I301" s="80"/>
      <c r="J301" s="80"/>
      <c r="K301" s="80"/>
      <c r="L301" s="80"/>
    </row>
    <row r="302" spans="1:13" ht="15" thickBot="1">
      <c r="A302" s="176" t="s">
        <v>51</v>
      </c>
      <c r="B302" s="177">
        <v>2000</v>
      </c>
      <c r="C302" s="177">
        <v>2015</v>
      </c>
      <c r="D302" s="177">
        <v>2020</v>
      </c>
      <c r="E302" s="177">
        <v>2025</v>
      </c>
      <c r="F302" s="177">
        <v>2030</v>
      </c>
      <c r="G302" s="177">
        <v>2050</v>
      </c>
      <c r="H302" s="185" t="s">
        <v>98</v>
      </c>
      <c r="I302" s="186" t="s">
        <v>99</v>
      </c>
      <c r="J302" s="186" t="s">
        <v>100</v>
      </c>
      <c r="K302" s="186" t="s">
        <v>101</v>
      </c>
      <c r="L302" s="187" t="s">
        <v>102</v>
      </c>
    </row>
    <row r="303" spans="1:13">
      <c r="A303" s="178" t="s">
        <v>183</v>
      </c>
      <c r="B303" s="179">
        <f>'Demande Format Medpro'!B290</f>
        <v>39.905799999999999</v>
      </c>
      <c r="C303" s="179">
        <f>'Demande Format Medpro'!C290</f>
        <v>39.588700000000003</v>
      </c>
      <c r="D303" s="179">
        <f>'Demande Format Medpro'!D290</f>
        <v>39.209800000000001</v>
      </c>
      <c r="E303" s="179">
        <f>'Demande Format Medpro'!E290</f>
        <v>38.1265</v>
      </c>
      <c r="F303" s="179">
        <f>'Demande Format Medpro'!F290</f>
        <v>37.241999999999997</v>
      </c>
      <c r="G303" s="179">
        <f>'Demande Format Medpro'!G290</f>
        <v>37.095799999999997</v>
      </c>
      <c r="H303" s="179">
        <f>'Demande Format Medpro'!H290</f>
        <v>-5.3172210141172504E-4</v>
      </c>
      <c r="I303" s="179">
        <f>'Demande Format Medpro'!I290</f>
        <v>-1.9215531388057101E-3</v>
      </c>
      <c r="J303" s="179">
        <f>'Demande Format Medpro'!J290</f>
        <v>-5.5877575097548196E-3</v>
      </c>
      <c r="K303" s="179">
        <f>'Demande Format Medpro'!K290</f>
        <v>-4.6834824823716002E-3</v>
      </c>
      <c r="L303" s="179">
        <f>'Demande Format Medpro'!L290</f>
        <v>-1.9665071180397E-4</v>
      </c>
    </row>
    <row r="304" spans="1:13">
      <c r="A304" s="178" t="s">
        <v>184</v>
      </c>
      <c r="B304" s="179">
        <f>'Demande Format Medpro'!B291</f>
        <v>1.1697</v>
      </c>
      <c r="C304" s="179">
        <f>'Demande Format Medpro'!C291</f>
        <v>1.0153000000000001</v>
      </c>
      <c r="D304" s="179">
        <f>'Demande Format Medpro'!D291</f>
        <v>1.1104000000000001</v>
      </c>
      <c r="E304" s="179">
        <f>'Demande Format Medpro'!E291</f>
        <v>1.1695</v>
      </c>
      <c r="F304" s="179">
        <f>'Demande Format Medpro'!F291</f>
        <v>1.2481</v>
      </c>
      <c r="G304" s="179">
        <f>'Demande Format Medpro'!G291</f>
        <v>1.6429</v>
      </c>
      <c r="H304" s="179">
        <f>'Demande Format Medpro'!H291</f>
        <v>-9.3931508311854203E-3</v>
      </c>
      <c r="I304" s="179">
        <f>'Demande Format Medpro'!I291</f>
        <v>1.80685309726576E-2</v>
      </c>
      <c r="J304" s="179">
        <f>'Demande Format Medpro'!J291</f>
        <v>1.0425166548489399E-2</v>
      </c>
      <c r="K304" s="179">
        <f>'Demande Format Medpro'!K291</f>
        <v>1.3094205593694E-2</v>
      </c>
      <c r="L304" s="179">
        <f>'Demande Format Medpro'!L291</f>
        <v>1.3836884583680001E-2</v>
      </c>
    </row>
    <row r="305" spans="1:14">
      <c r="A305" s="178" t="s">
        <v>185</v>
      </c>
      <c r="B305" s="179">
        <f>'Demande Format Medpro'!B292</f>
        <v>0.47260000000000002</v>
      </c>
      <c r="C305" s="179">
        <f>'Demande Format Medpro'!C292</f>
        <v>0.46089999999999998</v>
      </c>
      <c r="D305" s="179">
        <f>'Demande Format Medpro'!D292</f>
        <v>0.50560000000000005</v>
      </c>
      <c r="E305" s="179">
        <f>'Demande Format Medpro'!E292</f>
        <v>0.51859999999999995</v>
      </c>
      <c r="F305" s="179">
        <f>'Demande Format Medpro'!F292</f>
        <v>0.53280000000000005</v>
      </c>
      <c r="G305" s="179">
        <f>'Demande Format Medpro'!G292</f>
        <v>0.78859999999999997</v>
      </c>
      <c r="H305" s="179">
        <f>'Demande Format Medpro'!H292</f>
        <v>-1.6698219617935499E-3</v>
      </c>
      <c r="I305" s="179">
        <f>'Demande Format Medpro'!I292</f>
        <v>1.8685375655264701E-2</v>
      </c>
      <c r="J305" s="179">
        <f>'Demande Format Medpro'!J292</f>
        <v>5.0903179241896801E-3</v>
      </c>
      <c r="K305" s="179">
        <f>'Demande Format Medpro'!K292</f>
        <v>5.4172698518257798E-3</v>
      </c>
      <c r="L305" s="179">
        <f>'Demande Format Medpro'!L292</f>
        <v>1.9799108156683499E-2</v>
      </c>
    </row>
    <row r="306" spans="1:14">
      <c r="A306" s="178" t="s">
        <v>186</v>
      </c>
      <c r="B306" s="179">
        <f>'Demande Format Medpro'!B293</f>
        <v>1.7838000000000001</v>
      </c>
      <c r="C306" s="179">
        <f>'Demande Format Medpro'!C293</f>
        <v>1.1121000000000001</v>
      </c>
      <c r="D306" s="179">
        <f>'Demande Format Medpro'!D293</f>
        <v>0.97289999999999999</v>
      </c>
      <c r="E306" s="179">
        <f>'Demande Format Medpro'!E293</f>
        <v>0.98340000000000005</v>
      </c>
      <c r="F306" s="179">
        <f>'Demande Format Medpro'!F293</f>
        <v>1.016</v>
      </c>
      <c r="G306" s="179">
        <f>'Demande Format Medpro'!G293</f>
        <v>1.0871</v>
      </c>
      <c r="H306" s="179">
        <f>'Demande Format Medpro'!H293</f>
        <v>-3.10087722550666E-2</v>
      </c>
      <c r="I306" s="179">
        <f>'Demande Format Medpro'!I293</f>
        <v>-2.63903438455984E-2</v>
      </c>
      <c r="J306" s="179">
        <f>'Demande Format Medpro'!J293</f>
        <v>2.1492369049878101E-3</v>
      </c>
      <c r="K306" s="179">
        <f>'Demande Format Medpro'!K293</f>
        <v>6.5438526851737703E-3</v>
      </c>
      <c r="L306" s="179">
        <f>'Demande Format Medpro'!L293</f>
        <v>3.38773801073589E-3</v>
      </c>
    </row>
    <row r="307" spans="1:14">
      <c r="A307" s="178"/>
      <c r="B307" s="179">
        <f>'Demande Format Medpro'!B294</f>
        <v>0</v>
      </c>
      <c r="C307" s="179">
        <f>'Demande Format Medpro'!C294</f>
        <v>0</v>
      </c>
      <c r="D307" s="179">
        <f>'Demande Format Medpro'!D294</f>
        <v>0</v>
      </c>
      <c r="E307" s="179">
        <f>'Demande Format Medpro'!E294</f>
        <v>0</v>
      </c>
      <c r="F307" s="179">
        <f>'Demande Format Medpro'!F294</f>
        <v>0</v>
      </c>
      <c r="G307" s="179">
        <f>'Demande Format Medpro'!G294</f>
        <v>0</v>
      </c>
      <c r="H307" s="179">
        <f>'Demande Format Medpro'!H294</f>
        <v>0</v>
      </c>
      <c r="I307" s="179">
        <f>'Demande Format Medpro'!I294</f>
        <v>0</v>
      </c>
      <c r="J307" s="179">
        <f>'Demande Format Medpro'!J294</f>
        <v>0</v>
      </c>
      <c r="K307" s="179">
        <f>'Demande Format Medpro'!K294</f>
        <v>0</v>
      </c>
      <c r="L307" s="179">
        <f>'Demande Format Medpro'!L294</f>
        <v>0</v>
      </c>
    </row>
    <row r="308" spans="1:14" ht="15" thickBot="1">
      <c r="A308" s="213" t="s">
        <v>10</v>
      </c>
      <c r="B308" s="198">
        <f>'Demande Format Medpro'!B295</f>
        <v>43.331899999999997</v>
      </c>
      <c r="C308" s="203">
        <f>'Demande Format Medpro'!C295</f>
        <v>42.177</v>
      </c>
      <c r="D308" s="203">
        <f>'Demande Format Medpro'!D295</f>
        <v>41.798699999999997</v>
      </c>
      <c r="E308" s="203">
        <f>'Demande Format Medpro'!E295</f>
        <v>40.798000000000002</v>
      </c>
      <c r="F308" s="203">
        <f>'Demande Format Medpro'!F295</f>
        <v>40.038899999999998</v>
      </c>
      <c r="G308" s="203">
        <f>'Demande Format Medpro'!G295</f>
        <v>40.614400000000003</v>
      </c>
      <c r="H308" s="203">
        <f>'Demande Format Medpro'!H295</f>
        <v>-1.7993149918053E-3</v>
      </c>
      <c r="I308" s="203">
        <f>'Demande Format Medpro'!I295</f>
        <v>-1.80033948060065E-3</v>
      </c>
      <c r="J308" s="203">
        <f>'Demande Format Medpro'!J295</f>
        <v>-4.83471057375173E-3</v>
      </c>
      <c r="K308" s="203">
        <f>'Demande Format Medpro'!K295</f>
        <v>-3.7492696827380301E-3</v>
      </c>
      <c r="L308" s="203">
        <f>'Demande Format Medpro'!L295</f>
        <v>7.1381474379505995E-4</v>
      </c>
    </row>
    <row r="309" spans="1:14">
      <c r="A309" s="183"/>
      <c r="B309" s="237"/>
      <c r="C309" s="170"/>
      <c r="D309" s="170"/>
      <c r="E309" s="170"/>
    </row>
    <row r="310" spans="1:14">
      <c r="A310" s="183"/>
      <c r="B310" s="237"/>
      <c r="C310" s="170"/>
      <c r="D310" s="170"/>
      <c r="E310" s="170"/>
    </row>
    <row r="311" spans="1:14" ht="16" thickBot="1">
      <c r="A311" s="90" t="s">
        <v>187</v>
      </c>
      <c r="B311" s="238"/>
      <c r="C311" s="80"/>
      <c r="D311" s="80"/>
      <c r="E311" s="80"/>
      <c r="F311" s="80"/>
      <c r="G311" s="80"/>
      <c r="H311" s="80"/>
      <c r="I311" s="80"/>
      <c r="J311" s="80"/>
      <c r="K311" s="80"/>
      <c r="L311" s="80"/>
    </row>
    <row r="312" spans="1:14" ht="15" thickBot="1">
      <c r="A312" s="176" t="s">
        <v>51</v>
      </c>
      <c r="B312" s="177">
        <v>2000</v>
      </c>
      <c r="C312" s="177">
        <v>2015</v>
      </c>
      <c r="D312" s="177">
        <v>2020</v>
      </c>
      <c r="E312" s="177">
        <v>2025</v>
      </c>
      <c r="F312" s="177">
        <v>2030</v>
      </c>
      <c r="G312" s="177">
        <v>2050</v>
      </c>
      <c r="H312" s="185" t="s">
        <v>98</v>
      </c>
      <c r="I312" s="186" t="s">
        <v>99</v>
      </c>
      <c r="J312" s="186" t="s">
        <v>100</v>
      </c>
      <c r="K312" s="186" t="s">
        <v>101</v>
      </c>
      <c r="L312" s="187" t="s">
        <v>102</v>
      </c>
    </row>
    <row r="313" spans="1:14">
      <c r="A313" s="229" t="s">
        <v>188</v>
      </c>
      <c r="B313" s="179">
        <f>'Demande Format Medpro'!B300</f>
        <v>24.0273</v>
      </c>
      <c r="C313" s="179">
        <f>'Demande Format Medpro'!C300</f>
        <v>23.461400000000001</v>
      </c>
      <c r="D313" s="179">
        <f>'Demande Format Medpro'!D300</f>
        <v>22.6571</v>
      </c>
      <c r="E313" s="179">
        <f>'Demande Format Medpro'!E300</f>
        <v>21.686900000000001</v>
      </c>
      <c r="F313" s="179">
        <f>'Demande Format Medpro'!F300</f>
        <v>20.764600000000002</v>
      </c>
      <c r="G313" s="179">
        <f>'Demande Format Medpro'!G300</f>
        <v>18.468</v>
      </c>
      <c r="H313" s="179">
        <f>'Demande Format Medpro'!H300</f>
        <v>-1.58768272254539E-3</v>
      </c>
      <c r="I313" s="179">
        <f>'Demande Format Medpro'!I300</f>
        <v>-6.9523694561535202E-3</v>
      </c>
      <c r="J313" s="179">
        <f>'Demande Format Medpro'!J300</f>
        <v>-8.7147796291577907E-3</v>
      </c>
      <c r="K313" s="179">
        <f>'Demande Format Medpro'!K300</f>
        <v>-8.6540914747326204E-3</v>
      </c>
      <c r="L313" s="179">
        <f>'Demande Format Medpro'!L300</f>
        <v>-5.8433661893037003E-3</v>
      </c>
      <c r="N313" s="219"/>
    </row>
    <row r="314" spans="1:14">
      <c r="A314" s="178" t="s">
        <v>177</v>
      </c>
      <c r="B314" s="179">
        <f>'Demande Format Medpro'!B301</f>
        <v>13.3986</v>
      </c>
      <c r="C314" s="179">
        <f>'Demande Format Medpro'!C301</f>
        <v>6.5430999999999999</v>
      </c>
      <c r="D314" s="179">
        <f>'Demande Format Medpro'!D301</f>
        <v>6.0305999999999997</v>
      </c>
      <c r="E314" s="179">
        <f>'Demande Format Medpro'!E301</f>
        <v>5.7404999999999999</v>
      </c>
      <c r="F314" s="179">
        <f>'Demande Format Medpro'!F301</f>
        <v>5.0959000000000003</v>
      </c>
      <c r="G314" s="179">
        <f>'Demande Format Medpro'!G301</f>
        <v>2.8450000000000002</v>
      </c>
      <c r="H314" s="179">
        <f>'Demande Format Medpro'!H301</f>
        <v>-4.6658989573450098E-2</v>
      </c>
      <c r="I314" s="179">
        <f>'Demande Format Medpro'!I301</f>
        <v>-1.6180575247603999E-2</v>
      </c>
      <c r="J314" s="179">
        <f>'Demande Format Medpro'!J301</f>
        <v>-9.8115879359933506E-3</v>
      </c>
      <c r="K314" s="179">
        <f>'Demande Format Medpro'!K301</f>
        <v>-2.3540499767392E-2</v>
      </c>
      <c r="L314" s="179">
        <f>'Demande Format Medpro'!L301</f>
        <v>-2.8723080523118099E-2</v>
      </c>
    </row>
    <row r="315" spans="1:14">
      <c r="A315" s="178" t="s">
        <v>178</v>
      </c>
      <c r="B315" s="179">
        <f>'Demande Format Medpro'!B302</f>
        <v>10.4703</v>
      </c>
      <c r="C315" s="179">
        <f>'Demande Format Medpro'!C302</f>
        <v>16.771000000000001</v>
      </c>
      <c r="D315" s="179">
        <f>'Demande Format Medpro'!D302</f>
        <v>16.402799999999999</v>
      </c>
      <c r="E315" s="179">
        <f>'Demande Format Medpro'!E302</f>
        <v>15.5016</v>
      </c>
      <c r="F315" s="179">
        <f>'Demande Format Medpro'!F302</f>
        <v>14.972300000000001</v>
      </c>
      <c r="G315" s="179">
        <f>'Demande Format Medpro'!G302</f>
        <v>13.1013</v>
      </c>
      <c r="H315" s="179">
        <f>'Demande Format Medpro'!H302</f>
        <v>3.1905646537125701E-2</v>
      </c>
      <c r="I315" s="179">
        <f>'Demande Format Medpro'!I302</f>
        <v>-4.4299889998889999E-3</v>
      </c>
      <c r="J315" s="179">
        <f>'Demande Format Medpro'!J302</f>
        <v>-1.1238136522470001E-2</v>
      </c>
      <c r="K315" s="179">
        <f>'Demande Format Medpro'!K302</f>
        <v>-6.9241999225698701E-3</v>
      </c>
      <c r="L315" s="179">
        <f>'Demande Format Medpro'!L302</f>
        <v>-6.6522931437719103E-3</v>
      </c>
    </row>
    <row r="316" spans="1:14">
      <c r="A316" s="178" t="s">
        <v>180</v>
      </c>
      <c r="B316" s="179">
        <f>'Demande Format Medpro'!B303</f>
        <v>0.15840000000000001</v>
      </c>
      <c r="C316" s="179">
        <f>'Demande Format Medpro'!C303</f>
        <v>0.1298</v>
      </c>
      <c r="D316" s="179">
        <f>'Demande Format Medpro'!D303</f>
        <v>0.13150000000000001</v>
      </c>
      <c r="E316" s="179">
        <f>'Demande Format Medpro'!E303</f>
        <v>0.13489999999999999</v>
      </c>
      <c r="F316" s="179">
        <f>'Demande Format Medpro'!F303</f>
        <v>5.0000000000000001E-4</v>
      </c>
      <c r="G316" s="179">
        <f>'Demande Format Medpro'!G303</f>
        <v>-1E-4</v>
      </c>
      <c r="H316" s="179">
        <f>'Demande Format Medpro'!H303</f>
        <v>-1.31875175724918E-2</v>
      </c>
      <c r="I316" s="179">
        <f>'Demande Format Medpro'!I303</f>
        <v>2.6057986764866899E-3</v>
      </c>
      <c r="J316" s="179">
        <f>'Demande Format Medpro'!J303</f>
        <v>5.1184369903980497E-3</v>
      </c>
      <c r="K316" s="179">
        <f>'Demande Format Medpro'!K303</f>
        <v>-0.67356883803888701</v>
      </c>
      <c r="L316" s="179" t="e">
        <f>'Demande Format Medpro'!L303</f>
        <v>#NUM!</v>
      </c>
    </row>
    <row r="317" spans="1:14">
      <c r="A317" s="178" t="s">
        <v>181</v>
      </c>
      <c r="B317" s="179">
        <f>'Demande Format Medpro'!B304</f>
        <v>0</v>
      </c>
      <c r="C317" s="179">
        <f>'Demande Format Medpro'!C304</f>
        <v>0</v>
      </c>
      <c r="D317" s="179">
        <f>'Demande Format Medpro'!D304</f>
        <v>0</v>
      </c>
      <c r="E317" s="179">
        <f>'Demande Format Medpro'!E304</f>
        <v>0</v>
      </c>
      <c r="F317" s="179">
        <f>'Demande Format Medpro'!F304</f>
        <v>0</v>
      </c>
      <c r="G317" s="179">
        <f>'Demande Format Medpro'!G304</f>
        <v>0</v>
      </c>
      <c r="H317" s="179">
        <f>'Demande Format Medpro'!H304</f>
        <v>0</v>
      </c>
      <c r="I317" s="179">
        <f>'Demande Format Medpro'!I304</f>
        <v>0</v>
      </c>
      <c r="J317" s="179">
        <f>'Demande Format Medpro'!J304</f>
        <v>0</v>
      </c>
      <c r="K317" s="179">
        <f>'Demande Format Medpro'!K304</f>
        <v>0</v>
      </c>
      <c r="L317" s="179">
        <f>'Demande Format Medpro'!L304</f>
        <v>0</v>
      </c>
    </row>
    <row r="318" spans="1:14">
      <c r="A318" s="178" t="s">
        <v>109</v>
      </c>
      <c r="B318" s="179">
        <f>'Demande Format Medpro'!B305</f>
        <v>0</v>
      </c>
      <c r="C318" s="179">
        <f>'Demande Format Medpro'!C305</f>
        <v>0</v>
      </c>
      <c r="D318" s="179">
        <f>'Demande Format Medpro'!D305</f>
        <v>0</v>
      </c>
      <c r="E318" s="179">
        <f>'Demande Format Medpro'!E305</f>
        <v>0</v>
      </c>
      <c r="F318" s="179">
        <f>'Demande Format Medpro'!F305</f>
        <v>0</v>
      </c>
      <c r="G318" s="179">
        <f>'Demande Format Medpro'!G305</f>
        <v>0</v>
      </c>
      <c r="H318" s="179">
        <f>'Demande Format Medpro'!H305</f>
        <v>0</v>
      </c>
      <c r="I318" s="179">
        <f>'Demande Format Medpro'!I305</f>
        <v>0</v>
      </c>
      <c r="J318" s="179">
        <f>'Demande Format Medpro'!J305</f>
        <v>0</v>
      </c>
      <c r="K318" s="179">
        <f>'Demande Format Medpro'!K305</f>
        <v>0</v>
      </c>
      <c r="L318" s="179">
        <f>'Demande Format Medpro'!L305</f>
        <v>0</v>
      </c>
    </row>
    <row r="319" spans="1:14">
      <c r="A319" s="178" t="s">
        <v>104</v>
      </c>
      <c r="B319" s="179">
        <f>'Demande Format Medpro'!B306</f>
        <v>0</v>
      </c>
      <c r="C319" s="179">
        <f>'Demande Format Medpro'!C306</f>
        <v>1.7500000000000002E-2</v>
      </c>
      <c r="D319" s="179">
        <f>'Demande Format Medpro'!D306</f>
        <v>9.2200000000000004E-2</v>
      </c>
      <c r="E319" s="179">
        <f>'Demande Format Medpro'!E306</f>
        <v>0.30990000000000001</v>
      </c>
      <c r="F319" s="179">
        <f>'Demande Format Medpro'!F306</f>
        <v>0.69589999999999996</v>
      </c>
      <c r="G319" s="179">
        <f>'Demande Format Medpro'!G306</f>
        <v>2.5217999999999998</v>
      </c>
      <c r="H319" s="179">
        <f>'Demande Format Medpro'!H306</f>
        <v>0</v>
      </c>
      <c r="I319" s="179">
        <f>'Demande Format Medpro'!I306</f>
        <v>0</v>
      </c>
      <c r="J319" s="179">
        <f>'Demande Format Medpro'!J306</f>
        <v>0</v>
      </c>
      <c r="K319" s="179">
        <f>'Demande Format Medpro'!K306</f>
        <v>0</v>
      </c>
      <c r="L319" s="179">
        <f>'Demande Format Medpro'!L306</f>
        <v>0</v>
      </c>
    </row>
    <row r="320" spans="1:14">
      <c r="A320" s="178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</row>
    <row r="321" spans="1:12">
      <c r="A321" s="229" t="s">
        <v>189</v>
      </c>
      <c r="B321" s="179">
        <f>'Demande Format Medpro'!B308</f>
        <v>14.8622</v>
      </c>
      <c r="C321" s="179">
        <f>'Demande Format Medpro'!C308</f>
        <v>14.641500000000001</v>
      </c>
      <c r="D321" s="179">
        <f>'Demande Format Medpro'!D308</f>
        <v>14.9407</v>
      </c>
      <c r="E321" s="179">
        <f>'Demande Format Medpro'!E308</f>
        <v>14.7842</v>
      </c>
      <c r="F321" s="179">
        <f>'Demande Format Medpro'!F308</f>
        <v>14.770899999999999</v>
      </c>
      <c r="G321" s="179">
        <f>'Demande Format Medpro'!G308</f>
        <v>16.707599999999999</v>
      </c>
      <c r="H321" s="179">
        <f>'Demande Format Medpro'!H308</f>
        <v>-9.9691038652360798E-4</v>
      </c>
      <c r="I321" s="179">
        <f>'Demande Format Medpro'!I308</f>
        <v>4.0540094321539497E-3</v>
      </c>
      <c r="J321" s="179">
        <f>'Demande Format Medpro'!J308</f>
        <v>-2.1037818910039099E-3</v>
      </c>
      <c r="K321" s="179">
        <f>'Demande Format Medpro'!K308</f>
        <v>-1.7998658709983401E-4</v>
      </c>
      <c r="L321" s="179">
        <f>'Demande Format Medpro'!L308</f>
        <v>6.1792470978452299E-3</v>
      </c>
    </row>
    <row r="322" spans="1:12">
      <c r="A322" s="178" t="s">
        <v>177</v>
      </c>
      <c r="B322" s="179">
        <f>'Demande Format Medpro'!B309</f>
        <v>0.2555</v>
      </c>
      <c r="C322" s="179">
        <f>'Demande Format Medpro'!C309</f>
        <v>0.1265</v>
      </c>
      <c r="D322" s="179">
        <f>'Demande Format Medpro'!D309</f>
        <v>0.10440000000000001</v>
      </c>
      <c r="E322" s="179">
        <f>'Demande Format Medpro'!E309</f>
        <v>8.6099999999999996E-2</v>
      </c>
      <c r="F322" s="179">
        <f>'Demande Format Medpro'!F309</f>
        <v>7.0999999999999994E-2</v>
      </c>
      <c r="G322" s="179">
        <f>'Demande Format Medpro'!G309</f>
        <v>2.1299999999999999E-2</v>
      </c>
      <c r="H322" s="179">
        <f>'Demande Format Medpro'!H309</f>
        <v>0</v>
      </c>
      <c r="I322" s="179">
        <f>'Demande Format Medpro'!I309</f>
        <v>0</v>
      </c>
      <c r="J322" s="179">
        <f>'Demande Format Medpro'!J309</f>
        <v>0</v>
      </c>
      <c r="K322" s="179">
        <f>'Demande Format Medpro'!K309</f>
        <v>0</v>
      </c>
      <c r="L322" s="179">
        <f>'Demande Format Medpro'!L309</f>
        <v>0</v>
      </c>
    </row>
    <row r="323" spans="1:12">
      <c r="A323" s="178" t="s">
        <v>178</v>
      </c>
      <c r="B323" s="179">
        <f>'Demande Format Medpro'!B310</f>
        <v>14.5566</v>
      </c>
      <c r="C323" s="179">
        <f>'Demande Format Medpro'!C310</f>
        <v>14.4419</v>
      </c>
      <c r="D323" s="179">
        <f>'Demande Format Medpro'!D310</f>
        <v>14.760999999999999</v>
      </c>
      <c r="E323" s="179">
        <f>'Demande Format Medpro'!E310</f>
        <v>14.6226</v>
      </c>
      <c r="F323" s="179">
        <f>'Demande Format Medpro'!F310</f>
        <v>14.6234</v>
      </c>
      <c r="G323" s="179">
        <f>'Demande Format Medpro'!G310</f>
        <v>16.6005</v>
      </c>
      <c r="H323" s="179">
        <f>'Demande Format Medpro'!H310</f>
        <v>-5.2724730689668298E-4</v>
      </c>
      <c r="I323" s="179">
        <f>'Demande Format Medpro'!I310</f>
        <v>4.3805393945668403E-3</v>
      </c>
      <c r="J323" s="179">
        <f>'Demande Format Medpro'!J310</f>
        <v>-1.88228437012594E-3</v>
      </c>
      <c r="K323" s="179">
        <f>'Demande Format Medpro'!K310</f>
        <v>1.09417270994783E-5</v>
      </c>
      <c r="L323" s="179">
        <f>'Demande Format Medpro'!L310</f>
        <v>6.3606349652314299E-3</v>
      </c>
    </row>
    <row r="324" spans="1:12">
      <c r="A324" s="178" t="s">
        <v>180</v>
      </c>
      <c r="B324" s="179">
        <f>'Demande Format Medpro'!B311</f>
        <v>5.0099999999999999E-2</v>
      </c>
      <c r="C324" s="179">
        <f>'Demande Format Medpro'!C311</f>
        <v>2.4799999999999999E-2</v>
      </c>
      <c r="D324" s="179">
        <f>'Demande Format Medpro'!D311</f>
        <v>2.0500000000000001E-2</v>
      </c>
      <c r="E324" s="179">
        <f>'Demande Format Medpro'!E311</f>
        <v>1.6899999999999998E-2</v>
      </c>
      <c r="F324" s="179">
        <f>'Demande Format Medpro'!F311</f>
        <v>1.3899999999999999E-2</v>
      </c>
      <c r="G324" s="179">
        <f>'Demande Format Medpro'!G311</f>
        <v>4.1999999999999997E-3</v>
      </c>
      <c r="H324" s="179">
        <f>'Demande Format Medpro'!H311</f>
        <v>0</v>
      </c>
      <c r="I324" s="179">
        <f>'Demande Format Medpro'!I311</f>
        <v>0</v>
      </c>
      <c r="J324" s="179">
        <f>'Demande Format Medpro'!J311</f>
        <v>0</v>
      </c>
      <c r="K324" s="179">
        <f>'Demande Format Medpro'!K311</f>
        <v>0</v>
      </c>
      <c r="L324" s="179">
        <f>'Demande Format Medpro'!L311</f>
        <v>0</v>
      </c>
    </row>
    <row r="325" spans="1:12">
      <c r="A325" s="178" t="s">
        <v>181</v>
      </c>
      <c r="B325" s="179">
        <f>'Demande Format Medpro'!B312</f>
        <v>0</v>
      </c>
      <c r="C325" s="179">
        <f>'Demande Format Medpro'!C312</f>
        <v>4.8300000000000003E-2</v>
      </c>
      <c r="D325" s="179">
        <f>'Demande Format Medpro'!D312</f>
        <v>5.4800000000000001E-2</v>
      </c>
      <c r="E325" s="179">
        <f>'Demande Format Medpro'!E312</f>
        <v>5.8599999999999999E-2</v>
      </c>
      <c r="F325" s="179">
        <f>'Demande Format Medpro'!F312</f>
        <v>6.2600000000000003E-2</v>
      </c>
      <c r="G325" s="179">
        <f>'Demande Format Medpro'!G312</f>
        <v>8.1600000000000006E-2</v>
      </c>
      <c r="H325" s="179">
        <f>'Demande Format Medpro'!H312</f>
        <v>0</v>
      </c>
      <c r="I325" s="179">
        <f>'Demande Format Medpro'!I312</f>
        <v>0</v>
      </c>
      <c r="J325" s="179">
        <f>'Demande Format Medpro'!J312</f>
        <v>0</v>
      </c>
      <c r="K325" s="179">
        <f>'Demande Format Medpro'!K312</f>
        <v>0</v>
      </c>
      <c r="L325" s="179">
        <f>'Demande Format Medpro'!L312</f>
        <v>0</v>
      </c>
    </row>
    <row r="326" spans="1:12">
      <c r="A326" s="178" t="s">
        <v>109</v>
      </c>
      <c r="B326" s="179">
        <f>'Demande Format Medpro'!B313</f>
        <v>0</v>
      </c>
      <c r="C326" s="179">
        <f>'Demande Format Medpro'!C313</f>
        <v>0</v>
      </c>
      <c r="D326" s="179">
        <f>'Demande Format Medpro'!D313</f>
        <v>0</v>
      </c>
      <c r="E326" s="179">
        <f>'Demande Format Medpro'!E313</f>
        <v>0</v>
      </c>
      <c r="F326" s="179">
        <f>'Demande Format Medpro'!F313</f>
        <v>0</v>
      </c>
      <c r="G326" s="179">
        <f>'Demande Format Medpro'!G313</f>
        <v>0</v>
      </c>
      <c r="H326" s="179">
        <f>'Demande Format Medpro'!H313</f>
        <v>0</v>
      </c>
      <c r="I326" s="179">
        <f>'Demande Format Medpro'!I313</f>
        <v>0</v>
      </c>
      <c r="J326" s="179">
        <f>'Demande Format Medpro'!J313</f>
        <v>0</v>
      </c>
      <c r="K326" s="179">
        <f>'Demande Format Medpro'!K313</f>
        <v>0</v>
      </c>
      <c r="L326" s="179">
        <f>'Demande Format Medpro'!L313</f>
        <v>0</v>
      </c>
    </row>
    <row r="327" spans="1:12">
      <c r="A327" s="178" t="s">
        <v>104</v>
      </c>
      <c r="B327" s="179">
        <f>'Demande Format Medpro'!B314</f>
        <v>0</v>
      </c>
      <c r="C327" s="179">
        <f>'Demande Format Medpro'!C314</f>
        <v>0</v>
      </c>
      <c r="D327" s="179">
        <f>'Demande Format Medpro'!D314</f>
        <v>0</v>
      </c>
      <c r="E327" s="179">
        <f>'Demande Format Medpro'!E314</f>
        <v>0</v>
      </c>
      <c r="F327" s="179">
        <f>'Demande Format Medpro'!F314</f>
        <v>0</v>
      </c>
      <c r="G327" s="179">
        <f>'Demande Format Medpro'!G314</f>
        <v>0</v>
      </c>
      <c r="H327" s="179">
        <f>'Demande Format Medpro'!H314</f>
        <v>0</v>
      </c>
      <c r="I327" s="179">
        <f>'Demande Format Medpro'!I314</f>
        <v>0</v>
      </c>
      <c r="J327" s="179">
        <f>'Demande Format Medpro'!J314</f>
        <v>0</v>
      </c>
      <c r="K327" s="179">
        <f>'Demande Format Medpro'!K314</f>
        <v>0</v>
      </c>
      <c r="L327" s="179">
        <f>'Demande Format Medpro'!L314</f>
        <v>0</v>
      </c>
    </row>
    <row r="328" spans="1:12">
      <c r="A328" s="178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</row>
    <row r="329" spans="1:12">
      <c r="A329" s="229" t="s">
        <v>190</v>
      </c>
      <c r="B329" s="179">
        <f>'Demande Format Medpro'!B316</f>
        <v>0.67330000000000001</v>
      </c>
      <c r="C329" s="179">
        <f>'Demande Format Medpro'!C316</f>
        <v>0.92049999999999998</v>
      </c>
      <c r="D329" s="179">
        <f>'Demande Format Medpro'!D316</f>
        <v>1.0375000000000001</v>
      </c>
      <c r="E329" s="179">
        <f>'Demande Format Medpro'!E316</f>
        <v>1.0688</v>
      </c>
      <c r="F329" s="179">
        <f>'Demande Format Medpro'!F316</f>
        <v>1.1034999999999999</v>
      </c>
      <c r="G329" s="179">
        <f>'Demande Format Medpro'!G316</f>
        <v>1.2153</v>
      </c>
      <c r="H329" s="179">
        <f>'Demande Format Medpro'!H316</f>
        <v>2.1067246457709299E-2</v>
      </c>
      <c r="I329" s="179">
        <f>'Demande Format Medpro'!I316</f>
        <v>2.4219081269583699E-2</v>
      </c>
      <c r="J329" s="179">
        <f>'Demande Format Medpro'!J316</f>
        <v>5.9622137983643703E-3</v>
      </c>
      <c r="K329" s="179">
        <f>'Demande Format Medpro'!K316</f>
        <v>6.4105447308451203E-3</v>
      </c>
      <c r="L329" s="179">
        <f>'Demande Format Medpro'!L316</f>
        <v>4.8368606861448598E-3</v>
      </c>
    </row>
    <row r="330" spans="1:12">
      <c r="A330" s="178" t="s">
        <v>177</v>
      </c>
      <c r="B330" s="179">
        <f>'Demande Format Medpro'!B317</f>
        <v>0</v>
      </c>
      <c r="C330" s="179">
        <f>'Demande Format Medpro'!C317</f>
        <v>0</v>
      </c>
      <c r="D330" s="179">
        <f>'Demande Format Medpro'!D317</f>
        <v>0</v>
      </c>
      <c r="E330" s="179">
        <f>'Demande Format Medpro'!E317</f>
        <v>0</v>
      </c>
      <c r="F330" s="179">
        <f>'Demande Format Medpro'!F317</f>
        <v>0</v>
      </c>
      <c r="G330" s="179">
        <f>'Demande Format Medpro'!G317</f>
        <v>0</v>
      </c>
      <c r="H330" s="179">
        <f>'Demande Format Medpro'!H317</f>
        <v>0</v>
      </c>
      <c r="I330" s="179">
        <f>'Demande Format Medpro'!I317</f>
        <v>0</v>
      </c>
      <c r="J330" s="179">
        <f>'Demande Format Medpro'!J317</f>
        <v>0</v>
      </c>
      <c r="K330" s="179">
        <f>'Demande Format Medpro'!K317</f>
        <v>0</v>
      </c>
      <c r="L330" s="179">
        <f>'Demande Format Medpro'!L317</f>
        <v>0</v>
      </c>
    </row>
    <row r="331" spans="1:12">
      <c r="A331" s="178" t="s">
        <v>178</v>
      </c>
      <c r="B331" s="179">
        <f>'Demande Format Medpro'!B318</f>
        <v>0.67330000000000001</v>
      </c>
      <c r="C331" s="179">
        <f>'Demande Format Medpro'!C318</f>
        <v>0.89359999999999995</v>
      </c>
      <c r="D331" s="179">
        <f>'Demande Format Medpro'!D318</f>
        <v>1.0059</v>
      </c>
      <c r="E331" s="179">
        <f>'Demande Format Medpro'!E318</f>
        <v>1.0355000000000001</v>
      </c>
      <c r="F331" s="179">
        <f>'Demande Format Medpro'!F318</f>
        <v>1.0686</v>
      </c>
      <c r="G331" s="179">
        <f>'Demande Format Medpro'!G318</f>
        <v>1.1754</v>
      </c>
      <c r="H331" s="179">
        <f>'Demande Format Medpro'!H318</f>
        <v>1.90503356717273E-2</v>
      </c>
      <c r="I331" s="179">
        <f>'Demande Format Medpro'!I318</f>
        <v>2.3958438997417501E-2</v>
      </c>
      <c r="J331" s="179">
        <f>'Demande Format Medpro'!J318</f>
        <v>5.8172023277505199E-3</v>
      </c>
      <c r="K331" s="179">
        <f>'Demande Format Medpro'!K318</f>
        <v>6.3128382363661899E-3</v>
      </c>
      <c r="L331" s="179">
        <f>'Demande Format Medpro'!L318</f>
        <v>4.7743176411731997E-3</v>
      </c>
    </row>
    <row r="332" spans="1:12">
      <c r="A332" s="178" t="s">
        <v>180</v>
      </c>
      <c r="B332" s="179">
        <f>'Demande Format Medpro'!B319</f>
        <v>0</v>
      </c>
      <c r="C332" s="179">
        <f>'Demande Format Medpro'!C319</f>
        <v>0</v>
      </c>
      <c r="D332" s="179">
        <f>'Demande Format Medpro'!D319</f>
        <v>0</v>
      </c>
      <c r="E332" s="179">
        <f>'Demande Format Medpro'!E319</f>
        <v>0</v>
      </c>
      <c r="F332" s="179">
        <f>'Demande Format Medpro'!F319</f>
        <v>0</v>
      </c>
      <c r="G332" s="179">
        <f>'Demande Format Medpro'!G319</f>
        <v>0</v>
      </c>
      <c r="H332" s="179">
        <f>'Demande Format Medpro'!H319</f>
        <v>0</v>
      </c>
      <c r="I332" s="179">
        <f>'Demande Format Medpro'!I319</f>
        <v>0</v>
      </c>
      <c r="J332" s="179">
        <f>'Demande Format Medpro'!J319</f>
        <v>0</v>
      </c>
      <c r="K332" s="179">
        <f>'Demande Format Medpro'!K319</f>
        <v>0</v>
      </c>
      <c r="L332" s="179">
        <f>'Demande Format Medpro'!L319</f>
        <v>0</v>
      </c>
    </row>
    <row r="333" spans="1:12">
      <c r="A333" s="178" t="s">
        <v>181</v>
      </c>
      <c r="B333" s="179">
        <f>'Demande Format Medpro'!B320</f>
        <v>0</v>
      </c>
      <c r="C333" s="179">
        <f>'Demande Format Medpro'!C320</f>
        <v>2.69E-2</v>
      </c>
      <c r="D333" s="179">
        <f>'Demande Format Medpro'!D320</f>
        <v>3.1600000000000003E-2</v>
      </c>
      <c r="E333" s="179">
        <f>'Demande Format Medpro'!E320</f>
        <v>3.3300000000000003E-2</v>
      </c>
      <c r="F333" s="179">
        <f>'Demande Format Medpro'!F320</f>
        <v>3.49E-2</v>
      </c>
      <c r="G333" s="179">
        <f>'Demande Format Medpro'!G320</f>
        <v>3.9899999999999998E-2</v>
      </c>
      <c r="H333" s="179">
        <f>'Demande Format Medpro'!H320</f>
        <v>0</v>
      </c>
      <c r="I333" s="179">
        <f>'Demande Format Medpro'!I320</f>
        <v>3.2730398077005098E-2</v>
      </c>
      <c r="J333" s="179">
        <f>'Demande Format Medpro'!J320</f>
        <v>1.05351634018422E-2</v>
      </c>
      <c r="K333" s="179">
        <f>'Demande Format Medpro'!K320</f>
        <v>9.4300720086064604E-3</v>
      </c>
      <c r="L333" s="179">
        <f>'Demande Format Medpro'!L320</f>
        <v>6.7169328174092602E-3</v>
      </c>
    </row>
    <row r="334" spans="1:12">
      <c r="A334" s="178" t="s">
        <v>109</v>
      </c>
      <c r="B334" s="179">
        <f>'Demande Format Medpro'!B321</f>
        <v>0</v>
      </c>
      <c r="C334" s="179">
        <f>'Demande Format Medpro'!C321</f>
        <v>0</v>
      </c>
      <c r="D334" s="179">
        <f>'Demande Format Medpro'!D321</f>
        <v>0</v>
      </c>
      <c r="E334" s="179">
        <f>'Demande Format Medpro'!E321</f>
        <v>0</v>
      </c>
      <c r="F334" s="179">
        <f>'Demande Format Medpro'!F321</f>
        <v>0</v>
      </c>
      <c r="G334" s="179">
        <f>'Demande Format Medpro'!G321</f>
        <v>0</v>
      </c>
      <c r="H334" s="179">
        <f>'Demande Format Medpro'!H321</f>
        <v>0</v>
      </c>
      <c r="I334" s="179">
        <f>'Demande Format Medpro'!I321</f>
        <v>0</v>
      </c>
      <c r="J334" s="179">
        <f>'Demande Format Medpro'!J321</f>
        <v>0</v>
      </c>
      <c r="K334" s="179">
        <f>'Demande Format Medpro'!K321</f>
        <v>0</v>
      </c>
      <c r="L334" s="179">
        <f>'Demande Format Medpro'!L321</f>
        <v>0</v>
      </c>
    </row>
    <row r="335" spans="1:12">
      <c r="A335" s="178" t="s">
        <v>104</v>
      </c>
      <c r="B335" s="179">
        <f>'Demande Format Medpro'!B322</f>
        <v>0</v>
      </c>
      <c r="C335" s="179">
        <f>'Demande Format Medpro'!C322</f>
        <v>0</v>
      </c>
      <c r="D335" s="179">
        <f>'Demande Format Medpro'!D322</f>
        <v>0</v>
      </c>
      <c r="E335" s="179">
        <f>'Demande Format Medpro'!E322</f>
        <v>0</v>
      </c>
      <c r="F335" s="179">
        <f>'Demande Format Medpro'!F322</f>
        <v>0</v>
      </c>
      <c r="G335" s="179">
        <f>'Demande Format Medpro'!G322</f>
        <v>0</v>
      </c>
      <c r="H335" s="179">
        <f>'Demande Format Medpro'!H322</f>
        <v>0</v>
      </c>
      <c r="I335" s="179">
        <f>'Demande Format Medpro'!I322</f>
        <v>0</v>
      </c>
      <c r="J335" s="179">
        <f>'Demande Format Medpro'!J322</f>
        <v>0</v>
      </c>
      <c r="K335" s="179">
        <f>'Demande Format Medpro'!K322</f>
        <v>0</v>
      </c>
      <c r="L335" s="179">
        <f>'Demande Format Medpro'!L322</f>
        <v>0</v>
      </c>
    </row>
    <row r="336" spans="1:12">
      <c r="A336" s="178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</row>
    <row r="337" spans="1:12">
      <c r="A337" s="229" t="s">
        <v>191</v>
      </c>
      <c r="B337" s="222">
        <f>'Demande Format Medpro'!B324</f>
        <v>0.34300000000000003</v>
      </c>
      <c r="C337" s="222">
        <f>'Demande Format Medpro'!C324</f>
        <v>0.56530000000000102</v>
      </c>
      <c r="D337" s="222">
        <f>'Demande Format Medpro'!D324</f>
        <v>0.57449999999999701</v>
      </c>
      <c r="E337" s="222">
        <f>'Demande Format Medpro'!E324</f>
        <v>0.586600000000008</v>
      </c>
      <c r="F337" s="222">
        <f>'Demande Format Medpro'!F324</f>
        <v>0.60300000000000198</v>
      </c>
      <c r="G337" s="222">
        <f>'Demande Format Medpro'!G324</f>
        <v>0.70489999999998798</v>
      </c>
      <c r="H337" s="222">
        <f>'Demande Format Medpro'!H324</f>
        <v>3.3869343414219398E-2</v>
      </c>
      <c r="I337" s="222">
        <f>'Demande Format Medpro'!I324</f>
        <v>3.2339246092236702E-3</v>
      </c>
      <c r="J337" s="222">
        <f>'Demande Format Medpro'!J324</f>
        <v>4.1773125991064796E-3</v>
      </c>
      <c r="K337" s="222">
        <f>'Demande Format Medpro'!K324</f>
        <v>5.5300425829301102E-3</v>
      </c>
      <c r="L337" s="222">
        <f>'Demande Format Medpro'!L324</f>
        <v>7.83749119824728E-3</v>
      </c>
    </row>
    <row r="338" spans="1:12">
      <c r="A338" s="178" t="s">
        <v>192</v>
      </c>
      <c r="B338" s="222">
        <v>0.342999993</v>
      </c>
      <c r="C338" s="222">
        <v>0.56526773749949999</v>
      </c>
      <c r="D338" s="222">
        <v>0.48451520357100597</v>
      </c>
      <c r="E338" s="222">
        <v>0.40376266964250501</v>
      </c>
      <c r="F338" s="222">
        <v>0.323010135714004</v>
      </c>
      <c r="G338" s="222">
        <v>0</v>
      </c>
      <c r="H338" s="195"/>
      <c r="I338" s="196"/>
      <c r="J338" s="196"/>
      <c r="K338" s="196"/>
      <c r="L338" s="197"/>
    </row>
    <row r="339" spans="1:12">
      <c r="A339" s="178" t="s">
        <v>104</v>
      </c>
      <c r="B339" s="222">
        <v>0</v>
      </c>
      <c r="C339" s="222">
        <v>0</v>
      </c>
      <c r="D339" s="222">
        <v>4.1259554716964186E-2</v>
      </c>
      <c r="E339" s="222">
        <v>8.2519109433928262E-2</v>
      </c>
      <c r="F339" s="222">
        <v>0.12377866415089239</v>
      </c>
      <c r="G339" s="222">
        <v>0.28881688301874892</v>
      </c>
      <c r="H339" s="195"/>
      <c r="I339" s="196"/>
      <c r="J339" s="196"/>
      <c r="K339" s="196"/>
      <c r="L339" s="197"/>
    </row>
    <row r="340" spans="1:12">
      <c r="A340" s="178"/>
      <c r="B340" s="179"/>
      <c r="C340" s="179"/>
      <c r="D340" s="179"/>
      <c r="E340" s="179"/>
      <c r="F340" s="179"/>
      <c r="G340" s="215"/>
      <c r="H340" s="195"/>
      <c r="I340" s="196"/>
      <c r="J340" s="196"/>
      <c r="K340" s="196"/>
      <c r="L340" s="197"/>
    </row>
    <row r="341" spans="1:12" ht="15" thickBot="1">
      <c r="A341" s="213" t="s">
        <v>193</v>
      </c>
      <c r="B341" s="203">
        <f>'Demande Format Medpro'!B326</f>
        <v>39.905799999999999</v>
      </c>
      <c r="C341" s="203">
        <f>'Demande Format Medpro'!C326</f>
        <v>39.588700000000003</v>
      </c>
      <c r="D341" s="203">
        <f>'Demande Format Medpro'!D326</f>
        <v>39.209800000000001</v>
      </c>
      <c r="E341" s="203">
        <f>'Demande Format Medpro'!E326</f>
        <v>38.1265</v>
      </c>
      <c r="F341" s="203">
        <f>'Demande Format Medpro'!F326</f>
        <v>37.241999999999997</v>
      </c>
      <c r="G341" s="203">
        <f>'Demande Format Medpro'!G326</f>
        <v>37.095799999999997</v>
      </c>
      <c r="H341" s="203">
        <f>'Demande Format Medpro'!H326</f>
        <v>-5.3172210141172504E-4</v>
      </c>
      <c r="I341" s="203">
        <f>'Demande Format Medpro'!I326</f>
        <v>-1.9215531388057101E-3</v>
      </c>
      <c r="J341" s="203">
        <f>'Demande Format Medpro'!J326</f>
        <v>-5.5877575097548196E-3</v>
      </c>
      <c r="K341" s="203">
        <f>'Demande Format Medpro'!K326</f>
        <v>-4.6834824823716002E-3</v>
      </c>
      <c r="L341" s="203">
        <f>'Demande Format Medpro'!L326</f>
        <v>-1.9665071180397E-4</v>
      </c>
    </row>
    <row r="342" spans="1:12">
      <c r="A342" s="183"/>
      <c r="B342" s="237"/>
      <c r="C342" s="170"/>
      <c r="D342" s="170"/>
      <c r="E342" s="170"/>
    </row>
    <row r="343" spans="1:12">
      <c r="A343" s="239"/>
      <c r="B343" s="237"/>
      <c r="C343" s="170"/>
      <c r="D343" s="170"/>
      <c r="E343" s="170"/>
    </row>
    <row r="344" spans="1:12" ht="16" thickBot="1">
      <c r="A344" s="90" t="s">
        <v>194</v>
      </c>
      <c r="B344" s="238"/>
      <c r="C344" s="80"/>
      <c r="D344" s="80"/>
      <c r="E344" s="80"/>
      <c r="F344" s="80"/>
      <c r="G344" s="80"/>
      <c r="H344" s="80"/>
      <c r="I344" s="80"/>
      <c r="J344" s="80"/>
      <c r="K344" s="80"/>
      <c r="L344" s="80"/>
    </row>
    <row r="345" spans="1:12" ht="15" thickBot="1">
      <c r="A345" s="176"/>
      <c r="B345" s="569">
        <v>2000</v>
      </c>
      <c r="C345" s="569">
        <v>2015</v>
      </c>
      <c r="D345" s="177">
        <v>2020</v>
      </c>
      <c r="E345" s="177">
        <v>2025</v>
      </c>
      <c r="F345" s="177">
        <v>2030</v>
      </c>
      <c r="G345" s="177">
        <v>2050</v>
      </c>
      <c r="H345" s="185" t="s">
        <v>98</v>
      </c>
      <c r="I345" s="186" t="s">
        <v>99</v>
      </c>
      <c r="J345" s="186" t="s">
        <v>100</v>
      </c>
      <c r="K345" s="186" t="s">
        <v>101</v>
      </c>
      <c r="L345" s="187" t="s">
        <v>102</v>
      </c>
    </row>
    <row r="346" spans="1:12">
      <c r="A346" s="596" t="s">
        <v>195</v>
      </c>
      <c r="B346" s="599">
        <f>'Demande Format Medpro'!B331</f>
        <v>29.760999999999999</v>
      </c>
      <c r="C346" s="598">
        <f>'Demande Format Medpro'!C331</f>
        <v>34.182400000000001</v>
      </c>
      <c r="D346" s="599">
        <f>'Demande Format Medpro'!D331</f>
        <v>34.690399999999997</v>
      </c>
      <c r="E346" s="598">
        <f>'Demande Format Medpro'!E331</f>
        <v>35.603400000000001</v>
      </c>
      <c r="F346" s="599">
        <f>'Demande Format Medpro'!F331</f>
        <v>36.435899999999997</v>
      </c>
      <c r="G346" s="598">
        <f>'Demande Format Medpro'!G331</f>
        <v>41.278700000000001</v>
      </c>
      <c r="H346" s="599">
        <f>'Demande Format Medpro'!H331</f>
        <v>9.2769048716843105E-3</v>
      </c>
      <c r="I346" s="598">
        <f>'Demande Format Medpro'!I331</f>
        <v>2.9547767512230201E-3</v>
      </c>
      <c r="J346" s="599">
        <f>'Demande Format Medpro'!J331</f>
        <v>5.2091501487479003E-3</v>
      </c>
      <c r="K346" s="598">
        <f>'Demande Format Medpro'!K331</f>
        <v>4.6333837654495297E-3</v>
      </c>
      <c r="L346" s="599">
        <f>'Demande Format Medpro'!L331</f>
        <v>6.2591106828908697E-3</v>
      </c>
    </row>
    <row r="347" spans="1:12" ht="15" thickBot="1">
      <c r="A347" s="571" t="s">
        <v>196</v>
      </c>
      <c r="B347" s="600">
        <f>'Demande Format Medpro'!B332</f>
        <v>2.4457795079418001E-2</v>
      </c>
      <c r="C347" s="597">
        <f>'Demande Format Medpro'!C332</f>
        <v>2.01432401822897E-2</v>
      </c>
      <c r="D347" s="600">
        <f>'Demande Format Medpro'!D332</f>
        <v>1.84394466794023E-2</v>
      </c>
      <c r="E347" s="597">
        <f>'Demande Format Medpro'!E332</f>
        <v>1.68723959199223E-2</v>
      </c>
      <c r="F347" s="600">
        <f>'Demande Format Medpro'!F332</f>
        <v>1.54465057840343E-2</v>
      </c>
      <c r="G347" s="597">
        <f>'Demande Format Medpro'!G332</f>
        <v>1.11843074702006E-2</v>
      </c>
      <c r="H347" s="600">
        <f>'Demande Format Medpro'!H332</f>
        <v>-1.28553367686193E-2</v>
      </c>
      <c r="I347" s="597">
        <f>'Demande Format Medpro'!I332</f>
        <v>-1.7520017241700801E-2</v>
      </c>
      <c r="J347" s="600">
        <f>'Demande Format Medpro'!J332</f>
        <v>-1.7605834298643801E-2</v>
      </c>
      <c r="K347" s="597">
        <f>'Demande Format Medpro'!K332</f>
        <v>-1.75042086046443E-2</v>
      </c>
      <c r="L347" s="600">
        <f>'Demande Format Medpro'!L332</f>
        <v>-1.6013948063625699E-2</v>
      </c>
    </row>
    <row r="348" spans="1:12">
      <c r="A348" s="211"/>
      <c r="B348" s="237"/>
      <c r="C348" s="170"/>
      <c r="D348" s="170"/>
      <c r="E348" s="170"/>
    </row>
    <row r="349" spans="1:12" ht="15.5">
      <c r="A349" s="241"/>
    </row>
    <row r="350" spans="1:12" ht="21">
      <c r="A350" s="78" t="s">
        <v>197</v>
      </c>
      <c r="B350" s="73"/>
      <c r="C350" s="73"/>
      <c r="D350" s="73"/>
      <c r="E350" s="73"/>
      <c r="F350" s="73"/>
      <c r="G350" s="212"/>
      <c r="H350" s="212"/>
      <c r="I350" s="212"/>
      <c r="J350" s="212"/>
      <c r="K350" s="212"/>
      <c r="L350" s="212"/>
    </row>
    <row r="351" spans="1:12">
      <c r="F351" s="169"/>
    </row>
    <row r="352" spans="1:12" ht="16" thickBot="1">
      <c r="A352" s="90" t="s">
        <v>198</v>
      </c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</row>
    <row r="353" spans="1:12" ht="15" thickBot="1">
      <c r="A353" s="209" t="s">
        <v>51</v>
      </c>
      <c r="B353" s="177">
        <v>2000</v>
      </c>
      <c r="C353" s="177">
        <v>2015</v>
      </c>
      <c r="D353" s="177">
        <v>2020</v>
      </c>
      <c r="E353" s="177">
        <v>2025</v>
      </c>
      <c r="F353" s="177">
        <v>2030</v>
      </c>
      <c r="G353" s="177">
        <v>2050</v>
      </c>
      <c r="H353" s="185" t="s">
        <v>98</v>
      </c>
      <c r="I353" s="186" t="s">
        <v>99</v>
      </c>
      <c r="J353" s="186" t="s">
        <v>100</v>
      </c>
      <c r="K353" s="186" t="s">
        <v>101</v>
      </c>
      <c r="L353" s="187" t="s">
        <v>102</v>
      </c>
    </row>
    <row r="354" spans="1:12">
      <c r="A354" s="178" t="s">
        <v>103</v>
      </c>
      <c r="B354" s="193">
        <f>'Demande Format Medpro'!B339</f>
        <v>3.48</v>
      </c>
      <c r="C354" s="193">
        <f>'Demande Format Medpro'!C339</f>
        <v>3.32</v>
      </c>
      <c r="D354" s="193">
        <f>'Demande Format Medpro'!D339</f>
        <v>3.2403790892055202</v>
      </c>
      <c r="E354" s="193">
        <f>'Demande Format Medpro'!E339</f>
        <v>3.1480557957396398</v>
      </c>
      <c r="F354" s="193">
        <f>'Demande Format Medpro'!F339</f>
        <v>3.0575434296915498</v>
      </c>
      <c r="G354" s="193">
        <f>'Demande Format Medpro'!G339</f>
        <v>2.7373456688112698</v>
      </c>
      <c r="H354" s="193">
        <f>'Demande Format Medpro'!H339</f>
        <v>-3.1329162010640399E-3</v>
      </c>
      <c r="I354" s="193">
        <f>'Demande Format Medpro'!I339</f>
        <v>-4.8431254885559199E-3</v>
      </c>
      <c r="J354" s="193">
        <f>'Demande Format Medpro'!J339</f>
        <v>-5.7643761037503597E-3</v>
      </c>
      <c r="K354" s="193">
        <f>'Demande Format Medpro'!K339</f>
        <v>-5.8176638310959402E-3</v>
      </c>
      <c r="L354" s="193">
        <f>'Demande Format Medpro'!L339</f>
        <v>-5.5158851293937196E-3</v>
      </c>
    </row>
    <row r="355" spans="1:12">
      <c r="A355" s="178" t="s">
        <v>54</v>
      </c>
      <c r="B355" s="193">
        <f>'Demande Format Medpro'!B340</f>
        <v>0.29509000000000002</v>
      </c>
      <c r="C355" s="193">
        <f>'Demande Format Medpro'!C340</f>
        <v>0.28999999999999998</v>
      </c>
      <c r="D355" s="193">
        <f>'Demande Format Medpro'!D340</f>
        <v>0.28932774170376402</v>
      </c>
      <c r="E355" s="193">
        <f>'Demande Format Medpro'!E340</f>
        <v>0.28766042012747101</v>
      </c>
      <c r="F355" s="193">
        <f>'Demande Format Medpro'!F340</f>
        <v>0.28593442316422701</v>
      </c>
      <c r="G355" s="193">
        <f>'Demande Format Medpro'!G340</f>
        <v>0.27632213168832598</v>
      </c>
      <c r="H355" s="193">
        <f>'Demande Format Medpro'!H340</f>
        <v>-1.1592922726594301E-3</v>
      </c>
      <c r="I355" s="193">
        <f>'Demande Format Medpro'!I340</f>
        <v>-4.6405690900497298E-4</v>
      </c>
      <c r="J355" s="193">
        <f>'Demande Format Medpro'!J340</f>
        <v>-1.15521466960655E-3</v>
      </c>
      <c r="K355" s="193">
        <f>'Demande Format Medpro'!K340</f>
        <v>-1.20291447393783E-3</v>
      </c>
      <c r="L355" s="193">
        <f>'Demande Format Medpro'!L340</f>
        <v>-1.7082974939792699E-3</v>
      </c>
    </row>
    <row r="356" spans="1:12">
      <c r="A356" s="178" t="s">
        <v>42</v>
      </c>
      <c r="B356" s="193">
        <f>'Demande Format Medpro'!B341</f>
        <v>0</v>
      </c>
      <c r="C356" s="193">
        <f>'Demande Format Medpro'!C341</f>
        <v>0</v>
      </c>
      <c r="D356" s="193">
        <f>'Demande Format Medpro'!D341</f>
        <v>0</v>
      </c>
      <c r="E356" s="193">
        <f>'Demande Format Medpro'!E341</f>
        <v>0</v>
      </c>
      <c r="F356" s="193">
        <f>'Demande Format Medpro'!F341</f>
        <v>0</v>
      </c>
      <c r="G356" s="193">
        <f>'Demande Format Medpro'!G341</f>
        <v>0</v>
      </c>
      <c r="H356" s="193">
        <f>'Demande Format Medpro'!H341</f>
        <v>0</v>
      </c>
      <c r="I356" s="193">
        <f>'Demande Format Medpro'!I341</f>
        <v>0</v>
      </c>
      <c r="J356" s="193">
        <f>'Demande Format Medpro'!J341</f>
        <v>0</v>
      </c>
      <c r="K356" s="193">
        <f>'Demande Format Medpro'!K341</f>
        <v>0</v>
      </c>
      <c r="L356" s="193">
        <f>'Demande Format Medpro'!L341</f>
        <v>0</v>
      </c>
    </row>
    <row r="357" spans="1:12">
      <c r="A357" s="178" t="s">
        <v>104</v>
      </c>
      <c r="B357" s="193">
        <f>'Demande Format Medpro'!B342</f>
        <v>0.51178999999999997</v>
      </c>
      <c r="C357" s="193">
        <f>'Demande Format Medpro'!C342</f>
        <v>0.7</v>
      </c>
      <c r="D357" s="193">
        <f>'Demande Format Medpro'!D342</f>
        <v>0.67672325485005003</v>
      </c>
      <c r="E357" s="193">
        <f>'Demande Format Medpro'!E342</f>
        <v>0.655302823772964</v>
      </c>
      <c r="F357" s="193">
        <f>'Demande Format Medpro'!F342</f>
        <v>0.63033074879441797</v>
      </c>
      <c r="G357" s="193">
        <f>'Demande Format Medpro'!G342</f>
        <v>0.54480189739640505</v>
      </c>
      <c r="H357" s="193">
        <f>'Demande Format Medpro'!H342</f>
        <v>2.1097194477189801E-2</v>
      </c>
      <c r="I357" s="193">
        <f>'Demande Format Medpro'!I342</f>
        <v>-6.7407638997093499E-3</v>
      </c>
      <c r="J357" s="193">
        <f>'Demande Format Medpro'!J342</f>
        <v>-6.4123431274779596E-3</v>
      </c>
      <c r="K357" s="193">
        <f>'Demande Format Medpro'!K342</f>
        <v>-7.7404423762908996E-3</v>
      </c>
      <c r="L357" s="193">
        <f>'Demande Format Medpro'!L342</f>
        <v>-7.2646063585369803E-3</v>
      </c>
    </row>
    <row r="358" spans="1:12">
      <c r="A358" s="178" t="s">
        <v>105</v>
      </c>
      <c r="B358" s="193">
        <f>'Demande Format Medpro'!B343</f>
        <v>0</v>
      </c>
      <c r="C358" s="193">
        <f>'Demande Format Medpro'!C343</f>
        <v>0</v>
      </c>
      <c r="D358" s="193">
        <f>'Demande Format Medpro'!D343</f>
        <v>0</v>
      </c>
      <c r="E358" s="193">
        <f>'Demande Format Medpro'!E343</f>
        <v>0</v>
      </c>
      <c r="F358" s="193">
        <f>'Demande Format Medpro'!F343</f>
        <v>0</v>
      </c>
      <c r="G358" s="193">
        <f>'Demande Format Medpro'!G343</f>
        <v>0</v>
      </c>
      <c r="H358" s="193">
        <f>'Demande Format Medpro'!H343</f>
        <v>0</v>
      </c>
      <c r="I358" s="193">
        <f>'Demande Format Medpro'!I343</f>
        <v>0</v>
      </c>
      <c r="J358" s="193">
        <f>'Demande Format Medpro'!J343</f>
        <v>0</v>
      </c>
      <c r="K358" s="193">
        <f>'Demande Format Medpro'!K343</f>
        <v>0</v>
      </c>
      <c r="L358" s="193">
        <f>'Demande Format Medpro'!L343</f>
        <v>0</v>
      </c>
    </row>
    <row r="359" spans="1:12">
      <c r="A359" s="178" t="s">
        <v>134</v>
      </c>
      <c r="B359" s="193">
        <f>'Demande Format Medpro'!B344</f>
        <v>7.0879999999999999E-2</v>
      </c>
      <c r="C359" s="193">
        <f>'Demande Format Medpro'!C344</f>
        <v>0.15</v>
      </c>
      <c r="D359" s="193">
        <f>'Demande Format Medpro'!D344</f>
        <v>0.15</v>
      </c>
      <c r="E359" s="193">
        <f>'Demande Format Medpro'!E344</f>
        <v>0.15</v>
      </c>
      <c r="F359" s="193">
        <f>'Demande Format Medpro'!F344</f>
        <v>0.15</v>
      </c>
      <c r="G359" s="193">
        <f>'Demande Format Medpro'!G344</f>
        <v>0.15</v>
      </c>
      <c r="H359" s="193">
        <f>'Demande Format Medpro'!H344</f>
        <v>5.1246355898939798E-2</v>
      </c>
      <c r="I359" s="193">
        <f>'Demande Format Medpro'!I344</f>
        <v>0</v>
      </c>
      <c r="J359" s="193">
        <f>'Demande Format Medpro'!J344</f>
        <v>0</v>
      </c>
      <c r="K359" s="193">
        <f>'Demande Format Medpro'!K344</f>
        <v>0</v>
      </c>
      <c r="L359" s="193">
        <f>'Demande Format Medpro'!L344</f>
        <v>0</v>
      </c>
    </row>
    <row r="360" spans="1:12">
      <c r="A360" s="178" t="s">
        <v>136</v>
      </c>
      <c r="B360" s="193">
        <v>0</v>
      </c>
      <c r="C360" s="193">
        <v>0</v>
      </c>
      <c r="D360" s="193">
        <v>0</v>
      </c>
      <c r="E360" s="193">
        <v>0</v>
      </c>
      <c r="F360" s="193">
        <v>0</v>
      </c>
      <c r="G360" s="193">
        <v>0</v>
      </c>
      <c r="H360" s="193"/>
      <c r="I360" s="193"/>
      <c r="J360" s="193"/>
      <c r="K360" s="193"/>
      <c r="L360" s="193"/>
    </row>
    <row r="361" spans="1:12">
      <c r="A361" s="178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</row>
    <row r="362" spans="1:12" ht="15" thickBot="1">
      <c r="A362" s="181" t="s">
        <v>10</v>
      </c>
      <c r="B362" s="203">
        <f>SUM(B354:B360)</f>
        <v>4.3577599999999999</v>
      </c>
      <c r="C362" s="203">
        <f t="shared" ref="C362:L362" si="3">SUM(C354:C360)</f>
        <v>4.46</v>
      </c>
      <c r="D362" s="203">
        <f t="shared" si="3"/>
        <v>4.3564300857593343</v>
      </c>
      <c r="E362" s="203">
        <f t="shared" si="3"/>
        <v>4.2410190396400749</v>
      </c>
      <c r="F362" s="203">
        <f t="shared" si="3"/>
        <v>4.1238086016501949</v>
      </c>
      <c r="G362" s="203">
        <f t="shared" si="3"/>
        <v>3.708469697896001</v>
      </c>
      <c r="H362" s="203">
        <f t="shared" si="3"/>
        <v>6.8051341902406137E-2</v>
      </c>
      <c r="I362" s="203">
        <f t="shared" si="3"/>
        <v>-1.2047946297270243E-2</v>
      </c>
      <c r="J362" s="203">
        <f t="shared" si="3"/>
        <v>-1.3331933900834869E-2</v>
      </c>
      <c r="K362" s="203">
        <f t="shared" si="3"/>
        <v>-1.476102068132467E-2</v>
      </c>
      <c r="L362" s="203">
        <f t="shared" si="3"/>
        <v>-1.4488788981909969E-2</v>
      </c>
    </row>
    <row r="363" spans="1:12" ht="15.5">
      <c r="A363" s="241"/>
    </row>
    <row r="364" spans="1:12" ht="15.5">
      <c r="A364" s="241"/>
    </row>
    <row r="365" spans="1:12" ht="21">
      <c r="A365" s="78" t="s">
        <v>199</v>
      </c>
      <c r="B365" s="73"/>
      <c r="C365" s="73"/>
      <c r="D365" s="73"/>
      <c r="E365" s="73"/>
      <c r="F365" s="73"/>
      <c r="G365" s="212"/>
      <c r="H365" s="212"/>
      <c r="I365" s="212"/>
      <c r="J365" s="212"/>
      <c r="K365" s="212"/>
      <c r="L365" s="212"/>
    </row>
    <row r="366" spans="1:12">
      <c r="F366" s="169"/>
    </row>
    <row r="367" spans="1:12" ht="16" thickBot="1">
      <c r="A367" s="90" t="s">
        <v>200</v>
      </c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</row>
    <row r="368" spans="1:12" ht="15" thickBot="1">
      <c r="A368" s="209" t="s">
        <v>51</v>
      </c>
      <c r="B368" s="177">
        <v>2000</v>
      </c>
      <c r="C368" s="177">
        <v>2015</v>
      </c>
      <c r="D368" s="177">
        <v>2020</v>
      </c>
      <c r="E368" s="177">
        <v>2025</v>
      </c>
      <c r="F368" s="177">
        <v>2030</v>
      </c>
      <c r="G368" s="177">
        <v>2050</v>
      </c>
      <c r="H368" s="185" t="s">
        <v>98</v>
      </c>
      <c r="I368" s="186" t="s">
        <v>99</v>
      </c>
      <c r="J368" s="186" t="s">
        <v>100</v>
      </c>
      <c r="K368" s="186" t="s">
        <v>101</v>
      </c>
      <c r="L368" s="187" t="s">
        <v>102</v>
      </c>
    </row>
    <row r="369" spans="1:13">
      <c r="A369" s="178" t="s">
        <v>103</v>
      </c>
      <c r="B369" s="193">
        <f>'Demande Format Medpro'!B353</f>
        <v>22.8002</v>
      </c>
      <c r="C369" s="193">
        <f>'Demande Format Medpro'!C353</f>
        <v>15.527200000000001</v>
      </c>
      <c r="D369" s="193">
        <f>'Demande Format Medpro'!D353</f>
        <v>12.9569790892055</v>
      </c>
      <c r="E369" s="193">
        <f>'Demande Format Medpro'!E353</f>
        <v>10.973955795739601</v>
      </c>
      <c r="F369" s="193">
        <f>'Demande Format Medpro'!F353</f>
        <v>9.1719434296915505</v>
      </c>
      <c r="G369" s="193">
        <f>'Demande Format Medpro'!G353</f>
        <v>7.5903456688112696</v>
      </c>
      <c r="H369" s="193">
        <f>'Demande Format Medpro'!H353</f>
        <v>-2.5286534008190101E-2</v>
      </c>
      <c r="I369" s="193">
        <f>'Demande Format Medpro'!I353</f>
        <v>-3.5544659702188099E-2</v>
      </c>
      <c r="J369" s="193">
        <f>'Demande Format Medpro'!J353</f>
        <v>-3.2676163359987201E-2</v>
      </c>
      <c r="K369" s="193">
        <f>'Demande Format Medpro'!K353</f>
        <v>-3.52392372773008E-2</v>
      </c>
      <c r="L369" s="193">
        <f>'Demande Format Medpro'!L353</f>
        <v>-9.4189642445359194E-3</v>
      </c>
    </row>
    <row r="370" spans="1:13">
      <c r="A370" s="178" t="s">
        <v>201</v>
      </c>
      <c r="B370" s="193">
        <f>'Demande Format Medpro'!B354</f>
        <v>42.525199999999998</v>
      </c>
      <c r="C370" s="193">
        <f>'Demande Format Medpro'!C354</f>
        <v>41.209099999999999</v>
      </c>
      <c r="D370" s="193">
        <f>'Demande Format Medpro'!D354</f>
        <v>40.565300000000001</v>
      </c>
      <c r="E370" s="193">
        <f>'Demande Format Medpro'!E354</f>
        <v>39.285200000000003</v>
      </c>
      <c r="F370" s="193">
        <f>'Demande Format Medpro'!F354</f>
        <v>38.06</v>
      </c>
      <c r="G370" s="193">
        <f>'Demande Format Medpro'!G354</f>
        <v>36.410400000000003</v>
      </c>
      <c r="H370" s="193">
        <f>'Demande Format Medpro'!H354</f>
        <v>0</v>
      </c>
      <c r="I370" s="193">
        <f>'Demande Format Medpro'!I354</f>
        <v>0</v>
      </c>
      <c r="J370" s="193">
        <f>'Demande Format Medpro'!J354</f>
        <v>0</v>
      </c>
      <c r="K370" s="193">
        <f>'Demande Format Medpro'!K354</f>
        <v>0</v>
      </c>
      <c r="L370" s="193">
        <f>'Demande Format Medpro'!L354</f>
        <v>0</v>
      </c>
    </row>
    <row r="371" spans="1:13">
      <c r="A371" s="178" t="s">
        <v>202</v>
      </c>
      <c r="B371" s="193">
        <f>'Demande Format Medpro'!B355</f>
        <v>32.84769</v>
      </c>
      <c r="C371" s="193">
        <f>'Demande Format Medpro'!C355</f>
        <v>31.136600000000001</v>
      </c>
      <c r="D371" s="193">
        <f>'Demande Format Medpro'!D355</f>
        <v>29.728227741703801</v>
      </c>
      <c r="E371" s="193">
        <f>'Demande Format Medpro'!E355</f>
        <v>28.822360420127499</v>
      </c>
      <c r="F371" s="193">
        <f>'Demande Format Medpro'!F355</f>
        <v>27.8636344231642</v>
      </c>
      <c r="G371" s="193">
        <f>'Demande Format Medpro'!G355</f>
        <v>26.639622131688299</v>
      </c>
      <c r="H371" s="193">
        <f>'Demande Format Medpro'!H355</f>
        <v>-3.5601440528808502E-3</v>
      </c>
      <c r="I371" s="193">
        <f>'Demande Format Medpro'!I355</f>
        <v>-9.2146728131732303E-3</v>
      </c>
      <c r="J371" s="193">
        <f>'Demande Format Medpro'!J355</f>
        <v>-6.1699937451433796E-3</v>
      </c>
      <c r="K371" s="193">
        <f>'Demande Format Medpro'!K355</f>
        <v>-6.7429786909308804E-3</v>
      </c>
      <c r="L371" s="193">
        <f>'Demande Format Medpro'!L355</f>
        <v>-2.2436169011268402E-3</v>
      </c>
    </row>
    <row r="372" spans="1:13">
      <c r="A372" s="178" t="s">
        <v>203</v>
      </c>
      <c r="B372" s="193">
        <f>'Demande Format Medpro'!B356</f>
        <v>0</v>
      </c>
      <c r="C372" s="193">
        <f>'Demande Format Medpro'!C356</f>
        <v>7.5200000000000003E-2</v>
      </c>
      <c r="D372" s="193">
        <f>'Demande Format Medpro'!D356</f>
        <v>8.6400000000000005E-2</v>
      </c>
      <c r="E372" s="193">
        <f>'Demande Format Medpro'!E356</f>
        <v>9.1899999999999996E-2</v>
      </c>
      <c r="F372" s="193">
        <f>'Demande Format Medpro'!F356</f>
        <v>9.7500000000000003E-2</v>
      </c>
      <c r="G372" s="193">
        <f>'Demande Format Medpro'!G356</f>
        <v>0.1215</v>
      </c>
      <c r="H372" s="193">
        <f>'Demande Format Medpro'!H356</f>
        <v>0</v>
      </c>
      <c r="I372" s="193">
        <f>'Demande Format Medpro'!I356</f>
        <v>0</v>
      </c>
      <c r="J372" s="193">
        <f>'Demande Format Medpro'!J356</f>
        <v>0</v>
      </c>
      <c r="K372" s="193">
        <f>'Demande Format Medpro'!K356</f>
        <v>0</v>
      </c>
      <c r="L372" s="193">
        <f>'Demande Format Medpro'!L356</f>
        <v>0</v>
      </c>
    </row>
    <row r="373" spans="1:13">
      <c r="A373" s="178" t="s">
        <v>42</v>
      </c>
      <c r="B373" s="193">
        <f>'Demande Format Medpro'!B357</f>
        <v>6.7202999999999999</v>
      </c>
      <c r="C373" s="193">
        <f>'Demande Format Medpro'!C357</f>
        <v>4.5881999999999996</v>
      </c>
      <c r="D373" s="193">
        <f>'Demande Format Medpro'!D357</f>
        <v>3.5859999999999999</v>
      </c>
      <c r="E373" s="193">
        <f>'Demande Format Medpro'!E357</f>
        <v>3.1928999999999998</v>
      </c>
      <c r="F373" s="193">
        <f>'Demande Format Medpro'!F357</f>
        <v>2.7932000000000001</v>
      </c>
      <c r="G373" s="193">
        <f>'Demande Format Medpro'!G357</f>
        <v>2.3936000000000002</v>
      </c>
      <c r="H373" s="193">
        <f>'Demande Format Medpro'!H357</f>
        <v>-2.5122054971455799E-2</v>
      </c>
      <c r="I373" s="193">
        <f>'Demande Format Medpro'!I357</f>
        <v>-4.8095041823419102E-2</v>
      </c>
      <c r="J373" s="193">
        <f>'Demande Format Medpro'!J357</f>
        <v>-2.2954010697805699E-2</v>
      </c>
      <c r="K373" s="193">
        <f>'Demande Format Medpro'!K357</f>
        <v>-2.6393772094375299E-2</v>
      </c>
      <c r="L373" s="193">
        <f>'Demande Format Medpro'!L357</f>
        <v>-7.6897505772605098E-3</v>
      </c>
    </row>
    <row r="374" spans="1:13">
      <c r="A374" s="178" t="s">
        <v>104</v>
      </c>
      <c r="B374" s="193">
        <f>'Demande Format Medpro'!B358</f>
        <v>32.60819</v>
      </c>
      <c r="C374" s="193">
        <f>'Demande Format Medpro'!C358</f>
        <v>36.597999999999999</v>
      </c>
      <c r="D374" s="193">
        <f>'Demande Format Medpro'!D358</f>
        <v>37.262223254849999</v>
      </c>
      <c r="E374" s="193">
        <f>'Demande Format Medpro'!E358</f>
        <v>38.180502823772997</v>
      </c>
      <c r="F374" s="193">
        <f>'Demande Format Medpro'!F358</f>
        <v>39.433830748794399</v>
      </c>
      <c r="G374" s="193">
        <f>'Demande Format Medpro'!G358</f>
        <v>47.122501897396397</v>
      </c>
      <c r="H374" s="193">
        <f>'Demande Format Medpro'!H358</f>
        <v>7.7250259173500301E-3</v>
      </c>
      <c r="I374" s="193">
        <f>'Demande Format Medpro'!I358</f>
        <v>3.60376559710485E-3</v>
      </c>
      <c r="J374" s="193">
        <f>'Demande Format Medpro'!J358</f>
        <v>4.8808639919555299E-3</v>
      </c>
      <c r="K374" s="193">
        <f>'Demande Format Medpro'!K358</f>
        <v>6.4807313060155601E-3</v>
      </c>
      <c r="L374" s="193">
        <f>'Demande Format Medpro'!L358</f>
        <v>8.9461062328843894E-3</v>
      </c>
    </row>
    <row r="375" spans="1:13">
      <c r="A375" s="178" t="s">
        <v>105</v>
      </c>
      <c r="B375" s="193">
        <f>'Demande Format Medpro'!B359</f>
        <v>3.6135999999999999</v>
      </c>
      <c r="C375" s="193">
        <f>'Demande Format Medpro'!C359</f>
        <v>3.9512999999999998</v>
      </c>
      <c r="D375" s="193">
        <f>'Demande Format Medpro'!D359</f>
        <v>3.5781000000000001</v>
      </c>
      <c r="E375" s="193">
        <f>'Demande Format Medpro'!E359</f>
        <v>3.5065</v>
      </c>
      <c r="F375" s="193">
        <f>'Demande Format Medpro'!F359</f>
        <v>3.4788000000000001</v>
      </c>
      <c r="G375" s="193">
        <f>'Demande Format Medpro'!G359</f>
        <v>3.5687000000000002</v>
      </c>
      <c r="H375" s="193">
        <f>'Demande Format Medpro'!H359</f>
        <v>5.9737811762374804E-3</v>
      </c>
      <c r="I375" s="193">
        <f>'Demande Format Medpro'!I359</f>
        <v>-1.96469735209325E-2</v>
      </c>
      <c r="J375" s="193">
        <f>'Demande Format Medpro'!J359</f>
        <v>-4.0345481085878303E-3</v>
      </c>
      <c r="K375" s="193">
        <f>'Demande Format Medpro'!K359</f>
        <v>-1.5849391075648501E-3</v>
      </c>
      <c r="L375" s="193">
        <f>'Demande Format Medpro'!L359</f>
        <v>1.27651290404129E-3</v>
      </c>
      <c r="M375" s="242"/>
    </row>
    <row r="376" spans="1:13">
      <c r="A376" s="178" t="s">
        <v>106</v>
      </c>
      <c r="B376" s="193">
        <f>'Demande Format Medpro'!B360</f>
        <v>8.2636800000000008</v>
      </c>
      <c r="C376" s="193">
        <f>'Demande Format Medpro'!C360</f>
        <v>9.1921999999999997</v>
      </c>
      <c r="D376" s="193">
        <f>'Demande Format Medpro'!D360</f>
        <v>10.196300000000001</v>
      </c>
      <c r="E376" s="193">
        <f>'Demande Format Medpro'!E360</f>
        <v>10.681900000000001</v>
      </c>
      <c r="F376" s="193">
        <f>'Demande Format Medpro'!F360</f>
        <v>11.135300000000001</v>
      </c>
      <c r="G376" s="193">
        <f>'Demande Format Medpro'!G360</f>
        <v>11.346500000000001</v>
      </c>
      <c r="H376" s="193">
        <f>'Demande Format Medpro'!H360</f>
        <v>7.1242770679884604E-3</v>
      </c>
      <c r="I376" s="193">
        <f>'Demande Format Medpro'!I360</f>
        <v>2.0950363272350399E-2</v>
      </c>
      <c r="J376" s="193">
        <f>'Demande Format Medpro'!J360</f>
        <v>9.3485898068528302E-3</v>
      </c>
      <c r="K376" s="193">
        <f>'Demande Format Medpro'!K360</f>
        <v>8.3485608983049405E-3</v>
      </c>
      <c r="L376" s="193">
        <f>'Demande Format Medpro'!L360</f>
        <v>9.3989562064478204E-4</v>
      </c>
      <c r="M376" s="242"/>
    </row>
    <row r="377" spans="1:13">
      <c r="A377" s="178" t="s">
        <v>135</v>
      </c>
      <c r="B377" s="193">
        <f>'Demande Format Medpro'!B361</f>
        <v>2.0799999999999999E-2</v>
      </c>
      <c r="C377" s="193">
        <f>'Demande Format Medpro'!C361</f>
        <v>0.1744</v>
      </c>
      <c r="D377" s="193">
        <f>'Demande Format Medpro'!D361</f>
        <v>0.18060000000000001</v>
      </c>
      <c r="E377" s="193">
        <f>'Demande Format Medpro'!E361</f>
        <v>0.18149999999999999</v>
      </c>
      <c r="F377" s="193">
        <f>'Demande Format Medpro'!F361</f>
        <v>0.17069999999999999</v>
      </c>
      <c r="G377" s="193">
        <f>'Demande Format Medpro'!G361</f>
        <v>0.1588</v>
      </c>
      <c r="H377" s="193">
        <f>'Demande Format Medpro'!H361</f>
        <v>0</v>
      </c>
      <c r="I377" s="193">
        <f>'Demande Format Medpro'!I361</f>
        <v>0</v>
      </c>
      <c r="J377" s="193">
        <f>'Demande Format Medpro'!J361</f>
        <v>0</v>
      </c>
      <c r="K377" s="193">
        <f>'Demande Format Medpro'!K361</f>
        <v>0</v>
      </c>
      <c r="L377" s="193">
        <f>'Demande Format Medpro'!L361</f>
        <v>0</v>
      </c>
      <c r="M377" s="242"/>
    </row>
    <row r="378" spans="1:13">
      <c r="A378" s="178" t="s">
        <v>136</v>
      </c>
      <c r="B378" s="193">
        <f>'Demande Format Medpro'!B362</f>
        <v>0</v>
      </c>
      <c r="C378" s="193">
        <f>'Demande Format Medpro'!C362</f>
        <v>1.12610318924139</v>
      </c>
      <c r="D378" s="193">
        <f>'Demande Format Medpro'!D362</f>
        <v>1.4955001270178101</v>
      </c>
      <c r="E378" s="193">
        <f>'Demande Format Medpro'!E362</f>
        <v>1.7829099267323001</v>
      </c>
      <c r="F378" s="193">
        <f>'Demande Format Medpro'!F362</f>
        <v>1.98131096506806</v>
      </c>
      <c r="G378" s="193">
        <f>'Demande Format Medpro'!G362</f>
        <v>2.7034684578908701</v>
      </c>
      <c r="H378" s="193">
        <f>'Demande Format Medpro'!H362</f>
        <v>0</v>
      </c>
      <c r="I378" s="193">
        <f>'Demande Format Medpro'!I362</f>
        <v>0</v>
      </c>
      <c r="J378" s="193">
        <f>'Demande Format Medpro'!J362</f>
        <v>0</v>
      </c>
      <c r="K378" s="193">
        <f>'Demande Format Medpro'!K362</f>
        <v>0</v>
      </c>
      <c r="L378" s="193">
        <f>'Demande Format Medpro'!L362</f>
        <v>0</v>
      </c>
      <c r="M378" s="242"/>
    </row>
    <row r="379" spans="1:13">
      <c r="A379" s="178" t="s">
        <v>109</v>
      </c>
      <c r="B379" s="193">
        <v>0</v>
      </c>
      <c r="C379" s="193">
        <v>1</v>
      </c>
      <c r="D379" s="193">
        <v>0</v>
      </c>
      <c r="E379" s="193">
        <v>0</v>
      </c>
      <c r="F379" s="193">
        <v>0</v>
      </c>
      <c r="G379" s="193">
        <v>8.5984522785898534E-2</v>
      </c>
      <c r="H379" s="193">
        <v>6</v>
      </c>
      <c r="I379" s="193">
        <v>7</v>
      </c>
      <c r="J379" s="193">
        <v>8</v>
      </c>
      <c r="K379" s="193">
        <v>9</v>
      </c>
      <c r="L379" s="193">
        <v>10</v>
      </c>
      <c r="M379" s="242"/>
    </row>
    <row r="380" spans="1:13">
      <c r="A380" s="178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242"/>
    </row>
    <row r="381" spans="1:13" ht="15" thickBot="1">
      <c r="A381" s="181" t="s">
        <v>10</v>
      </c>
      <c r="B381" s="203">
        <f>SUM(B369:B379)</f>
        <v>149.39965999999998</v>
      </c>
      <c r="C381" s="203">
        <f t="shared" ref="C381:L381" si="4">SUM(C369:C379)</f>
        <v>144.57830318924138</v>
      </c>
      <c r="D381" s="203">
        <f t="shared" si="4"/>
        <v>139.6356302127771</v>
      </c>
      <c r="E381" s="203">
        <f t="shared" si="4"/>
        <v>136.69962896637239</v>
      </c>
      <c r="F381" s="203">
        <f t="shared" si="4"/>
        <v>134.18621956671822</v>
      </c>
      <c r="G381" s="203">
        <f t="shared" si="4"/>
        <v>138.14142267857275</v>
      </c>
      <c r="H381" s="203">
        <f t="shared" si="4"/>
        <v>5.966854351129049</v>
      </c>
      <c r="I381" s="203">
        <f t="shared" si="4"/>
        <v>6.9120527810097423</v>
      </c>
      <c r="J381" s="203">
        <f t="shared" si="4"/>
        <v>7.9483947378872841</v>
      </c>
      <c r="K381" s="203">
        <f t="shared" si="4"/>
        <v>8.9448683650341483</v>
      </c>
      <c r="L381" s="203">
        <f t="shared" si="4"/>
        <v>9.991810183034648</v>
      </c>
    </row>
    <row r="382" spans="1:13">
      <c r="A382" s="243"/>
      <c r="F382" s="244"/>
      <c r="G382" s="244"/>
      <c r="H382" s="244"/>
    </row>
    <row r="383" spans="1:13">
      <c r="A383" s="245"/>
      <c r="F383" s="244"/>
      <c r="G383" s="244"/>
      <c r="H383" s="244"/>
    </row>
    <row r="384" spans="1:13" ht="16" thickBot="1">
      <c r="A384" s="90" t="s">
        <v>204</v>
      </c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</row>
    <row r="385" spans="1:12" ht="15" thickBot="1">
      <c r="A385" s="209" t="s">
        <v>51</v>
      </c>
      <c r="B385" s="177">
        <v>2000</v>
      </c>
      <c r="C385" s="177">
        <v>2015</v>
      </c>
      <c r="D385" s="177">
        <v>2020</v>
      </c>
      <c r="E385" s="177">
        <v>2025</v>
      </c>
      <c r="F385" s="177">
        <v>2030</v>
      </c>
      <c r="G385" s="177">
        <v>2050</v>
      </c>
      <c r="H385" s="185" t="s">
        <v>98</v>
      </c>
      <c r="I385" s="186" t="s">
        <v>99</v>
      </c>
      <c r="J385" s="186" t="s">
        <v>100</v>
      </c>
      <c r="K385" s="186" t="s">
        <v>101</v>
      </c>
      <c r="L385" s="187" t="s">
        <v>102</v>
      </c>
    </row>
    <row r="386" spans="1:12">
      <c r="A386" s="246" t="s">
        <v>78</v>
      </c>
      <c r="B386" s="179">
        <f>'Demande Format Medpro'!B369</f>
        <v>38.915500000000002</v>
      </c>
      <c r="C386" s="179">
        <f>'Demande Format Medpro'!C369</f>
        <v>31.8477</v>
      </c>
      <c r="D386" s="179">
        <f>'Demande Format Medpro'!D369</f>
        <v>32.003300000000003</v>
      </c>
      <c r="E386" s="179">
        <f>'Demande Format Medpro'!E369</f>
        <v>32.154499999999999</v>
      </c>
      <c r="F386" s="179">
        <f>'Demande Format Medpro'!F369</f>
        <v>32.312199999999997</v>
      </c>
      <c r="G386" s="179">
        <f>'Demande Format Medpro'!G369</f>
        <v>36.428100000000001</v>
      </c>
      <c r="H386" s="179">
        <f>'Demande Format Medpro'!H369</f>
        <v>-1.32729578759672E-2</v>
      </c>
      <c r="I386" s="179">
        <f>'Demande Format Medpro'!I369</f>
        <v>9.75246558531762E-4</v>
      </c>
      <c r="J386" s="179">
        <f>'Demande Format Medpro'!J369</f>
        <v>9.4312192044454502E-4</v>
      </c>
      <c r="K386" s="179">
        <f>'Demande Format Medpro'!K369</f>
        <v>9.789705007394729E-4</v>
      </c>
      <c r="L386" s="179">
        <f>'Demande Format Medpro'!L369</f>
        <v>6.0127839972017299E-3</v>
      </c>
    </row>
    <row r="387" spans="1:12">
      <c r="A387" s="246" t="s">
        <v>80</v>
      </c>
      <c r="B387" s="179">
        <f>'Demande Format Medpro'!B370</f>
        <v>42.777299999999997</v>
      </c>
      <c r="C387" s="179">
        <f>'Demande Format Medpro'!C370</f>
        <v>42.093488103993202</v>
      </c>
      <c r="D387" s="179">
        <f>'Demande Format Medpro'!D370</f>
        <v>38.949986005726402</v>
      </c>
      <c r="E387" s="179">
        <f>'Demande Format Medpro'!E370</f>
        <v>37.427669756237201</v>
      </c>
      <c r="F387" s="179">
        <f>'Demande Format Medpro'!F370</f>
        <v>36.268246002489001</v>
      </c>
      <c r="G387" s="179">
        <f>'Demande Format Medpro'!G370</f>
        <v>34.636912010195502</v>
      </c>
      <c r="H387" s="179">
        <f>'Demande Format Medpro'!H370</f>
        <v>-1.0737255569641701E-3</v>
      </c>
      <c r="I387" s="179">
        <f>'Demande Format Medpro'!I370</f>
        <v>-1.54030681153818E-2</v>
      </c>
      <c r="J387" s="179">
        <f>'Demande Format Medpro'!J370</f>
        <v>-7.9419247568907093E-3</v>
      </c>
      <c r="K387" s="179">
        <f>'Demande Format Medpro'!K370</f>
        <v>-6.27377144735408E-3</v>
      </c>
      <c r="L387" s="179">
        <f>'Demande Format Medpro'!L370</f>
        <v>-2.2984873308317102E-3</v>
      </c>
    </row>
    <row r="388" spans="1:12">
      <c r="A388" s="246" t="s">
        <v>81</v>
      </c>
      <c r="B388" s="179">
        <f>'Demande Format Medpro'!B371</f>
        <v>20.017199999999999</v>
      </c>
      <c r="C388" s="179">
        <f>'Demande Format Medpro'!C371</f>
        <v>23.0002150852482</v>
      </c>
      <c r="D388" s="179">
        <f>'Demande Format Medpro'!D371</f>
        <v>22.5271141212915</v>
      </c>
      <c r="E388" s="179">
        <f>'Demande Format Medpro'!E371</f>
        <v>22.078440170495099</v>
      </c>
      <c r="F388" s="179">
        <f>'Demande Format Medpro'!F371</f>
        <v>21.442864962579101</v>
      </c>
      <c r="G388" s="179">
        <f>'Demande Format Medpro'!G371</f>
        <v>22.6677564476953</v>
      </c>
      <c r="H388" s="179">
        <f>'Demande Format Medpro'!H371</f>
        <v>9.3037912415132595E-3</v>
      </c>
      <c r="I388" s="179">
        <f>'Demande Format Medpro'!I371</f>
        <v>-4.1481548719571899E-3</v>
      </c>
      <c r="J388" s="179">
        <f>'Demande Format Medpro'!J371</f>
        <v>-4.0155323599075903E-3</v>
      </c>
      <c r="K388" s="179">
        <f>'Demande Format Medpro'!K371</f>
        <v>-5.8248931822137999E-3</v>
      </c>
      <c r="L388" s="179">
        <f>'Demande Format Medpro'!L371</f>
        <v>2.7814380241897299E-3</v>
      </c>
    </row>
    <row r="389" spans="1:12">
      <c r="A389" s="246" t="s">
        <v>82</v>
      </c>
      <c r="B389" s="179">
        <f>'Demande Format Medpro'!B372</f>
        <v>4.3577599999999999</v>
      </c>
      <c r="C389" s="179">
        <f>'Demande Format Medpro'!C372</f>
        <v>4.46</v>
      </c>
      <c r="D389" s="179">
        <f>'Demande Format Medpro'!D372</f>
        <v>4.3564300857593397</v>
      </c>
      <c r="E389" s="179">
        <f>'Demande Format Medpro'!E372</f>
        <v>4.2410190396400802</v>
      </c>
      <c r="F389" s="179">
        <f>'Demande Format Medpro'!F372</f>
        <v>4.1238086016501896</v>
      </c>
      <c r="G389" s="179">
        <f>'Demande Format Medpro'!G372</f>
        <v>3.7084696978960001</v>
      </c>
      <c r="H389" s="179">
        <f>'Demande Format Medpro'!H372</f>
        <v>1.54723588017358E-3</v>
      </c>
      <c r="I389" s="179">
        <f>'Demande Format Medpro'!I372</f>
        <v>-4.6881425382782104E-3</v>
      </c>
      <c r="J389" s="179">
        <f>'Demande Format Medpro'!J372</f>
        <v>-5.3554788952561204E-3</v>
      </c>
      <c r="K389" s="179">
        <f>'Demande Format Medpro'!K372</f>
        <v>-5.5896048360853899E-3</v>
      </c>
      <c r="L389" s="179">
        <f>'Demande Format Medpro'!L372</f>
        <v>-5.2938301838630899E-3</v>
      </c>
    </row>
    <row r="390" spans="1:12">
      <c r="A390" s="246" t="s">
        <v>79</v>
      </c>
      <c r="B390" s="179">
        <f>'Demande Format Medpro'!B373</f>
        <v>43.331899999999997</v>
      </c>
      <c r="C390" s="179">
        <f>'Demande Format Medpro'!C373</f>
        <v>42.177</v>
      </c>
      <c r="D390" s="179">
        <f>'Demande Format Medpro'!D373</f>
        <v>41.798699999999997</v>
      </c>
      <c r="E390" s="179">
        <f>'Demande Format Medpro'!E373</f>
        <v>40.798000000000002</v>
      </c>
      <c r="F390" s="179">
        <f>'Demande Format Medpro'!F373</f>
        <v>40.038899999999998</v>
      </c>
      <c r="G390" s="179">
        <f>'Demande Format Medpro'!G373</f>
        <v>40.614400000000003</v>
      </c>
      <c r="H390" s="179">
        <f>'Demande Format Medpro'!H373</f>
        <v>-1.7993149918053E-3</v>
      </c>
      <c r="I390" s="179">
        <f>'Demande Format Medpro'!I373</f>
        <v>-1.80033948060065E-3</v>
      </c>
      <c r="J390" s="179">
        <f>'Demande Format Medpro'!J373</f>
        <v>-4.83471057375173E-3</v>
      </c>
      <c r="K390" s="179">
        <f>'Demande Format Medpro'!K373</f>
        <v>-3.7492696827380301E-3</v>
      </c>
      <c r="L390" s="179">
        <f>'Demande Format Medpro'!L373</f>
        <v>7.1381474379505995E-4</v>
      </c>
    </row>
    <row r="391" spans="1:12">
      <c r="A391" s="246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</row>
    <row r="392" spans="1:12" ht="15" thickBot="1">
      <c r="A392" s="247" t="s">
        <v>10</v>
      </c>
      <c r="B392" s="198">
        <f>'Demande Format Medpro'!B375</f>
        <v>149.39966000000001</v>
      </c>
      <c r="C392" s="203">
        <f>'Demande Format Medpro'!C375</f>
        <v>143.57840318924099</v>
      </c>
      <c r="D392" s="203">
        <f>'Demande Format Medpro'!D375</f>
        <v>139.63553021277701</v>
      </c>
      <c r="E392" s="203">
        <f>'Demande Format Medpro'!E375</f>
        <v>136.69962896637199</v>
      </c>
      <c r="F392" s="203">
        <f>'Demande Format Medpro'!F375</f>
        <v>134.18601956671799</v>
      </c>
      <c r="G392" s="203">
        <f>'Demande Format Medpro'!G375</f>
        <v>138.05563815578699</v>
      </c>
      <c r="H392" s="203">
        <f>'Demande Format Medpro'!H375</f>
        <v>-2.6460761020494798E-3</v>
      </c>
      <c r="I392" s="203">
        <f>'Demande Format Medpro'!I375</f>
        <v>-5.5536366886307399E-3</v>
      </c>
      <c r="J392" s="203">
        <f>'Demande Format Medpro'!J375</f>
        <v>-4.2409104046396999E-3</v>
      </c>
      <c r="K392" s="203">
        <f>'Demande Format Medpro'!K375</f>
        <v>-3.70491709609E-3</v>
      </c>
      <c r="L392" s="203">
        <f>'Demande Format Medpro'!L375</f>
        <v>1.42249758824131E-3</v>
      </c>
    </row>
    <row r="393" spans="1:12" ht="15.5">
      <c r="A393" s="241"/>
    </row>
    <row r="394" spans="1:12" ht="15.5">
      <c r="A394" s="241"/>
    </row>
    <row r="395" spans="1:12" ht="16" thickBot="1">
      <c r="A395" s="90" t="s">
        <v>205</v>
      </c>
      <c r="B395" s="238"/>
      <c r="C395" s="80"/>
      <c r="D395" s="80"/>
      <c r="E395" s="80"/>
      <c r="F395" s="80"/>
      <c r="G395" s="80"/>
      <c r="H395" s="80"/>
      <c r="I395" s="80"/>
      <c r="J395" s="80"/>
      <c r="K395" s="80"/>
      <c r="L395" s="80"/>
    </row>
    <row r="396" spans="1:12" ht="15" thickBot="1">
      <c r="A396" s="176"/>
      <c r="B396" s="177">
        <v>2000</v>
      </c>
      <c r="C396" s="177">
        <v>2015</v>
      </c>
      <c r="D396" s="177">
        <v>2020</v>
      </c>
      <c r="E396" s="177">
        <v>2025</v>
      </c>
      <c r="F396" s="177">
        <v>2030</v>
      </c>
      <c r="G396" s="177">
        <v>2050</v>
      </c>
      <c r="H396" s="185" t="s">
        <v>98</v>
      </c>
      <c r="I396" s="186" t="s">
        <v>99</v>
      </c>
      <c r="J396" s="186" t="s">
        <v>100</v>
      </c>
      <c r="K396" s="186" t="s">
        <v>101</v>
      </c>
      <c r="L396" s="187" t="s">
        <v>102</v>
      </c>
    </row>
    <row r="397" spans="1:12">
      <c r="A397" s="178" t="s">
        <v>196</v>
      </c>
      <c r="B397" s="248">
        <f>'Demande Format Medpro'!B380</f>
        <v>8.4325549288508606E-2</v>
      </c>
      <c r="C397" s="248">
        <f>'Demande Format Medpro'!C380</f>
        <v>6.8571312471406298E-2</v>
      </c>
      <c r="D397" s="248">
        <f>'Demande Format Medpro'!D380</f>
        <v>6.1600091817526598E-2</v>
      </c>
      <c r="E397" s="248">
        <f>'Demande Format Medpro'!E380</f>
        <v>5.6533414922964799E-2</v>
      </c>
      <c r="F397" s="248">
        <f>'Demande Format Medpro'!F380</f>
        <v>5.1767361657663297E-2</v>
      </c>
      <c r="G397" s="248">
        <f>'Demande Format Medpro'!G380</f>
        <v>3.8017414224205799E-2</v>
      </c>
      <c r="H397" s="248">
        <f>'Demande Format Medpro'!H380</f>
        <v>-1.3692764990851E-2</v>
      </c>
      <c r="I397" s="248">
        <f>'Demande Format Medpro'!I380</f>
        <v>-2.12139308811569E-2</v>
      </c>
      <c r="J397" s="248">
        <f>'Demande Format Medpro'!J380</f>
        <v>-1.70197952593216E-2</v>
      </c>
      <c r="K397" s="248">
        <f>'Demande Format Medpro'!K380</f>
        <v>-1.7460175492412602E-2</v>
      </c>
      <c r="L397" s="248">
        <f>'Demande Format Medpro'!L380</f>
        <v>-1.53172561486896E-2</v>
      </c>
    </row>
    <row r="398" spans="1:12">
      <c r="A398" s="178" t="s">
        <v>206</v>
      </c>
      <c r="B398" s="248">
        <f>'Demande Format Medpro'!B381</f>
        <v>214.050367245941</v>
      </c>
      <c r="C398" s="248">
        <f>'Demande Format Medpro'!C381</f>
        <v>203.27815628770301</v>
      </c>
      <c r="D398" s="248">
        <f>'Demande Format Medpro'!D381</f>
        <v>191.176095863889</v>
      </c>
      <c r="E398" s="248">
        <f>'Demande Format Medpro'!E381</f>
        <v>183.63659967520701</v>
      </c>
      <c r="F398" s="248">
        <f>'Demande Format Medpro'!F381</f>
        <v>176.928093077429</v>
      </c>
      <c r="G398" s="248">
        <f>'Demande Format Medpro'!G381</f>
        <v>150.91663440386799</v>
      </c>
      <c r="H398" s="248">
        <f>'Demande Format Medpro'!H381</f>
        <v>-3.4364869917412602E-3</v>
      </c>
      <c r="I398" s="248">
        <f>'Demande Format Medpro'!I381</f>
        <v>-1.2201016170506999E-2</v>
      </c>
      <c r="J398" s="248">
        <f>'Demande Format Medpro'!J381</f>
        <v>-8.0149413372444505E-3</v>
      </c>
      <c r="K398" s="248">
        <f>'Demande Format Medpro'!K381</f>
        <v>-7.41545021124257E-3</v>
      </c>
      <c r="L398" s="248">
        <f>'Demande Format Medpro'!L381</f>
        <v>-7.9192661661721103E-3</v>
      </c>
    </row>
    <row r="399" spans="1:12">
      <c r="A399" s="178" t="s">
        <v>150</v>
      </c>
      <c r="B399" s="248">
        <f>'Demande Format Medpro'!B382</f>
        <v>2.5383067722314698</v>
      </c>
      <c r="C399" s="248">
        <f>'Demande Format Medpro'!C382</f>
        <v>2.23337128547516</v>
      </c>
      <c r="D399" s="248">
        <f>'Demande Format Medpro'!D382</f>
        <v>2.12594097927854</v>
      </c>
      <c r="E399" s="248">
        <f>'Demande Format Medpro'!E382</f>
        <v>2.0431625457003402</v>
      </c>
      <c r="F399" s="248">
        <f>'Demande Format Medpro'!F382</f>
        <v>1.9718449748309499</v>
      </c>
      <c r="G399" s="248">
        <f>'Demande Format Medpro'!G382</f>
        <v>1.9260369309595899</v>
      </c>
      <c r="H399" s="248">
        <f>'Demande Format Medpro'!H382</f>
        <v>-8.4960364520788607E-3</v>
      </c>
      <c r="I399" s="248">
        <f>'Demande Format Medpro'!I382</f>
        <v>-9.8110966468509808E-3</v>
      </c>
      <c r="J399" s="248">
        <f>'Demande Format Medpro'!J382</f>
        <v>-7.9116653563052804E-3</v>
      </c>
      <c r="K399" s="248">
        <f>'Demande Format Medpro'!K382</f>
        <v>-7.0806601645884201E-3</v>
      </c>
      <c r="L399" s="248">
        <f>'Demande Format Medpro'!L382</f>
        <v>-1.1745672440818299E-3</v>
      </c>
    </row>
    <row r="400" spans="1:12" ht="15" thickBot="1">
      <c r="A400" s="181" t="s">
        <v>151</v>
      </c>
      <c r="B400" s="240">
        <f>'Demande Format Medpro'!B383</f>
        <v>6443.1895358319998</v>
      </c>
      <c r="C400" s="210">
        <f>'Demande Format Medpro'!C383</f>
        <v>6620.7803358962901</v>
      </c>
      <c r="D400" s="210">
        <f>'Demande Format Medpro'!D383</f>
        <v>6597.8651080498103</v>
      </c>
      <c r="E400" s="210">
        <f>'Demande Format Medpro'!E383</f>
        <v>6636.7726589206604</v>
      </c>
      <c r="F400" s="210">
        <f>'Demande Format Medpro'!F383</f>
        <v>6739.2805055095196</v>
      </c>
      <c r="G400" s="210">
        <f>'Demande Format Medpro'!G383</f>
        <v>7645.7333379844804</v>
      </c>
      <c r="H400" s="210">
        <f>'Demande Format Medpro'!H383</f>
        <v>1.81428058343625E-3</v>
      </c>
      <c r="I400" s="210">
        <f>'Demande Format Medpro'!I383</f>
        <v>-6.9318169594823097E-4</v>
      </c>
      <c r="J400" s="210">
        <f>'Demande Format Medpro'!J383</f>
        <v>1.1766260336725199E-3</v>
      </c>
      <c r="K400" s="210">
        <f>'Demande Format Medpro'!K383</f>
        <v>3.0701772327716998E-3</v>
      </c>
      <c r="L400" s="210">
        <f>'Demande Format Medpro'!L383</f>
        <v>6.3296777444214998E-3</v>
      </c>
    </row>
    <row r="401" spans="1:1" ht="15.5">
      <c r="A401" s="241"/>
    </row>
    <row r="402" spans="1:1" ht="15.5">
      <c r="A402" s="241"/>
    </row>
    <row r="427" spans="2:14"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N427" s="249"/>
    </row>
    <row r="428" spans="2:14"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N428" s="191"/>
    </row>
    <row r="429" spans="2:14"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N429" s="190"/>
    </row>
    <row r="541" spans="2:12"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</row>
    <row r="542" spans="2:12"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</row>
    <row r="543" spans="2:12"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</row>
    <row r="544" spans="2:12"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</row>
    <row r="545" spans="2:12"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</row>
    <row r="546" spans="2:12"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</row>
    <row r="547" spans="2:12"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</row>
    <row r="548" spans="2:12"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</row>
    <row r="549" spans="2:12"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</row>
    <row r="550" spans="2:12"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</row>
    <row r="551" spans="2:12"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</row>
    <row r="552" spans="2:12"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</row>
    <row r="553" spans="2:12"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</row>
    <row r="554" spans="2:12"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</row>
    <row r="555" spans="2:12"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</row>
    <row r="556" spans="2:12"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</row>
    <row r="557" spans="2:12"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</row>
    <row r="558" spans="2:12"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</row>
    <row r="559" spans="2:12"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</row>
    <row r="560" spans="2:12"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</row>
    <row r="561" spans="1:78"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</row>
    <row r="562" spans="1:78"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</row>
    <row r="563" spans="1:78"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</row>
    <row r="564" spans="1:78">
      <c r="A564" s="170"/>
      <c r="B564" s="170"/>
      <c r="C564" s="170"/>
      <c r="D564" s="170"/>
      <c r="E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0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0"/>
      <c r="BD564" s="170"/>
      <c r="BE564" s="170"/>
      <c r="BF564" s="170"/>
      <c r="BG564" s="170"/>
      <c r="BH564" s="170"/>
      <c r="BI564" s="170"/>
      <c r="BJ564" s="170"/>
      <c r="BK564" s="170"/>
      <c r="BL564" s="170"/>
      <c r="BM564" s="170"/>
      <c r="BN564" s="170"/>
      <c r="BO564" s="170"/>
      <c r="BP564" s="170"/>
      <c r="BQ564" s="170"/>
      <c r="BR564" s="170"/>
      <c r="BS564" s="170"/>
      <c r="BT564" s="170"/>
      <c r="BU564" s="170"/>
      <c r="BV564" s="170"/>
      <c r="BW564" s="170"/>
      <c r="BX564" s="170"/>
      <c r="BY564" s="170"/>
      <c r="BZ564" s="170"/>
    </row>
    <row r="565" spans="1:78">
      <c r="A565" s="170"/>
      <c r="B565" s="170"/>
      <c r="C565" s="170"/>
      <c r="D565" s="170"/>
      <c r="E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0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0"/>
      <c r="BD565" s="170"/>
      <c r="BE565" s="170"/>
      <c r="BF565" s="170"/>
      <c r="BG565" s="170"/>
      <c r="BH565" s="170"/>
      <c r="BI565" s="170"/>
      <c r="BJ565" s="170"/>
      <c r="BK565" s="170"/>
      <c r="BL565" s="170"/>
      <c r="BM565" s="170"/>
      <c r="BN565" s="170"/>
      <c r="BO565" s="170"/>
      <c r="BP565" s="170"/>
      <c r="BQ565" s="170"/>
      <c r="BR565" s="170"/>
      <c r="BS565" s="170"/>
      <c r="BT565" s="170"/>
      <c r="BU565" s="170"/>
      <c r="BV565" s="170"/>
      <c r="BW565" s="170"/>
      <c r="BX565" s="170"/>
      <c r="BY565" s="170"/>
      <c r="BZ565" s="170"/>
    </row>
    <row r="566" spans="1:78">
      <c r="A566" s="170"/>
      <c r="B566" s="170"/>
      <c r="C566" s="170"/>
      <c r="D566" s="170"/>
      <c r="E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0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0"/>
      <c r="BD566" s="170"/>
      <c r="BE566" s="170"/>
      <c r="BF566" s="170"/>
      <c r="BG566" s="170"/>
      <c r="BH566" s="170"/>
      <c r="BI566" s="170"/>
      <c r="BJ566" s="170"/>
      <c r="BK566" s="170"/>
      <c r="BL566" s="170"/>
      <c r="BM566" s="170"/>
      <c r="BN566" s="170"/>
      <c r="BO566" s="170"/>
      <c r="BP566" s="170"/>
      <c r="BQ566" s="170"/>
      <c r="BR566" s="170"/>
      <c r="BS566" s="170"/>
      <c r="BT566" s="170"/>
      <c r="BU566" s="170"/>
      <c r="BV566" s="170"/>
      <c r="BW566" s="170"/>
      <c r="BX566" s="170"/>
      <c r="BY566" s="170"/>
      <c r="BZ566" s="170"/>
    </row>
    <row r="567" spans="1:78">
      <c r="A567" s="170"/>
      <c r="B567" s="170"/>
      <c r="C567" s="170"/>
      <c r="D567" s="170"/>
      <c r="E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0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0"/>
      <c r="BD567" s="170"/>
      <c r="BE567" s="170"/>
      <c r="BF567" s="170"/>
      <c r="BG567" s="170"/>
      <c r="BH567" s="170"/>
      <c r="BI567" s="170"/>
      <c r="BJ567" s="170"/>
      <c r="BK567" s="170"/>
      <c r="BL567" s="170"/>
      <c r="BM567" s="170"/>
      <c r="BN567" s="170"/>
      <c r="BO567" s="170"/>
      <c r="BP567" s="170"/>
      <c r="BQ567" s="170"/>
      <c r="BR567" s="170"/>
      <c r="BS567" s="170"/>
      <c r="BT567" s="170"/>
      <c r="BU567" s="170"/>
      <c r="BV567" s="170"/>
      <c r="BW567" s="170"/>
      <c r="BX567" s="170"/>
      <c r="BY567" s="170"/>
      <c r="BZ567" s="170"/>
    </row>
    <row r="568" spans="1:78"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</row>
    <row r="569" spans="1:78">
      <c r="A569" s="170"/>
      <c r="B569" s="170"/>
      <c r="C569" s="170"/>
      <c r="D569" s="170"/>
      <c r="E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0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0"/>
      <c r="BD569" s="170"/>
      <c r="BE569" s="170"/>
      <c r="BF569" s="170"/>
      <c r="BG569" s="170"/>
      <c r="BH569" s="170"/>
      <c r="BI569" s="170"/>
      <c r="BJ569" s="170"/>
      <c r="BK569" s="170"/>
      <c r="BL569" s="170"/>
      <c r="BM569" s="170"/>
      <c r="BN569" s="170"/>
      <c r="BO569" s="170"/>
      <c r="BP569" s="170"/>
      <c r="BQ569" s="170"/>
      <c r="BR569" s="170"/>
      <c r="BS569" s="170"/>
      <c r="BT569" s="170"/>
      <c r="BU569" s="170"/>
      <c r="BV569" s="170"/>
      <c r="BW569" s="170"/>
      <c r="BX569" s="170"/>
      <c r="BY569" s="170"/>
      <c r="BZ569" s="170"/>
    </row>
    <row r="570" spans="1:78">
      <c r="A570" s="170"/>
      <c r="B570" s="170"/>
      <c r="C570" s="170"/>
      <c r="D570" s="170"/>
      <c r="E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0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0"/>
      <c r="BD570" s="170"/>
      <c r="BE570" s="170"/>
      <c r="BF570" s="170"/>
      <c r="BG570" s="170"/>
      <c r="BH570" s="170"/>
      <c r="BI570" s="170"/>
      <c r="BJ570" s="170"/>
      <c r="BK570" s="170"/>
      <c r="BL570" s="170"/>
      <c r="BM570" s="170"/>
      <c r="BN570" s="170"/>
      <c r="BO570" s="170"/>
      <c r="BP570" s="170"/>
      <c r="BQ570" s="170"/>
      <c r="BR570" s="170"/>
      <c r="BS570" s="170"/>
      <c r="BT570" s="170"/>
      <c r="BU570" s="170"/>
      <c r="BV570" s="170"/>
      <c r="BW570" s="170"/>
      <c r="BX570" s="170"/>
      <c r="BY570" s="170"/>
      <c r="BZ570" s="170"/>
    </row>
    <row r="571" spans="1:78">
      <c r="A571" s="170"/>
      <c r="B571" s="170"/>
      <c r="C571" s="170"/>
      <c r="D571" s="170"/>
      <c r="E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0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0"/>
      <c r="BD571" s="170"/>
      <c r="BE571" s="170"/>
      <c r="BF571" s="170"/>
      <c r="BG571" s="170"/>
      <c r="BH571" s="170"/>
      <c r="BI571" s="170"/>
      <c r="BJ571" s="170"/>
      <c r="BK571" s="170"/>
      <c r="BL571" s="170"/>
      <c r="BM571" s="170"/>
      <c r="BN571" s="170"/>
      <c r="BO571" s="170"/>
      <c r="BP571" s="170"/>
      <c r="BQ571" s="170"/>
      <c r="BR571" s="170"/>
      <c r="BS571" s="170"/>
      <c r="BT571" s="170"/>
      <c r="BU571" s="170"/>
      <c r="BV571" s="170"/>
      <c r="BW571" s="170"/>
      <c r="BX571" s="170"/>
      <c r="BY571" s="170"/>
      <c r="BZ571" s="170"/>
    </row>
    <row r="572" spans="1:78">
      <c r="A572" s="170"/>
      <c r="B572" s="170"/>
      <c r="C572" s="170"/>
      <c r="D572" s="170"/>
      <c r="E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70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0"/>
      <c r="BD572" s="170"/>
      <c r="BE572" s="170"/>
      <c r="BF572" s="170"/>
      <c r="BG572" s="170"/>
      <c r="BH572" s="170"/>
      <c r="BI572" s="170"/>
      <c r="BJ572" s="170"/>
      <c r="BK572" s="170"/>
      <c r="BL572" s="170"/>
      <c r="BM572" s="170"/>
      <c r="BN572" s="170"/>
      <c r="BO572" s="170"/>
      <c r="BP572" s="170"/>
      <c r="BQ572" s="170"/>
      <c r="BR572" s="170"/>
      <c r="BS572" s="170"/>
      <c r="BT572" s="170"/>
      <c r="BU572" s="170"/>
      <c r="BV572" s="170"/>
      <c r="BW572" s="170"/>
      <c r="BX572" s="170"/>
      <c r="BY572" s="170"/>
      <c r="BZ572" s="170"/>
    </row>
    <row r="573" spans="1:78">
      <c r="A573" s="170"/>
      <c r="B573" s="170"/>
      <c r="C573" s="170"/>
      <c r="D573" s="170"/>
      <c r="E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70"/>
      <c r="AF573" s="170"/>
      <c r="AG573" s="170"/>
      <c r="AH573" s="170"/>
      <c r="AI573" s="170"/>
      <c r="AJ573" s="170"/>
      <c r="AK573" s="170"/>
      <c r="AL573" s="170"/>
      <c r="AM573" s="170"/>
      <c r="AN573" s="170"/>
      <c r="AO573" s="170"/>
      <c r="AP573" s="170"/>
      <c r="AQ573" s="170"/>
      <c r="AR573" s="170"/>
      <c r="AS573" s="170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0"/>
      <c r="BD573" s="170"/>
      <c r="BE573" s="170"/>
      <c r="BF573" s="170"/>
      <c r="BG573" s="170"/>
      <c r="BH573" s="170"/>
      <c r="BI573" s="170"/>
      <c r="BJ573" s="170"/>
      <c r="BK573" s="170"/>
      <c r="BL573" s="170"/>
      <c r="BM573" s="170"/>
      <c r="BN573" s="170"/>
      <c r="BO573" s="170"/>
      <c r="BP573" s="170"/>
      <c r="BQ573" s="170"/>
      <c r="BR573" s="170"/>
      <c r="BS573" s="170"/>
      <c r="BT573" s="170"/>
      <c r="BU573" s="170"/>
      <c r="BV573" s="170"/>
      <c r="BW573" s="170"/>
      <c r="BX573" s="170"/>
      <c r="BY573" s="170"/>
      <c r="BZ573" s="170"/>
    </row>
    <row r="574" spans="1:78">
      <c r="A574" s="170"/>
      <c r="B574" s="170"/>
      <c r="C574" s="170"/>
      <c r="D574" s="170"/>
      <c r="E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  <c r="AB574" s="170"/>
      <c r="AC574" s="170"/>
      <c r="AD574" s="170"/>
      <c r="AE574" s="170"/>
      <c r="AF574" s="170"/>
      <c r="AG574" s="170"/>
      <c r="AH574" s="170"/>
      <c r="AI574" s="170"/>
      <c r="AJ574" s="170"/>
      <c r="AK574" s="170"/>
      <c r="AL574" s="170"/>
      <c r="AM574" s="170"/>
      <c r="AN574" s="170"/>
      <c r="AO574" s="170"/>
      <c r="AP574" s="170"/>
      <c r="AQ574" s="170"/>
      <c r="AR574" s="170"/>
      <c r="AS574" s="170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0"/>
      <c r="BD574" s="170"/>
      <c r="BE574" s="170"/>
      <c r="BF574" s="170"/>
      <c r="BG574" s="170"/>
      <c r="BH574" s="170"/>
      <c r="BI574" s="170"/>
      <c r="BJ574" s="170"/>
      <c r="BK574" s="170"/>
      <c r="BL574" s="170"/>
      <c r="BM574" s="170"/>
      <c r="BN574" s="170"/>
      <c r="BO574" s="170"/>
      <c r="BP574" s="170"/>
      <c r="BQ574" s="170"/>
      <c r="BR574" s="170"/>
      <c r="BS574" s="170"/>
      <c r="BT574" s="170"/>
      <c r="BU574" s="170"/>
      <c r="BV574" s="170"/>
      <c r="BW574" s="170"/>
      <c r="BX574" s="170"/>
      <c r="BY574" s="170"/>
      <c r="BZ574" s="170"/>
    </row>
    <row r="575" spans="1:78">
      <c r="A575" s="170"/>
      <c r="B575" s="170"/>
      <c r="C575" s="170"/>
      <c r="D575" s="170"/>
      <c r="E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  <c r="AA575" s="170"/>
      <c r="AB575" s="170"/>
      <c r="AC575" s="170"/>
      <c r="AD575" s="170"/>
      <c r="AE575" s="170"/>
      <c r="AF575" s="170"/>
      <c r="AG575" s="170"/>
      <c r="AH575" s="170"/>
      <c r="AI575" s="170"/>
      <c r="AJ575" s="170"/>
      <c r="AK575" s="170"/>
      <c r="AL575" s="170"/>
      <c r="AM575" s="170"/>
      <c r="AN575" s="170"/>
      <c r="AO575" s="170"/>
      <c r="AP575" s="170"/>
      <c r="AQ575" s="170"/>
      <c r="AR575" s="170"/>
      <c r="AS575" s="170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0"/>
      <c r="BD575" s="170"/>
      <c r="BE575" s="170"/>
      <c r="BF575" s="170"/>
      <c r="BG575" s="170"/>
      <c r="BH575" s="170"/>
      <c r="BI575" s="170"/>
      <c r="BJ575" s="170"/>
      <c r="BK575" s="170"/>
      <c r="BL575" s="170"/>
      <c r="BM575" s="170"/>
      <c r="BN575" s="170"/>
      <c r="BO575" s="170"/>
      <c r="BP575" s="170"/>
      <c r="BQ575" s="170"/>
      <c r="BR575" s="170"/>
      <c r="BS575" s="170"/>
      <c r="BT575" s="170"/>
      <c r="BU575" s="170"/>
      <c r="BV575" s="170"/>
      <c r="BW575" s="170"/>
      <c r="BX575" s="170"/>
      <c r="BY575" s="170"/>
      <c r="BZ575" s="170"/>
    </row>
    <row r="576" spans="1:78">
      <c r="A576" s="170"/>
      <c r="B576" s="170"/>
      <c r="C576" s="170"/>
      <c r="D576" s="170"/>
      <c r="E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  <c r="AA576" s="170"/>
      <c r="AB576" s="170"/>
      <c r="AC576" s="170"/>
      <c r="AD576" s="170"/>
      <c r="AE576" s="170"/>
      <c r="AF576" s="170"/>
      <c r="AG576" s="170"/>
      <c r="AH576" s="170"/>
      <c r="AI576" s="170"/>
      <c r="AJ576" s="170"/>
      <c r="AK576" s="170"/>
      <c r="AL576" s="170"/>
      <c r="AM576" s="170"/>
      <c r="AN576" s="170"/>
      <c r="AO576" s="170"/>
      <c r="AP576" s="170"/>
      <c r="AQ576" s="170"/>
      <c r="AR576" s="170"/>
      <c r="AS576" s="170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0"/>
      <c r="BD576" s="170"/>
      <c r="BE576" s="170"/>
      <c r="BF576" s="170"/>
      <c r="BG576" s="170"/>
      <c r="BH576" s="170"/>
      <c r="BI576" s="170"/>
      <c r="BJ576" s="170"/>
      <c r="BK576" s="170"/>
      <c r="BL576" s="170"/>
      <c r="BM576" s="170"/>
      <c r="BN576" s="170"/>
      <c r="BO576" s="170"/>
      <c r="BP576" s="170"/>
      <c r="BQ576" s="170"/>
      <c r="BR576" s="170"/>
      <c r="BS576" s="170"/>
      <c r="BT576" s="170"/>
      <c r="BU576" s="170"/>
      <c r="BV576" s="170"/>
      <c r="BW576" s="170"/>
      <c r="BX576" s="170"/>
      <c r="BY576" s="170"/>
      <c r="BZ576" s="170"/>
    </row>
    <row r="577" spans="1:78">
      <c r="A577" s="170"/>
      <c r="B577" s="170"/>
      <c r="C577" s="170"/>
      <c r="D577" s="170"/>
      <c r="E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  <c r="AA577" s="170"/>
      <c r="AB577" s="170"/>
      <c r="AC577" s="170"/>
      <c r="AD577" s="170"/>
      <c r="AE577" s="170"/>
      <c r="AF577" s="170"/>
      <c r="AG577" s="170"/>
      <c r="AH577" s="170"/>
      <c r="AI577" s="170"/>
      <c r="AJ577" s="170"/>
      <c r="AK577" s="170"/>
      <c r="AL577" s="170"/>
      <c r="AM577" s="170"/>
      <c r="AN577" s="170"/>
      <c r="AO577" s="170"/>
      <c r="AP577" s="170"/>
      <c r="AQ577" s="170"/>
      <c r="AR577" s="170"/>
      <c r="AS577" s="170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0"/>
      <c r="BD577" s="170"/>
      <c r="BE577" s="170"/>
      <c r="BF577" s="170"/>
      <c r="BG577" s="170"/>
      <c r="BH577" s="170"/>
      <c r="BI577" s="170"/>
      <c r="BJ577" s="170"/>
      <c r="BK577" s="170"/>
      <c r="BL577" s="170"/>
      <c r="BM577" s="170"/>
      <c r="BN577" s="170"/>
      <c r="BO577" s="170"/>
      <c r="BP577" s="170"/>
      <c r="BQ577" s="170"/>
      <c r="BR577" s="170"/>
      <c r="BS577" s="170"/>
      <c r="BT577" s="170"/>
      <c r="BU577" s="170"/>
      <c r="BV577" s="170"/>
      <c r="BW577" s="170"/>
      <c r="BX577" s="170"/>
      <c r="BY577" s="170"/>
      <c r="BZ577" s="170"/>
    </row>
    <row r="578" spans="1:78">
      <c r="A578" s="170"/>
      <c r="B578" s="170"/>
      <c r="C578" s="170"/>
      <c r="D578" s="170"/>
      <c r="E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  <c r="AA578" s="170"/>
      <c r="AB578" s="170"/>
      <c r="AC578" s="170"/>
      <c r="AD578" s="170"/>
      <c r="AE578" s="170"/>
      <c r="AF578" s="170"/>
      <c r="AG578" s="170"/>
      <c r="AH578" s="170"/>
      <c r="AI578" s="170"/>
      <c r="AJ578" s="170"/>
      <c r="AK578" s="170"/>
      <c r="AL578" s="170"/>
      <c r="AM578" s="170"/>
      <c r="AN578" s="170"/>
      <c r="AO578" s="170"/>
      <c r="AP578" s="170"/>
      <c r="AQ578" s="170"/>
      <c r="AR578" s="170"/>
      <c r="AS578" s="170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0"/>
      <c r="BD578" s="170"/>
      <c r="BE578" s="170"/>
      <c r="BF578" s="170"/>
      <c r="BG578" s="170"/>
      <c r="BH578" s="170"/>
      <c r="BI578" s="170"/>
      <c r="BJ578" s="170"/>
      <c r="BK578" s="170"/>
      <c r="BL578" s="170"/>
      <c r="BM578" s="170"/>
      <c r="BN578" s="170"/>
      <c r="BO578" s="170"/>
      <c r="BP578" s="170"/>
      <c r="BQ578" s="170"/>
      <c r="BR578" s="170"/>
      <c r="BS578" s="170"/>
      <c r="BT578" s="170"/>
      <c r="BU578" s="170"/>
      <c r="BV578" s="170"/>
      <c r="BW578" s="170"/>
      <c r="BX578" s="170"/>
      <c r="BY578" s="170"/>
      <c r="BZ578" s="170"/>
    </row>
    <row r="579" spans="1:78"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</row>
    <row r="580" spans="1:78"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</row>
    <row r="581" spans="1:78">
      <c r="A581" s="170"/>
      <c r="B581" s="170"/>
      <c r="C581" s="170"/>
      <c r="D581" s="170"/>
      <c r="E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  <c r="AA581" s="170"/>
      <c r="AB581" s="170"/>
      <c r="AC581" s="170"/>
      <c r="AD581" s="170"/>
      <c r="AE581" s="170"/>
      <c r="AF581" s="170"/>
      <c r="AG581" s="170"/>
      <c r="AH581" s="170"/>
      <c r="AI581" s="170"/>
      <c r="AJ581" s="170"/>
      <c r="AK581" s="170"/>
      <c r="AL581" s="170"/>
      <c r="AM581" s="170"/>
      <c r="AN581" s="170"/>
      <c r="AO581" s="170"/>
      <c r="AP581" s="170"/>
      <c r="AQ581" s="170"/>
      <c r="AR581" s="170"/>
      <c r="AS581" s="170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0"/>
      <c r="BD581" s="170"/>
      <c r="BE581" s="170"/>
      <c r="BF581" s="170"/>
      <c r="BG581" s="170"/>
      <c r="BH581" s="170"/>
      <c r="BI581" s="170"/>
      <c r="BJ581" s="170"/>
      <c r="BK581" s="170"/>
      <c r="BL581" s="170"/>
      <c r="BM581" s="170"/>
      <c r="BN581" s="170"/>
      <c r="BO581" s="170"/>
      <c r="BP581" s="170"/>
      <c r="BQ581" s="170"/>
      <c r="BR581" s="170"/>
      <c r="BS581" s="170"/>
      <c r="BT581" s="170"/>
      <c r="BU581" s="170"/>
      <c r="BV581" s="170"/>
      <c r="BW581" s="170"/>
      <c r="BX581" s="170"/>
      <c r="BY581" s="170"/>
      <c r="BZ581" s="170"/>
    </row>
    <row r="582" spans="1:78">
      <c r="A582" s="170"/>
      <c r="B582" s="170"/>
      <c r="C582" s="170"/>
      <c r="D582" s="170"/>
      <c r="E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  <c r="AA582" s="170"/>
      <c r="AB582" s="170"/>
      <c r="AC582" s="170"/>
      <c r="AD582" s="170"/>
      <c r="AE582" s="170"/>
      <c r="AF582" s="170"/>
      <c r="AG582" s="170"/>
      <c r="AH582" s="170"/>
      <c r="AI582" s="170"/>
      <c r="AJ582" s="170"/>
      <c r="AK582" s="170"/>
      <c r="AL582" s="170"/>
      <c r="AM582" s="170"/>
      <c r="AN582" s="170"/>
      <c r="AO582" s="170"/>
      <c r="AP582" s="170"/>
      <c r="AQ582" s="170"/>
      <c r="AR582" s="170"/>
      <c r="AS582" s="170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0"/>
      <c r="BD582" s="170"/>
      <c r="BE582" s="170"/>
      <c r="BF582" s="170"/>
      <c r="BG582" s="170"/>
      <c r="BH582" s="170"/>
      <c r="BI582" s="170"/>
      <c r="BJ582" s="170"/>
      <c r="BK582" s="170"/>
      <c r="BL582" s="170"/>
      <c r="BM582" s="170"/>
      <c r="BN582" s="170"/>
      <c r="BO582" s="170"/>
      <c r="BP582" s="170"/>
      <c r="BQ582" s="170"/>
      <c r="BR582" s="170"/>
      <c r="BS582" s="170"/>
      <c r="BT582" s="170"/>
      <c r="BU582" s="170"/>
      <c r="BV582" s="170"/>
      <c r="BW582" s="170"/>
      <c r="BX582" s="170"/>
      <c r="BY582" s="170"/>
      <c r="BZ582" s="170"/>
    </row>
    <row r="583" spans="1:78">
      <c r="A583" s="170"/>
      <c r="B583" s="170"/>
      <c r="C583" s="170"/>
      <c r="D583" s="170"/>
      <c r="E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  <c r="AA583" s="170"/>
      <c r="AB583" s="170"/>
      <c r="AC583" s="170"/>
      <c r="AD583" s="170"/>
      <c r="AE583" s="170"/>
      <c r="AF583" s="170"/>
      <c r="AG583" s="170"/>
      <c r="AH583" s="170"/>
      <c r="AI583" s="170"/>
      <c r="AJ583" s="170"/>
      <c r="AK583" s="170"/>
      <c r="AL583" s="170"/>
      <c r="AM583" s="170"/>
      <c r="AN583" s="170"/>
      <c r="AO583" s="170"/>
      <c r="AP583" s="170"/>
      <c r="AQ583" s="170"/>
      <c r="AR583" s="170"/>
      <c r="AS583" s="170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0"/>
      <c r="BD583" s="170"/>
      <c r="BE583" s="170"/>
      <c r="BF583" s="170"/>
      <c r="BG583" s="170"/>
      <c r="BH583" s="170"/>
      <c r="BI583" s="170"/>
      <c r="BJ583" s="170"/>
      <c r="BK583" s="170"/>
      <c r="BL583" s="170"/>
      <c r="BM583" s="170"/>
      <c r="BN583" s="170"/>
      <c r="BO583" s="170"/>
      <c r="BP583" s="170"/>
      <c r="BQ583" s="170"/>
      <c r="BR583" s="170"/>
      <c r="BS583" s="170"/>
      <c r="BT583" s="170"/>
      <c r="BU583" s="170"/>
      <c r="BV583" s="170"/>
      <c r="BW583" s="170"/>
      <c r="BX583" s="170"/>
      <c r="BY583" s="170"/>
      <c r="BZ583" s="170"/>
    </row>
    <row r="584" spans="1:78">
      <c r="A584" s="170"/>
      <c r="B584" s="170"/>
      <c r="C584" s="170"/>
      <c r="D584" s="170"/>
      <c r="E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  <c r="AA584" s="170"/>
      <c r="AB584" s="170"/>
      <c r="AC584" s="170"/>
      <c r="AD584" s="170"/>
      <c r="AE584" s="170"/>
      <c r="AF584" s="170"/>
      <c r="AG584" s="170"/>
      <c r="AH584" s="170"/>
      <c r="AI584" s="170"/>
      <c r="AJ584" s="170"/>
      <c r="AK584" s="170"/>
      <c r="AL584" s="170"/>
      <c r="AM584" s="170"/>
      <c r="AN584" s="170"/>
      <c r="AO584" s="170"/>
      <c r="AP584" s="170"/>
      <c r="AQ584" s="170"/>
      <c r="AR584" s="170"/>
      <c r="AS584" s="170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0"/>
      <c r="BD584" s="170"/>
      <c r="BE584" s="170"/>
      <c r="BF584" s="170"/>
      <c r="BG584" s="170"/>
      <c r="BH584" s="170"/>
      <c r="BI584" s="170"/>
      <c r="BJ584" s="170"/>
      <c r="BK584" s="170"/>
      <c r="BL584" s="170"/>
      <c r="BM584" s="170"/>
      <c r="BN584" s="170"/>
      <c r="BO584" s="170"/>
      <c r="BP584" s="170"/>
      <c r="BQ584" s="170"/>
      <c r="BR584" s="170"/>
      <c r="BS584" s="170"/>
      <c r="BT584" s="170"/>
      <c r="BU584" s="170"/>
      <c r="BV584" s="170"/>
      <c r="BW584" s="170"/>
      <c r="BX584" s="170"/>
      <c r="BY584" s="170"/>
      <c r="BZ584" s="170"/>
    </row>
    <row r="585" spans="1:78">
      <c r="A585" s="170"/>
      <c r="B585" s="170"/>
      <c r="C585" s="170"/>
      <c r="D585" s="170"/>
      <c r="E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  <c r="AA585" s="170"/>
      <c r="AB585" s="170"/>
      <c r="AC585" s="170"/>
      <c r="AD585" s="170"/>
      <c r="AE585" s="170"/>
      <c r="AF585" s="170"/>
      <c r="AG585" s="170"/>
      <c r="AH585" s="170"/>
      <c r="AI585" s="170"/>
      <c r="AJ585" s="170"/>
      <c r="AK585" s="170"/>
      <c r="AL585" s="170"/>
      <c r="AM585" s="170"/>
      <c r="AN585" s="170"/>
      <c r="AO585" s="170"/>
      <c r="AP585" s="170"/>
      <c r="AQ585" s="170"/>
      <c r="AR585" s="170"/>
      <c r="AS585" s="170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0"/>
      <c r="BD585" s="170"/>
      <c r="BE585" s="170"/>
      <c r="BF585" s="170"/>
      <c r="BG585" s="170"/>
      <c r="BH585" s="170"/>
      <c r="BI585" s="170"/>
      <c r="BJ585" s="170"/>
      <c r="BK585" s="170"/>
      <c r="BL585" s="170"/>
      <c r="BM585" s="170"/>
      <c r="BN585" s="170"/>
      <c r="BO585" s="170"/>
      <c r="BP585" s="170"/>
      <c r="BQ585" s="170"/>
      <c r="BR585" s="170"/>
      <c r="BS585" s="170"/>
      <c r="BT585" s="170"/>
      <c r="BU585" s="170"/>
      <c r="BV585" s="170"/>
      <c r="BW585" s="170"/>
      <c r="BX585" s="170"/>
      <c r="BY585" s="170"/>
      <c r="BZ585" s="170"/>
    </row>
    <row r="586" spans="1:78">
      <c r="A586" s="170"/>
      <c r="B586" s="170"/>
      <c r="C586" s="170"/>
      <c r="D586" s="170"/>
      <c r="E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  <c r="AA586" s="170"/>
      <c r="AB586" s="170"/>
      <c r="AC586" s="170"/>
      <c r="AD586" s="170"/>
      <c r="AE586" s="170"/>
      <c r="AF586" s="170"/>
      <c r="AG586" s="170"/>
      <c r="AH586" s="170"/>
      <c r="AI586" s="170"/>
      <c r="AJ586" s="170"/>
      <c r="AK586" s="170"/>
      <c r="AL586" s="170"/>
      <c r="AM586" s="170"/>
      <c r="AN586" s="170"/>
      <c r="AO586" s="170"/>
      <c r="AP586" s="170"/>
      <c r="AQ586" s="170"/>
      <c r="AR586" s="170"/>
      <c r="AS586" s="170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0"/>
      <c r="BD586" s="170"/>
      <c r="BE586" s="170"/>
      <c r="BF586" s="170"/>
      <c r="BG586" s="170"/>
      <c r="BH586" s="170"/>
      <c r="BI586" s="170"/>
      <c r="BJ586" s="170"/>
      <c r="BK586" s="170"/>
      <c r="BL586" s="170"/>
      <c r="BM586" s="170"/>
      <c r="BN586" s="170"/>
      <c r="BO586" s="170"/>
      <c r="BP586" s="170"/>
      <c r="BQ586" s="170"/>
      <c r="BR586" s="170"/>
      <c r="BS586" s="170"/>
      <c r="BT586" s="170"/>
      <c r="BU586" s="170"/>
      <c r="BV586" s="170"/>
      <c r="BW586" s="170"/>
      <c r="BX586" s="170"/>
      <c r="BY586" s="170"/>
      <c r="BZ586" s="170"/>
    </row>
    <row r="587" spans="1:78">
      <c r="A587" s="170"/>
      <c r="B587" s="170"/>
      <c r="C587" s="170"/>
      <c r="D587" s="170"/>
      <c r="E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  <c r="AA587" s="170"/>
      <c r="AB587" s="170"/>
      <c r="AC587" s="170"/>
      <c r="AD587" s="170"/>
      <c r="AE587" s="170"/>
      <c r="AF587" s="170"/>
      <c r="AG587" s="170"/>
      <c r="AH587" s="170"/>
      <c r="AI587" s="170"/>
      <c r="AJ587" s="170"/>
      <c r="AK587" s="170"/>
      <c r="AL587" s="170"/>
      <c r="AM587" s="170"/>
      <c r="AN587" s="170"/>
      <c r="AO587" s="170"/>
      <c r="AP587" s="170"/>
      <c r="AQ587" s="170"/>
      <c r="AR587" s="170"/>
      <c r="AS587" s="170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0"/>
      <c r="BD587" s="170"/>
      <c r="BE587" s="170"/>
      <c r="BF587" s="170"/>
      <c r="BG587" s="170"/>
      <c r="BH587" s="170"/>
      <c r="BI587" s="170"/>
      <c r="BJ587" s="170"/>
      <c r="BK587" s="170"/>
      <c r="BL587" s="170"/>
      <c r="BM587" s="170"/>
      <c r="BN587" s="170"/>
      <c r="BO587" s="170"/>
      <c r="BP587" s="170"/>
      <c r="BQ587" s="170"/>
      <c r="BR587" s="170"/>
      <c r="BS587" s="170"/>
      <c r="BT587" s="170"/>
      <c r="BU587" s="170"/>
      <c r="BV587" s="170"/>
      <c r="BW587" s="170"/>
      <c r="BX587" s="170"/>
      <c r="BY587" s="170"/>
      <c r="BZ587" s="170"/>
    </row>
    <row r="588" spans="1:78">
      <c r="A588" s="170"/>
      <c r="B588" s="170"/>
      <c r="C588" s="170"/>
      <c r="D588" s="170"/>
      <c r="E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  <c r="AA588" s="170"/>
      <c r="AB588" s="170"/>
      <c r="AC588" s="170"/>
      <c r="AD588" s="170"/>
      <c r="AE588" s="170"/>
      <c r="AF588" s="170"/>
      <c r="AG588" s="170"/>
      <c r="AH588" s="170"/>
      <c r="AI588" s="170"/>
      <c r="AJ588" s="170"/>
      <c r="AK588" s="170"/>
      <c r="AL588" s="170"/>
      <c r="AM588" s="170"/>
      <c r="AN588" s="170"/>
      <c r="AO588" s="170"/>
      <c r="AP588" s="170"/>
      <c r="AQ588" s="170"/>
      <c r="AR588" s="170"/>
      <c r="AS588" s="170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0"/>
      <c r="BD588" s="170"/>
      <c r="BE588" s="170"/>
      <c r="BF588" s="170"/>
      <c r="BG588" s="170"/>
      <c r="BH588" s="170"/>
      <c r="BI588" s="170"/>
      <c r="BJ588" s="170"/>
      <c r="BK588" s="170"/>
      <c r="BL588" s="170"/>
      <c r="BM588" s="170"/>
      <c r="BN588" s="170"/>
      <c r="BO588" s="170"/>
      <c r="BP588" s="170"/>
      <c r="BQ588" s="170"/>
      <c r="BR588" s="170"/>
      <c r="BS588" s="170"/>
      <c r="BT588" s="170"/>
      <c r="BU588" s="170"/>
      <c r="BV588" s="170"/>
      <c r="BW588" s="170"/>
      <c r="BX588" s="170"/>
      <c r="BY588" s="170"/>
      <c r="BZ588" s="170"/>
    </row>
    <row r="589" spans="1:78">
      <c r="A589" s="170"/>
      <c r="B589" s="170"/>
      <c r="C589" s="170"/>
      <c r="D589" s="170"/>
      <c r="E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  <c r="AA589" s="170"/>
      <c r="AB589" s="170"/>
      <c r="AC589" s="170"/>
      <c r="AD589" s="170"/>
      <c r="AE589" s="170"/>
      <c r="AF589" s="170"/>
      <c r="AG589" s="170"/>
      <c r="AH589" s="170"/>
      <c r="AI589" s="170"/>
      <c r="AJ589" s="170"/>
      <c r="AK589" s="170"/>
      <c r="AL589" s="170"/>
      <c r="AM589" s="170"/>
      <c r="AN589" s="170"/>
      <c r="AO589" s="170"/>
      <c r="AP589" s="170"/>
      <c r="AQ589" s="170"/>
      <c r="AR589" s="170"/>
      <c r="AS589" s="170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0"/>
      <c r="BD589" s="170"/>
      <c r="BE589" s="170"/>
      <c r="BF589" s="170"/>
      <c r="BG589" s="170"/>
      <c r="BH589" s="170"/>
      <c r="BI589" s="170"/>
      <c r="BJ589" s="170"/>
      <c r="BK589" s="170"/>
      <c r="BL589" s="170"/>
      <c r="BM589" s="170"/>
      <c r="BN589" s="170"/>
      <c r="BO589" s="170"/>
      <c r="BP589" s="170"/>
      <c r="BQ589" s="170"/>
      <c r="BR589" s="170"/>
      <c r="BS589" s="170"/>
      <c r="BT589" s="170"/>
      <c r="BU589" s="170"/>
      <c r="BV589" s="170"/>
      <c r="BW589" s="170"/>
      <c r="BX589" s="170"/>
      <c r="BY589" s="170"/>
      <c r="BZ589" s="170"/>
    </row>
    <row r="590" spans="1:78">
      <c r="A590" s="170"/>
      <c r="B590" s="170"/>
      <c r="C590" s="170"/>
      <c r="D590" s="170"/>
      <c r="E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70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0"/>
      <c r="BD590" s="170"/>
      <c r="BE590" s="170"/>
      <c r="BF590" s="170"/>
      <c r="BG590" s="170"/>
      <c r="BH590" s="170"/>
      <c r="BI590" s="170"/>
      <c r="BJ590" s="170"/>
      <c r="BK590" s="170"/>
      <c r="BL590" s="170"/>
      <c r="BM590" s="170"/>
      <c r="BN590" s="170"/>
      <c r="BO590" s="170"/>
      <c r="BP590" s="170"/>
      <c r="BQ590" s="170"/>
      <c r="BR590" s="170"/>
      <c r="BS590" s="170"/>
      <c r="BT590" s="170"/>
      <c r="BU590" s="170"/>
      <c r="BV590" s="170"/>
      <c r="BW590" s="170"/>
      <c r="BX590" s="170"/>
      <c r="BY590" s="170"/>
      <c r="BZ590" s="170"/>
    </row>
    <row r="591" spans="1:78"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</row>
    <row r="592" spans="1:78"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</row>
    <row r="593" spans="1:78">
      <c r="A593" s="170"/>
      <c r="B593" s="170"/>
      <c r="C593" s="170"/>
      <c r="D593" s="170"/>
      <c r="E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70"/>
      <c r="AF593" s="170"/>
      <c r="AG593" s="170"/>
      <c r="AH593" s="170"/>
      <c r="AI593" s="170"/>
      <c r="AJ593" s="170"/>
      <c r="AK593" s="170"/>
      <c r="AL593" s="170"/>
      <c r="AM593" s="170"/>
      <c r="AN593" s="170"/>
      <c r="AO593" s="170"/>
      <c r="AP593" s="170"/>
      <c r="AQ593" s="170"/>
      <c r="AR593" s="170"/>
      <c r="AS593" s="170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0"/>
      <c r="BD593" s="170"/>
      <c r="BE593" s="170"/>
      <c r="BF593" s="170"/>
      <c r="BG593" s="170"/>
      <c r="BH593" s="170"/>
      <c r="BI593" s="170"/>
      <c r="BJ593" s="170"/>
      <c r="BK593" s="170"/>
      <c r="BL593" s="170"/>
      <c r="BM593" s="170"/>
      <c r="BN593" s="170"/>
      <c r="BO593" s="170"/>
      <c r="BP593" s="170"/>
      <c r="BQ593" s="170"/>
      <c r="BR593" s="170"/>
      <c r="BS593" s="170"/>
      <c r="BT593" s="170"/>
      <c r="BU593" s="170"/>
      <c r="BV593" s="170"/>
      <c r="BW593" s="170"/>
      <c r="BX593" s="170"/>
      <c r="BY593" s="170"/>
      <c r="BZ593" s="170"/>
    </row>
    <row r="594" spans="1:78">
      <c r="A594" s="170"/>
      <c r="B594" s="170"/>
      <c r="C594" s="170"/>
      <c r="D594" s="170"/>
      <c r="E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70"/>
      <c r="AF594" s="170"/>
      <c r="AG594" s="170"/>
      <c r="AH594" s="170"/>
      <c r="AI594" s="170"/>
      <c r="AJ594" s="170"/>
      <c r="AK594" s="170"/>
      <c r="AL594" s="170"/>
      <c r="AM594" s="170"/>
      <c r="AN594" s="170"/>
      <c r="AO594" s="170"/>
      <c r="AP594" s="170"/>
      <c r="AQ594" s="170"/>
      <c r="AR594" s="170"/>
      <c r="AS594" s="170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0"/>
      <c r="BD594" s="170"/>
      <c r="BE594" s="170"/>
      <c r="BF594" s="170"/>
      <c r="BG594" s="170"/>
      <c r="BH594" s="170"/>
      <c r="BI594" s="170"/>
      <c r="BJ594" s="170"/>
      <c r="BK594" s="170"/>
      <c r="BL594" s="170"/>
      <c r="BM594" s="170"/>
      <c r="BN594" s="170"/>
      <c r="BO594" s="170"/>
      <c r="BP594" s="170"/>
      <c r="BQ594" s="170"/>
      <c r="BR594" s="170"/>
      <c r="BS594" s="170"/>
      <c r="BT594" s="170"/>
      <c r="BU594" s="170"/>
      <c r="BV594" s="170"/>
      <c r="BW594" s="170"/>
      <c r="BX594" s="170"/>
      <c r="BY594" s="170"/>
      <c r="BZ594" s="170"/>
    </row>
    <row r="595" spans="1:78">
      <c r="A595" s="170"/>
      <c r="B595" s="170"/>
      <c r="C595" s="170"/>
      <c r="D595" s="170"/>
      <c r="E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70"/>
      <c r="AF595" s="170"/>
      <c r="AG595" s="170"/>
      <c r="AH595" s="170"/>
      <c r="AI595" s="170"/>
      <c r="AJ595" s="170"/>
      <c r="AK595" s="170"/>
      <c r="AL595" s="170"/>
      <c r="AM595" s="170"/>
      <c r="AN595" s="170"/>
      <c r="AO595" s="170"/>
      <c r="AP595" s="170"/>
      <c r="AQ595" s="170"/>
      <c r="AR595" s="170"/>
      <c r="AS595" s="170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0"/>
      <c r="BD595" s="170"/>
      <c r="BE595" s="170"/>
      <c r="BF595" s="170"/>
      <c r="BG595" s="170"/>
      <c r="BH595" s="170"/>
      <c r="BI595" s="170"/>
      <c r="BJ595" s="170"/>
      <c r="BK595" s="170"/>
      <c r="BL595" s="170"/>
      <c r="BM595" s="170"/>
      <c r="BN595" s="170"/>
      <c r="BO595" s="170"/>
      <c r="BP595" s="170"/>
      <c r="BQ595" s="170"/>
      <c r="BR595" s="170"/>
      <c r="BS595" s="170"/>
      <c r="BT595" s="170"/>
      <c r="BU595" s="170"/>
      <c r="BV595" s="170"/>
      <c r="BW595" s="170"/>
      <c r="BX595" s="170"/>
      <c r="BY595" s="170"/>
      <c r="BZ595" s="170"/>
    </row>
    <row r="596" spans="1:78"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</row>
    <row r="597" spans="1:78"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</row>
    <row r="598" spans="1:78"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</row>
    <row r="599" spans="1:78"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</row>
    <row r="600" spans="1:78"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</row>
    <row r="601" spans="1:78"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</row>
    <row r="602" spans="1:78"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</row>
    <row r="603" spans="1:78"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</row>
    <row r="604" spans="1:78"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</row>
    <row r="605" spans="1:78"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</row>
    <row r="606" spans="1:78"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</row>
    <row r="607" spans="1:78"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</row>
    <row r="608" spans="1:78"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</row>
    <row r="609" spans="2:12"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</row>
    <row r="610" spans="2:12"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</row>
    <row r="611" spans="2:12"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</row>
    <row r="612" spans="2:12"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</row>
    <row r="613" spans="2:12"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</row>
    <row r="614" spans="2:12"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</row>
    <row r="615" spans="2:12"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</row>
    <row r="616" spans="2:12"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</row>
    <row r="617" spans="2:12"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</row>
    <row r="618" spans="2:12"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</row>
    <row r="619" spans="2:12"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</row>
    <row r="620" spans="2:12"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</row>
    <row r="621" spans="2:12"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</row>
    <row r="622" spans="2:12"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</row>
    <row r="623" spans="2:12"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</row>
    <row r="624" spans="2:12"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</row>
    <row r="625" spans="1:78"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</row>
    <row r="626" spans="1:78"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</row>
    <row r="627" spans="1:78"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</row>
    <row r="628" spans="1:78">
      <c r="A628" s="170"/>
      <c r="B628" s="170"/>
      <c r="C628" s="170"/>
      <c r="D628" s="170"/>
      <c r="E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70"/>
      <c r="AF628" s="170"/>
      <c r="AG628" s="170"/>
      <c r="AH628" s="170"/>
      <c r="AI628" s="170"/>
      <c r="AJ628" s="170"/>
      <c r="AK628" s="170"/>
      <c r="AL628" s="170"/>
      <c r="AM628" s="170"/>
      <c r="AN628" s="170"/>
      <c r="AO628" s="170"/>
      <c r="AP628" s="170"/>
      <c r="AQ628" s="170"/>
      <c r="AR628" s="170"/>
      <c r="AS628" s="170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0"/>
      <c r="BD628" s="170"/>
      <c r="BE628" s="170"/>
      <c r="BF628" s="170"/>
      <c r="BG628" s="170"/>
      <c r="BH628" s="170"/>
      <c r="BI628" s="170"/>
      <c r="BJ628" s="170"/>
      <c r="BK628" s="170"/>
      <c r="BL628" s="170"/>
      <c r="BM628" s="170"/>
      <c r="BN628" s="170"/>
      <c r="BO628" s="170"/>
      <c r="BP628" s="170"/>
      <c r="BQ628" s="170"/>
      <c r="BR628" s="170"/>
      <c r="BS628" s="170"/>
      <c r="BT628" s="170"/>
      <c r="BU628" s="170"/>
      <c r="BV628" s="170"/>
      <c r="BW628" s="170"/>
      <c r="BX628" s="170"/>
      <c r="BY628" s="170"/>
      <c r="BZ628" s="170"/>
    </row>
    <row r="629" spans="1:78">
      <c r="A629" s="170"/>
      <c r="B629" s="170"/>
      <c r="C629" s="170"/>
      <c r="D629" s="170"/>
      <c r="E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70"/>
      <c r="AF629" s="170"/>
      <c r="AG629" s="170"/>
      <c r="AH629" s="170"/>
      <c r="AI629" s="170"/>
      <c r="AJ629" s="170"/>
      <c r="AK629" s="170"/>
      <c r="AL629" s="170"/>
      <c r="AM629" s="170"/>
      <c r="AN629" s="170"/>
      <c r="AO629" s="170"/>
      <c r="AP629" s="170"/>
      <c r="AQ629" s="170"/>
      <c r="AR629" s="170"/>
      <c r="AS629" s="170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0"/>
      <c r="BD629" s="170"/>
      <c r="BE629" s="170"/>
      <c r="BF629" s="170"/>
      <c r="BG629" s="170"/>
      <c r="BH629" s="170"/>
      <c r="BI629" s="170"/>
      <c r="BJ629" s="170"/>
      <c r="BK629" s="170"/>
      <c r="BL629" s="170"/>
      <c r="BM629" s="170"/>
      <c r="BN629" s="170"/>
      <c r="BO629" s="170"/>
      <c r="BP629" s="170"/>
      <c r="BQ629" s="170"/>
      <c r="BR629" s="170"/>
      <c r="BS629" s="170"/>
      <c r="BT629" s="170"/>
      <c r="BU629" s="170"/>
      <c r="BV629" s="170"/>
      <c r="BW629" s="170"/>
      <c r="BX629" s="170"/>
      <c r="BY629" s="170"/>
      <c r="BZ629" s="170"/>
    </row>
    <row r="630" spans="1:78">
      <c r="A630" s="170"/>
      <c r="B630" s="170"/>
      <c r="C630" s="170"/>
      <c r="D630" s="170"/>
      <c r="E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70"/>
      <c r="AF630" s="170"/>
      <c r="AG630" s="170"/>
      <c r="AH630" s="170"/>
      <c r="AI630" s="170"/>
      <c r="AJ630" s="170"/>
      <c r="AK630" s="170"/>
      <c r="AL630" s="170"/>
      <c r="AM630" s="170"/>
      <c r="AN630" s="170"/>
      <c r="AO630" s="170"/>
      <c r="AP630" s="170"/>
      <c r="AQ630" s="170"/>
      <c r="AR630" s="170"/>
      <c r="AS630" s="170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0"/>
      <c r="BD630" s="170"/>
      <c r="BE630" s="170"/>
      <c r="BF630" s="170"/>
      <c r="BG630" s="170"/>
      <c r="BH630" s="170"/>
      <c r="BI630" s="170"/>
      <c r="BJ630" s="170"/>
      <c r="BK630" s="170"/>
      <c r="BL630" s="170"/>
      <c r="BM630" s="170"/>
      <c r="BN630" s="170"/>
      <c r="BO630" s="170"/>
      <c r="BP630" s="170"/>
      <c r="BQ630" s="170"/>
      <c r="BR630" s="170"/>
      <c r="BS630" s="170"/>
      <c r="BT630" s="170"/>
      <c r="BU630" s="170"/>
      <c r="BV630" s="170"/>
      <c r="BW630" s="170"/>
      <c r="BX630" s="170"/>
      <c r="BY630" s="170"/>
      <c r="BZ630" s="170"/>
    </row>
    <row r="631" spans="1:78">
      <c r="A631" s="170"/>
      <c r="B631" s="170"/>
      <c r="C631" s="170"/>
      <c r="D631" s="170"/>
      <c r="E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70"/>
      <c r="AF631" s="170"/>
      <c r="AG631" s="170"/>
      <c r="AH631" s="170"/>
      <c r="AI631" s="170"/>
      <c r="AJ631" s="170"/>
      <c r="AK631" s="170"/>
      <c r="AL631" s="170"/>
      <c r="AM631" s="170"/>
      <c r="AN631" s="170"/>
      <c r="AO631" s="170"/>
      <c r="AP631" s="170"/>
      <c r="AQ631" s="170"/>
      <c r="AR631" s="170"/>
      <c r="AS631" s="170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0"/>
      <c r="BD631" s="170"/>
      <c r="BE631" s="170"/>
      <c r="BF631" s="170"/>
      <c r="BG631" s="170"/>
      <c r="BH631" s="170"/>
      <c r="BI631" s="170"/>
      <c r="BJ631" s="170"/>
      <c r="BK631" s="170"/>
      <c r="BL631" s="170"/>
      <c r="BM631" s="170"/>
      <c r="BN631" s="170"/>
      <c r="BO631" s="170"/>
      <c r="BP631" s="170"/>
      <c r="BQ631" s="170"/>
      <c r="BR631" s="170"/>
      <c r="BS631" s="170"/>
      <c r="BT631" s="170"/>
      <c r="BU631" s="170"/>
      <c r="BV631" s="170"/>
      <c r="BW631" s="170"/>
      <c r="BX631" s="170"/>
      <c r="BY631" s="170"/>
      <c r="BZ631" s="170"/>
    </row>
    <row r="632" spans="1:78">
      <c r="A632" s="170"/>
      <c r="B632" s="170"/>
      <c r="C632" s="170"/>
      <c r="D632" s="170"/>
      <c r="E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70"/>
      <c r="AF632" s="170"/>
      <c r="AG632" s="170"/>
      <c r="AH632" s="170"/>
      <c r="AI632" s="170"/>
      <c r="AJ632" s="170"/>
      <c r="AK632" s="170"/>
      <c r="AL632" s="170"/>
      <c r="AM632" s="170"/>
      <c r="AN632" s="170"/>
      <c r="AO632" s="170"/>
      <c r="AP632" s="170"/>
      <c r="AQ632" s="170"/>
      <c r="AR632" s="170"/>
      <c r="AS632" s="170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0"/>
      <c r="BD632" s="170"/>
      <c r="BE632" s="170"/>
      <c r="BF632" s="170"/>
      <c r="BG632" s="170"/>
      <c r="BH632" s="170"/>
      <c r="BI632" s="170"/>
      <c r="BJ632" s="170"/>
      <c r="BK632" s="170"/>
      <c r="BL632" s="170"/>
      <c r="BM632" s="170"/>
      <c r="BN632" s="170"/>
      <c r="BO632" s="170"/>
      <c r="BP632" s="170"/>
      <c r="BQ632" s="170"/>
      <c r="BR632" s="170"/>
      <c r="BS632" s="170"/>
      <c r="BT632" s="170"/>
      <c r="BU632" s="170"/>
      <c r="BV632" s="170"/>
      <c r="BW632" s="170"/>
      <c r="BX632" s="170"/>
      <c r="BY632" s="170"/>
      <c r="BZ632" s="170"/>
    </row>
    <row r="633" spans="1:78">
      <c r="A633" s="170"/>
      <c r="B633" s="170"/>
      <c r="C633" s="170"/>
      <c r="D633" s="170"/>
      <c r="E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70"/>
      <c r="AF633" s="170"/>
      <c r="AG633" s="170"/>
      <c r="AH633" s="170"/>
      <c r="AI633" s="170"/>
      <c r="AJ633" s="170"/>
      <c r="AK633" s="170"/>
      <c r="AL633" s="170"/>
      <c r="AM633" s="170"/>
      <c r="AN633" s="170"/>
      <c r="AO633" s="170"/>
      <c r="AP633" s="170"/>
      <c r="AQ633" s="170"/>
      <c r="AR633" s="170"/>
      <c r="AS633" s="170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0"/>
      <c r="BD633" s="170"/>
      <c r="BE633" s="170"/>
      <c r="BF633" s="170"/>
      <c r="BG633" s="170"/>
      <c r="BH633" s="170"/>
      <c r="BI633" s="170"/>
      <c r="BJ633" s="170"/>
      <c r="BK633" s="170"/>
      <c r="BL633" s="170"/>
      <c r="BM633" s="170"/>
      <c r="BN633" s="170"/>
      <c r="BO633" s="170"/>
      <c r="BP633" s="170"/>
      <c r="BQ633" s="170"/>
      <c r="BR633" s="170"/>
      <c r="BS633" s="170"/>
      <c r="BT633" s="170"/>
      <c r="BU633" s="170"/>
      <c r="BV633" s="170"/>
      <c r="BW633" s="170"/>
      <c r="BX633" s="170"/>
      <c r="BY633" s="170"/>
      <c r="BZ633" s="170"/>
    </row>
    <row r="634" spans="1:78">
      <c r="A634" s="170"/>
      <c r="B634" s="170"/>
      <c r="C634" s="170"/>
      <c r="D634" s="170"/>
      <c r="E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70"/>
      <c r="AF634" s="170"/>
      <c r="AG634" s="170"/>
      <c r="AH634" s="170"/>
      <c r="AI634" s="170"/>
      <c r="AJ634" s="170"/>
      <c r="AK634" s="170"/>
      <c r="AL634" s="170"/>
      <c r="AM634" s="170"/>
      <c r="AN634" s="170"/>
      <c r="AO634" s="170"/>
      <c r="AP634" s="170"/>
      <c r="AQ634" s="170"/>
      <c r="AR634" s="170"/>
      <c r="AS634" s="170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0"/>
      <c r="BD634" s="170"/>
      <c r="BE634" s="170"/>
      <c r="BF634" s="170"/>
      <c r="BG634" s="170"/>
      <c r="BH634" s="170"/>
      <c r="BI634" s="170"/>
      <c r="BJ634" s="170"/>
      <c r="BK634" s="170"/>
      <c r="BL634" s="170"/>
      <c r="BM634" s="170"/>
      <c r="BN634" s="170"/>
      <c r="BO634" s="170"/>
      <c r="BP634" s="170"/>
      <c r="BQ634" s="170"/>
      <c r="BR634" s="170"/>
      <c r="BS634" s="170"/>
      <c r="BT634" s="170"/>
      <c r="BU634" s="170"/>
      <c r="BV634" s="170"/>
      <c r="BW634" s="170"/>
      <c r="BX634" s="170"/>
      <c r="BY634" s="170"/>
      <c r="BZ634" s="170"/>
    </row>
    <row r="635" spans="1:78"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</row>
    <row r="636" spans="1:78">
      <c r="A636" s="170"/>
      <c r="B636" s="170"/>
      <c r="C636" s="170"/>
      <c r="D636" s="170"/>
      <c r="E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  <c r="AB636" s="170"/>
      <c r="AC636" s="170"/>
      <c r="AD636" s="170"/>
      <c r="AE636" s="170"/>
      <c r="AF636" s="170"/>
      <c r="AG636" s="170"/>
      <c r="AH636" s="170"/>
      <c r="AI636" s="170"/>
      <c r="AJ636" s="170"/>
      <c r="AK636" s="170"/>
      <c r="AL636" s="170"/>
      <c r="AM636" s="170"/>
      <c r="AN636" s="170"/>
      <c r="AO636" s="170"/>
      <c r="AP636" s="170"/>
      <c r="AQ636" s="170"/>
      <c r="AR636" s="170"/>
      <c r="AS636" s="170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0"/>
      <c r="BD636" s="170"/>
      <c r="BE636" s="170"/>
      <c r="BF636" s="170"/>
      <c r="BG636" s="170"/>
      <c r="BH636" s="170"/>
      <c r="BI636" s="170"/>
      <c r="BJ636" s="170"/>
      <c r="BK636" s="170"/>
      <c r="BL636" s="170"/>
      <c r="BM636" s="170"/>
      <c r="BN636" s="170"/>
      <c r="BO636" s="170"/>
      <c r="BP636" s="170"/>
      <c r="BQ636" s="170"/>
      <c r="BR636" s="170"/>
      <c r="BS636" s="170"/>
      <c r="BT636" s="170"/>
      <c r="BU636" s="170"/>
      <c r="BV636" s="170"/>
      <c r="BW636" s="170"/>
      <c r="BX636" s="170"/>
      <c r="BY636" s="170"/>
      <c r="BZ636" s="170"/>
    </row>
    <row r="637" spans="1:78"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</row>
    <row r="638" spans="1:78"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</row>
    <row r="639" spans="1:78"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</row>
    <row r="640" spans="1:78"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</row>
    <row r="641" spans="2:12"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</row>
    <row r="642" spans="2:12"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K25"/>
  <sheetViews>
    <sheetView workbookViewId="0"/>
  </sheetViews>
  <sheetFormatPr baseColWidth="10" defaultRowHeight="14.5"/>
  <sheetData>
    <row r="1" spans="1:11" ht="21">
      <c r="A1" s="263"/>
      <c r="B1" s="263"/>
      <c r="C1" s="263"/>
      <c r="D1" s="263"/>
      <c r="E1" s="264" t="s">
        <v>219</v>
      </c>
      <c r="F1" s="263"/>
      <c r="G1" s="263"/>
      <c r="H1" s="263"/>
      <c r="I1" s="263"/>
      <c r="J1" s="263"/>
      <c r="K1" s="263"/>
    </row>
    <row r="3" spans="1:11" ht="43.5">
      <c r="A3" s="256"/>
      <c r="B3" s="257" t="s">
        <v>42</v>
      </c>
      <c r="C3" s="257" t="s">
        <v>52</v>
      </c>
      <c r="D3" s="257" t="s">
        <v>53</v>
      </c>
      <c r="E3" s="258" t="s">
        <v>32</v>
      </c>
      <c r="F3" s="258" t="s">
        <v>20</v>
      </c>
      <c r="G3" s="258" t="s">
        <v>55</v>
      </c>
      <c r="H3" s="257" t="s">
        <v>56</v>
      </c>
      <c r="I3" s="257" t="s">
        <v>57</v>
      </c>
      <c r="J3" s="257" t="s">
        <v>58</v>
      </c>
      <c r="K3" s="257" t="s">
        <v>10</v>
      </c>
    </row>
    <row r="4" spans="1:11">
      <c r="A4" s="256"/>
      <c r="B4" s="265"/>
      <c r="C4" s="265"/>
      <c r="D4" s="265"/>
      <c r="E4" s="266"/>
      <c r="F4" s="266"/>
      <c r="G4" s="266"/>
      <c r="H4" s="265"/>
      <c r="I4" s="265"/>
      <c r="J4" s="265"/>
      <c r="K4" s="265"/>
    </row>
    <row r="5" spans="1:11">
      <c r="A5" s="267" t="s">
        <v>220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</row>
    <row r="6" spans="1:11" ht="15.5">
      <c r="A6" s="262" t="s">
        <v>78</v>
      </c>
      <c r="B6" s="268">
        <v>1.3884902020173964</v>
      </c>
      <c r="C6" s="261"/>
      <c r="D6" s="261">
        <v>3.3110847535138079</v>
      </c>
      <c r="E6" s="261">
        <v>10.494994051790096</v>
      </c>
      <c r="F6" s="261"/>
      <c r="G6" s="261"/>
      <c r="H6" s="261">
        <v>1.8351247425062329</v>
      </c>
      <c r="I6" s="261">
        <v>9.9556529577361133</v>
      </c>
      <c r="J6" s="261">
        <v>1.8103380194101062</v>
      </c>
      <c r="K6" s="261">
        <v>28.795684726973754</v>
      </c>
    </row>
    <row r="7" spans="1:11" ht="15.5">
      <c r="A7" s="262" t="s">
        <v>79</v>
      </c>
      <c r="B7" s="261"/>
      <c r="C7" s="261"/>
      <c r="D7" s="268">
        <v>38.361881676283886</v>
      </c>
      <c r="E7" s="261">
        <v>8.4067737661287986E-2</v>
      </c>
      <c r="F7" s="261"/>
      <c r="G7" s="261"/>
      <c r="H7" s="261">
        <v>2.8949414869669079</v>
      </c>
      <c r="I7" s="261">
        <v>0.89186890806551777</v>
      </c>
      <c r="J7" s="261"/>
      <c r="K7" s="261">
        <v>42.232759808977598</v>
      </c>
    </row>
    <row r="8" spans="1:11">
      <c r="A8" s="259" t="s">
        <v>80</v>
      </c>
      <c r="B8" s="261">
        <v>0</v>
      </c>
      <c r="C8" s="261"/>
      <c r="D8" s="261">
        <v>6.7005679295957643</v>
      </c>
      <c r="E8" s="261">
        <v>14.533749468475101</v>
      </c>
      <c r="F8" s="261"/>
      <c r="G8" s="261"/>
      <c r="H8" s="268">
        <v>4.6160129151116731</v>
      </c>
      <c r="I8" s="261">
        <v>13.873471120627759</v>
      </c>
      <c r="J8" s="261">
        <v>1.3253610960698863</v>
      </c>
      <c r="K8" s="261">
        <v>41.049162529880178</v>
      </c>
    </row>
    <row r="9" spans="1:11">
      <c r="A9" s="259" t="s">
        <v>81</v>
      </c>
      <c r="B9" s="261">
        <v>6.1426658136617469E-2</v>
      </c>
      <c r="C9" s="261"/>
      <c r="D9" s="261">
        <v>2.294081628046909</v>
      </c>
      <c r="E9" s="261">
        <v>5.9093799275223491</v>
      </c>
      <c r="F9" s="261"/>
      <c r="G9" s="261"/>
      <c r="H9" s="268">
        <v>1.2236531460535565</v>
      </c>
      <c r="I9" s="261">
        <v>11.937063274925904</v>
      </c>
      <c r="J9" s="261">
        <v>0.53425976252893026</v>
      </c>
      <c r="K9" s="261">
        <v>21.959864397214265</v>
      </c>
    </row>
    <row r="10" spans="1:11">
      <c r="A10" s="259" t="s">
        <v>82</v>
      </c>
      <c r="B10" s="261"/>
      <c r="C10" s="261"/>
      <c r="D10" s="261">
        <v>3.371</v>
      </c>
      <c r="E10" s="261">
        <v>0.20038837309893262</v>
      </c>
      <c r="F10" s="261"/>
      <c r="G10" s="261"/>
      <c r="H10" s="261">
        <v>0.15947740517817902</v>
      </c>
      <c r="I10" s="261">
        <v>0.74651762682717115</v>
      </c>
      <c r="J10" s="261"/>
      <c r="K10" s="261">
        <v>4.4773834051042822</v>
      </c>
    </row>
    <row r="11" spans="1:11" ht="15.5">
      <c r="A11" s="260" t="s">
        <v>83</v>
      </c>
      <c r="B11" s="269">
        <v>1.4499168601540138</v>
      </c>
      <c r="C11" s="269"/>
      <c r="D11" s="269">
        <v>54.038615987440373</v>
      </c>
      <c r="E11" s="269">
        <v>31.222579558547764</v>
      </c>
      <c r="F11" s="269"/>
      <c r="G11" s="269"/>
      <c r="H11" s="269">
        <v>10.72920969581655</v>
      </c>
      <c r="I11" s="269">
        <v>37.404573888182469</v>
      </c>
      <c r="J11" s="269"/>
      <c r="K11" s="269">
        <v>134.84489599014117</v>
      </c>
    </row>
    <row r="12" spans="1:11">
      <c r="A12" s="259" t="s">
        <v>84</v>
      </c>
      <c r="B12" s="261">
        <v>0.30481003053267108</v>
      </c>
      <c r="C12" s="261"/>
      <c r="D12" s="261">
        <v>12.44809233451895</v>
      </c>
      <c r="E12" s="261">
        <v>1.1015358194081886</v>
      </c>
      <c r="F12" s="261"/>
      <c r="G12" s="261"/>
      <c r="H12" s="261"/>
      <c r="I12" s="261"/>
      <c r="J12" s="261"/>
      <c r="K12" s="261">
        <v>13.854438184459809</v>
      </c>
    </row>
    <row r="13" spans="1:11" ht="15.5">
      <c r="A13" s="260" t="s">
        <v>85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</row>
    <row r="15" spans="1:11" ht="21">
      <c r="A15" s="263"/>
      <c r="B15" s="263"/>
      <c r="C15" s="263"/>
      <c r="D15" s="263"/>
      <c r="E15" s="264" t="s">
        <v>221</v>
      </c>
      <c r="F15" s="263"/>
      <c r="G15" s="263"/>
      <c r="H15" s="263"/>
      <c r="I15" s="263"/>
      <c r="J15" s="263"/>
      <c r="K15" s="263"/>
    </row>
    <row r="17" spans="1:11">
      <c r="A17" s="267" t="s">
        <v>220</v>
      </c>
      <c r="B17" s="256"/>
      <c r="C17" s="256"/>
      <c r="D17" s="256"/>
      <c r="E17" s="256"/>
      <c r="F17" s="256"/>
      <c r="G17" s="256"/>
      <c r="H17" s="256"/>
      <c r="I17" s="256"/>
      <c r="J17" s="256"/>
      <c r="K17" s="256"/>
    </row>
    <row r="18" spans="1:11" ht="15.5">
      <c r="A18" s="262" t="s">
        <v>78</v>
      </c>
      <c r="B18" s="261">
        <v>-0.33918093707456642</v>
      </c>
      <c r="C18" s="261"/>
      <c r="D18" s="261">
        <v>-0.95447529303598744</v>
      </c>
      <c r="E18" s="261">
        <v>-0.29115755854525993</v>
      </c>
      <c r="F18" s="261"/>
      <c r="G18" s="261"/>
      <c r="H18" s="261">
        <v>-0.46957109771785044</v>
      </c>
      <c r="I18" s="261">
        <v>0.11389920249186147</v>
      </c>
      <c r="J18" s="261">
        <v>-0.66880329575923958</v>
      </c>
      <c r="K18" s="261">
        <v>-2.87286801490065</v>
      </c>
    </row>
    <row r="19" spans="1:11" ht="15.5">
      <c r="A19" s="262" t="s">
        <v>79</v>
      </c>
      <c r="B19" s="261">
        <v>0</v>
      </c>
      <c r="C19" s="261"/>
      <c r="D19" s="270">
        <v>1.445118323716116</v>
      </c>
      <c r="E19" s="261">
        <v>-1.7852311566213724E-2</v>
      </c>
      <c r="F19" s="261"/>
      <c r="G19" s="261"/>
      <c r="H19" s="261">
        <v>5.3213934834945409E-2</v>
      </c>
      <c r="I19" s="261">
        <v>5.2843043783149524E-2</v>
      </c>
      <c r="J19" s="261">
        <v>0</v>
      </c>
      <c r="K19" s="261">
        <v>1.5333229907679993</v>
      </c>
    </row>
    <row r="20" spans="1:11">
      <c r="A20" s="259" t="s">
        <v>80</v>
      </c>
      <c r="B20" s="261">
        <v>3.6764196608413298E-2</v>
      </c>
      <c r="C20" s="261"/>
      <c r="D20" s="261">
        <v>-2.527251854115331E-2</v>
      </c>
      <c r="E20" s="261">
        <v>-2.7512058961250272</v>
      </c>
      <c r="F20" s="261"/>
      <c r="G20" s="261"/>
      <c r="H20" s="261">
        <v>4.2224628558600852</v>
      </c>
      <c r="I20" s="261">
        <v>-0.25310406248511974</v>
      </c>
      <c r="J20" s="261">
        <v>-0.11351673306802224</v>
      </c>
      <c r="K20" s="261">
        <v>-1.3152724484181135</v>
      </c>
    </row>
    <row r="21" spans="1:11">
      <c r="A21" s="259" t="s">
        <v>81</v>
      </c>
      <c r="B21" s="261">
        <v>-1.835326584075557E-2</v>
      </c>
      <c r="C21" s="261"/>
      <c r="D21" s="261">
        <v>0.72138401659326323</v>
      </c>
      <c r="E21" s="261">
        <v>1.2293964017069836</v>
      </c>
      <c r="F21" s="261"/>
      <c r="G21" s="261"/>
      <c r="H21" s="261">
        <v>-0.32707070573243202</v>
      </c>
      <c r="I21" s="261">
        <v>0.76430220157386941</v>
      </c>
      <c r="J21" s="261">
        <v>0.17649371251075074</v>
      </c>
      <c r="K21" s="261">
        <v>1.6888670650480151</v>
      </c>
    </row>
    <row r="22" spans="1:11">
      <c r="A22" s="259" t="s">
        <v>82</v>
      </c>
      <c r="B22" s="261">
        <v>2.2137192704974398E-3</v>
      </c>
      <c r="C22" s="261"/>
      <c r="D22" s="261">
        <v>0</v>
      </c>
      <c r="E22" s="261">
        <v>0</v>
      </c>
      <c r="F22" s="261"/>
      <c r="G22" s="261"/>
      <c r="H22" s="261">
        <v>0</v>
      </c>
      <c r="I22" s="261">
        <v>0</v>
      </c>
      <c r="J22" s="261">
        <v>6.4536710533781346E-3</v>
      </c>
      <c r="K22" s="261">
        <v>8.6673903238754235E-3</v>
      </c>
    </row>
    <row r="23" spans="1:11" ht="15.5">
      <c r="A23" s="260" t="s">
        <v>83</v>
      </c>
      <c r="B23" s="269">
        <v>-0.31855628703641115</v>
      </c>
      <c r="C23" s="269"/>
      <c r="D23" s="269">
        <v>1.1867545287322372</v>
      </c>
      <c r="E23" s="269">
        <v>-1.8308193645295177</v>
      </c>
      <c r="F23" s="269"/>
      <c r="G23" s="269"/>
      <c r="H23" s="269">
        <v>3.4790349872447468</v>
      </c>
      <c r="I23" s="269">
        <v>0.67786761383800354</v>
      </c>
      <c r="J23" s="269">
        <v>3.0705862327457898</v>
      </c>
      <c r="K23" s="269">
        <v>2.7126758608300463</v>
      </c>
    </row>
    <row r="24" spans="1:11">
      <c r="A24" s="259" t="s">
        <v>84</v>
      </c>
      <c r="B24" s="261">
        <v>1.9410438238792738E-4</v>
      </c>
      <c r="C24" s="261"/>
      <c r="D24" s="261">
        <v>4.9076654810491505E-3</v>
      </c>
      <c r="E24" s="261">
        <v>5.0421916540477341E-5</v>
      </c>
      <c r="F24" s="261"/>
      <c r="G24" s="261"/>
      <c r="H24" s="261">
        <v>0</v>
      </c>
      <c r="I24" s="261">
        <v>0</v>
      </c>
      <c r="J24" s="261">
        <v>0</v>
      </c>
      <c r="K24" s="261">
        <v>5.1521917799774997E-3</v>
      </c>
    </row>
    <row r="25" spans="1:11" ht="15.5">
      <c r="A25" s="260" t="s">
        <v>85</v>
      </c>
      <c r="B25" s="269">
        <v>1.4363647080326616</v>
      </c>
      <c r="C25" s="269"/>
      <c r="D25" s="269">
        <v>67.678370516172606</v>
      </c>
      <c r="E25" s="269">
        <v>30.493346435342975</v>
      </c>
      <c r="F25" s="269"/>
      <c r="G25" s="269"/>
      <c r="H25" s="269">
        <v>14.208244683061297</v>
      </c>
      <c r="I25" s="269">
        <v>38.082441502020473</v>
      </c>
      <c r="J25" s="269">
        <v>3.0705862327457898</v>
      </c>
      <c r="K25" s="269">
        <v>151.41716222721098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L75"/>
  <sheetViews>
    <sheetView workbookViewId="0"/>
  </sheetViews>
  <sheetFormatPr baseColWidth="10" defaultRowHeight="14.5"/>
  <sheetData>
    <row r="1" spans="1:12">
      <c r="A1">
        <v>2015</v>
      </c>
    </row>
    <row r="2" spans="1:12">
      <c r="A2" t="s">
        <v>128</v>
      </c>
      <c r="B2" t="s">
        <v>57</v>
      </c>
      <c r="C2" t="s">
        <v>207</v>
      </c>
      <c r="D2" t="s">
        <v>105</v>
      </c>
      <c r="E2" t="s">
        <v>42</v>
      </c>
      <c r="F2" t="s">
        <v>134</v>
      </c>
      <c r="G2" t="s">
        <v>54</v>
      </c>
      <c r="H2" t="s">
        <v>208</v>
      </c>
      <c r="I2" t="s">
        <v>209</v>
      </c>
      <c r="J2" t="s">
        <v>210</v>
      </c>
      <c r="K2" t="s">
        <v>211</v>
      </c>
      <c r="L2" t="s">
        <v>10</v>
      </c>
    </row>
    <row r="3" spans="1:12">
      <c r="A3" t="s">
        <v>138</v>
      </c>
      <c r="B3">
        <v>12.5519328150197</v>
      </c>
      <c r="C3">
        <v>5.2870368800138001</v>
      </c>
      <c r="D3">
        <v>6.0440913051639003</v>
      </c>
      <c r="F3">
        <v>3.9201473744425601</v>
      </c>
      <c r="G3">
        <v>55.1774071232783</v>
      </c>
      <c r="H3">
        <v>21.106295900439498</v>
      </c>
      <c r="I3">
        <v>0.98003684361064003</v>
      </c>
      <c r="J3">
        <v>7.8304431965415997</v>
      </c>
      <c r="K3">
        <v>105.06694824196801</v>
      </c>
      <c r="L3">
        <v>112.89739143851</v>
      </c>
    </row>
    <row r="4" spans="1:12">
      <c r="A4" t="s">
        <v>212</v>
      </c>
      <c r="B4">
        <v>6.9037124632711402</v>
      </c>
      <c r="C4">
        <v>1.0774580144989601</v>
      </c>
      <c r="D4">
        <v>1.2370323236909</v>
      </c>
      <c r="E4">
        <v>1.03281341623395</v>
      </c>
      <c r="F4">
        <v>0</v>
      </c>
      <c r="G4">
        <v>8.0421226086564008</v>
      </c>
      <c r="H4">
        <v>2.3840661307587001</v>
      </c>
      <c r="I4">
        <v>1.03281341623395</v>
      </c>
      <c r="J4">
        <v>1.61618702174845</v>
      </c>
      <c r="K4">
        <v>21.710018373343999</v>
      </c>
      <c r="L4">
        <v>23.326205395092401</v>
      </c>
    </row>
    <row r="5" spans="1:12">
      <c r="A5" t="s">
        <v>140</v>
      </c>
      <c r="B5">
        <v>8.9358473663910996</v>
      </c>
      <c r="C5">
        <v>0</v>
      </c>
      <c r="D5">
        <v>0</v>
      </c>
      <c r="E5">
        <v>0</v>
      </c>
      <c r="F5">
        <v>0</v>
      </c>
      <c r="G5">
        <v>4.1110437237771</v>
      </c>
      <c r="H5">
        <v>1.4519374850925</v>
      </c>
      <c r="I5">
        <v>0</v>
      </c>
      <c r="J5">
        <v>0</v>
      </c>
      <c r="K5">
        <v>14.498828575260699</v>
      </c>
      <c r="L5">
        <v>14.498828575260699</v>
      </c>
    </row>
    <row r="6" spans="1:12">
      <c r="A6" t="s">
        <v>141</v>
      </c>
      <c r="B6">
        <v>24.9401523606955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24.9401523606955</v>
      </c>
      <c r="L6">
        <v>24.9401523606955</v>
      </c>
    </row>
    <row r="7" spans="1:12">
      <c r="A7" t="s">
        <v>213</v>
      </c>
      <c r="B7">
        <v>43.880450716373602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43.880450716373602</v>
      </c>
      <c r="L7">
        <v>43.880450716373602</v>
      </c>
    </row>
    <row r="8" spans="1:12">
      <c r="A8" t="s">
        <v>143</v>
      </c>
      <c r="C8">
        <v>5.9124410470313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11.943759318006499</v>
      </c>
      <c r="K8">
        <v>5.9124410470313</v>
      </c>
      <c r="L8">
        <v>17.8562003650378</v>
      </c>
    </row>
    <row r="9" spans="1:12">
      <c r="A9" t="s">
        <v>214</v>
      </c>
      <c r="B9">
        <v>0</v>
      </c>
      <c r="C9">
        <v>0</v>
      </c>
      <c r="D9">
        <v>0</v>
      </c>
      <c r="E9">
        <v>1.2866889215937001</v>
      </c>
      <c r="F9">
        <v>0</v>
      </c>
      <c r="G9">
        <v>2.5572921097845001</v>
      </c>
      <c r="H9">
        <v>0</v>
      </c>
      <c r="I9">
        <v>0</v>
      </c>
      <c r="J9">
        <v>0</v>
      </c>
      <c r="K9">
        <v>3.8439810313781999</v>
      </c>
      <c r="L9">
        <v>3.8439810313781999</v>
      </c>
    </row>
    <row r="10" spans="1:12">
      <c r="A10" t="s">
        <v>215</v>
      </c>
      <c r="B10">
        <v>97.212095721750998</v>
      </c>
      <c r="C10">
        <v>12.2769359415441</v>
      </c>
      <c r="D10">
        <v>7.2811236288548002</v>
      </c>
      <c r="E10">
        <v>2.3195023378276498</v>
      </c>
      <c r="F10">
        <v>3.9201473744425601</v>
      </c>
      <c r="G10">
        <v>69.887865565496298</v>
      </c>
      <c r="H10">
        <v>24.942299516290699</v>
      </c>
      <c r="I10">
        <v>2.0128502598445901</v>
      </c>
      <c r="J10">
        <v>21.390389536296599</v>
      </c>
      <c r="K10">
        <v>219.852820346052</v>
      </c>
      <c r="L10">
        <v>241.243209882348</v>
      </c>
    </row>
    <row r="11" spans="1:12">
      <c r="A11" t="s">
        <v>216</v>
      </c>
      <c r="B11">
        <v>27.679951884962101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27.679951884962101</v>
      </c>
      <c r="L11">
        <v>27.679951884962101</v>
      </c>
    </row>
    <row r="12" spans="1:12">
      <c r="A12" t="s">
        <v>10</v>
      </c>
      <c r="B12">
        <v>124.89204760671301</v>
      </c>
      <c r="C12">
        <v>12.2769359415441</v>
      </c>
      <c r="D12">
        <v>7.2811236288548002</v>
      </c>
      <c r="E12">
        <v>2.3195023378276498</v>
      </c>
      <c r="F12">
        <v>3.9201473744425601</v>
      </c>
      <c r="G12">
        <v>69.887865565496298</v>
      </c>
      <c r="H12">
        <v>24.942299516290699</v>
      </c>
      <c r="I12">
        <v>2.0128502598445901</v>
      </c>
      <c r="J12">
        <v>21.390389536296599</v>
      </c>
      <c r="K12">
        <v>247.53277223101401</v>
      </c>
      <c r="L12">
        <v>268.92316176730998</v>
      </c>
    </row>
    <row r="13" spans="1:12">
      <c r="A13" t="s">
        <v>217</v>
      </c>
    </row>
    <row r="14" spans="1:12">
      <c r="A14" t="s">
        <v>218</v>
      </c>
    </row>
    <row r="17" spans="1:12">
      <c r="A17">
        <v>2020</v>
      </c>
    </row>
    <row r="18" spans="1:12">
      <c r="A18" t="s">
        <v>128</v>
      </c>
      <c r="B18" t="s">
        <v>57</v>
      </c>
      <c r="C18" t="s">
        <v>207</v>
      </c>
      <c r="D18" t="s">
        <v>105</v>
      </c>
      <c r="E18" t="s">
        <v>42</v>
      </c>
      <c r="F18" t="s">
        <v>134</v>
      </c>
      <c r="G18" t="s">
        <v>54</v>
      </c>
      <c r="H18" t="s">
        <v>208</v>
      </c>
      <c r="I18" t="s">
        <v>209</v>
      </c>
      <c r="J18" t="s">
        <v>210</v>
      </c>
      <c r="K18" t="s">
        <v>211</v>
      </c>
      <c r="L18" t="s">
        <v>10</v>
      </c>
    </row>
    <row r="19" spans="1:12">
      <c r="A19" t="s">
        <v>138</v>
      </c>
      <c r="B19">
        <v>10.3742757878855</v>
      </c>
      <c r="C19">
        <v>6.1002330193981003</v>
      </c>
      <c r="D19">
        <v>4.8012381348690996</v>
      </c>
      <c r="F19">
        <v>4.7207015465331201</v>
      </c>
      <c r="G19">
        <v>48.617576303646601</v>
      </c>
      <c r="H19">
        <v>14.4330293124561</v>
      </c>
      <c r="I19">
        <v>1.18017538663328</v>
      </c>
      <c r="J19">
        <v>9.1571461976879007</v>
      </c>
      <c r="K19">
        <v>90.227229491421795</v>
      </c>
      <c r="L19">
        <v>99.384375689109703</v>
      </c>
    </row>
    <row r="20" spans="1:12">
      <c r="A20" t="s">
        <v>212</v>
      </c>
      <c r="B20">
        <v>6.7699876877453198</v>
      </c>
      <c r="C20">
        <v>2.1378908487616801</v>
      </c>
      <c r="D20">
        <v>1.2322317177116</v>
      </c>
      <c r="E20">
        <v>0.89967193568838</v>
      </c>
      <c r="F20">
        <v>0</v>
      </c>
      <c r="G20">
        <v>6.2169602451413999</v>
      </c>
      <c r="H20">
        <v>1.2070758173613001</v>
      </c>
      <c r="I20">
        <v>2.0992345166062201</v>
      </c>
      <c r="J20">
        <v>3.2068362731425202</v>
      </c>
      <c r="K20">
        <v>20.563052769015901</v>
      </c>
      <c r="L20">
        <v>23.7698890421584</v>
      </c>
    </row>
    <row r="21" spans="1:12">
      <c r="A21" t="s">
        <v>140</v>
      </c>
      <c r="B21">
        <v>10.5272361865745</v>
      </c>
      <c r="C21">
        <v>0</v>
      </c>
      <c r="D21">
        <v>0</v>
      </c>
      <c r="E21">
        <v>0</v>
      </c>
      <c r="F21">
        <v>0</v>
      </c>
      <c r="G21">
        <v>3.609606004083</v>
      </c>
      <c r="H21">
        <v>1.1084107534645</v>
      </c>
      <c r="I21">
        <v>0</v>
      </c>
      <c r="K21">
        <v>15.245252944122001</v>
      </c>
      <c r="L21">
        <v>15.245252944122001</v>
      </c>
    </row>
    <row r="22" spans="1:12">
      <c r="A22" t="s">
        <v>141</v>
      </c>
      <c r="B22">
        <v>23.389235120450699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23.389235120450699</v>
      </c>
      <c r="L22">
        <v>23.389235120450699</v>
      </c>
    </row>
    <row r="23" spans="1:12">
      <c r="A23" t="s">
        <v>213</v>
      </c>
      <c r="B23">
        <v>46.6814996815285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46.6814996815285</v>
      </c>
      <c r="L23">
        <v>46.6814996815285</v>
      </c>
    </row>
    <row r="24" spans="1:12">
      <c r="A24" t="s">
        <v>143</v>
      </c>
      <c r="C24">
        <v>6.1479590102429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15.215325420320401</v>
      </c>
      <c r="K24">
        <v>6.1479590102429</v>
      </c>
      <c r="L24">
        <v>21.363284430563301</v>
      </c>
    </row>
    <row r="25" spans="1:12">
      <c r="A25" t="s">
        <v>214</v>
      </c>
      <c r="B25">
        <v>0.22503356683190001</v>
      </c>
      <c r="C25">
        <v>0</v>
      </c>
      <c r="D25">
        <v>0</v>
      </c>
      <c r="E25">
        <v>0.90013426732760005</v>
      </c>
      <c r="F25">
        <v>0</v>
      </c>
      <c r="G25">
        <v>2.2363983456957999</v>
      </c>
      <c r="H25">
        <v>0</v>
      </c>
      <c r="I25">
        <v>0</v>
      </c>
      <c r="K25">
        <v>3.3615661798552998</v>
      </c>
      <c r="L25">
        <v>3.3615661798552998</v>
      </c>
    </row>
    <row r="26" spans="1:12">
      <c r="A26" t="s">
        <v>215</v>
      </c>
      <c r="B26">
        <v>97.967268031016403</v>
      </c>
      <c r="C26">
        <v>14.3860828784027</v>
      </c>
      <c r="D26">
        <v>6.0334698525806996</v>
      </c>
      <c r="E26">
        <v>1.79980620301598</v>
      </c>
      <c r="F26">
        <v>4.7207015465331201</v>
      </c>
      <c r="G26">
        <v>60.680540898566797</v>
      </c>
      <c r="H26">
        <v>16.7485158832819</v>
      </c>
      <c r="I26">
        <v>3.2794099032394999</v>
      </c>
      <c r="J26">
        <v>27.579307891150801</v>
      </c>
      <c r="K26">
        <v>205.61579519663701</v>
      </c>
      <c r="L26">
        <v>233.195103087788</v>
      </c>
    </row>
    <row r="27" spans="1:12">
      <c r="A27" t="s">
        <v>216</v>
      </c>
      <c r="B27">
        <v>26.994931226968699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v>26.994931226968699</v>
      </c>
      <c r="L27">
        <v>26.994931226968699</v>
      </c>
    </row>
    <row r="28" spans="1:12">
      <c r="A28" t="s">
        <v>10</v>
      </c>
      <c r="B28">
        <v>124.96219925798501</v>
      </c>
      <c r="C28">
        <v>14.3860828784027</v>
      </c>
      <c r="D28">
        <v>6.0334698525806996</v>
      </c>
      <c r="E28">
        <v>1.79980620301598</v>
      </c>
      <c r="F28">
        <v>4.7207015465331201</v>
      </c>
      <c r="G28">
        <v>60.680540898566797</v>
      </c>
      <c r="H28">
        <v>16.7485158832819</v>
      </c>
      <c r="I28">
        <v>3.2794099032394999</v>
      </c>
      <c r="J28">
        <v>27.579307891150801</v>
      </c>
      <c r="K28">
        <v>232.610726423606</v>
      </c>
      <c r="L28">
        <v>260.19003431475699</v>
      </c>
    </row>
    <row r="29" spans="1:12">
      <c r="A29" t="s">
        <v>217</v>
      </c>
    </row>
    <row r="30" spans="1:12">
      <c r="A30" t="s">
        <v>218</v>
      </c>
    </row>
    <row r="32" spans="1:12">
      <c r="A32">
        <v>2025</v>
      </c>
    </row>
    <row r="33" spans="1:12">
      <c r="A33" t="s">
        <v>128</v>
      </c>
      <c r="B33" t="s">
        <v>57</v>
      </c>
      <c r="C33" t="s">
        <v>207</v>
      </c>
      <c r="D33" t="s">
        <v>105</v>
      </c>
      <c r="E33" t="s">
        <v>42</v>
      </c>
      <c r="F33" t="s">
        <v>134</v>
      </c>
      <c r="G33" t="s">
        <v>54</v>
      </c>
      <c r="H33" t="s">
        <v>208</v>
      </c>
      <c r="I33" t="s">
        <v>209</v>
      </c>
      <c r="J33" t="s">
        <v>210</v>
      </c>
      <c r="K33" t="s">
        <v>211</v>
      </c>
      <c r="L33" t="s">
        <v>10</v>
      </c>
    </row>
    <row r="34" spans="1:12">
      <c r="A34" t="s">
        <v>138</v>
      </c>
      <c r="B34">
        <v>8.9718125061079999</v>
      </c>
      <c r="C34">
        <v>7.5244428280336004</v>
      </c>
      <c r="D34">
        <v>4.1448280467982999</v>
      </c>
      <c r="F34">
        <v>5.7574771280624804</v>
      </c>
      <c r="G34">
        <v>39.004453813544799</v>
      </c>
      <c r="H34">
        <v>8.9939273059531999</v>
      </c>
      <c r="I34">
        <v>1.4393692820156201</v>
      </c>
      <c r="J34">
        <v>11.4217194648713</v>
      </c>
      <c r="K34">
        <v>75.836310910516005</v>
      </c>
      <c r="L34">
        <v>87.258030375387307</v>
      </c>
    </row>
    <row r="35" spans="1:12">
      <c r="A35" t="s">
        <v>212</v>
      </c>
      <c r="B35">
        <v>5.2475986366028398</v>
      </c>
      <c r="C35">
        <v>3.4983990910685598</v>
      </c>
      <c r="D35">
        <v>1.1963054104524999</v>
      </c>
      <c r="E35">
        <v>0.73455761130816</v>
      </c>
      <c r="F35">
        <v>0</v>
      </c>
      <c r="G35">
        <v>4.5534877411513</v>
      </c>
      <c r="H35">
        <v>0.30731067968190001</v>
      </c>
      <c r="I35">
        <v>2.93823044523264</v>
      </c>
      <c r="J35">
        <v>5.2475986366028398</v>
      </c>
      <c r="K35">
        <v>18.475889615497898</v>
      </c>
      <c r="L35">
        <v>23.723488252100701</v>
      </c>
    </row>
    <row r="36" spans="1:12">
      <c r="A36" t="s">
        <v>140</v>
      </c>
      <c r="B36">
        <v>11.2851059106452</v>
      </c>
      <c r="C36">
        <v>0</v>
      </c>
      <c r="D36">
        <v>0</v>
      </c>
      <c r="E36">
        <v>0</v>
      </c>
      <c r="F36">
        <v>0</v>
      </c>
      <c r="G36">
        <v>3.0165698263876002</v>
      </c>
      <c r="H36">
        <v>0.82147656588960005</v>
      </c>
      <c r="I36">
        <v>0</v>
      </c>
      <c r="K36">
        <v>15.123152302922399</v>
      </c>
      <c r="L36">
        <v>15.123152302922399</v>
      </c>
    </row>
    <row r="37" spans="1:12">
      <c r="A37" t="s">
        <v>141</v>
      </c>
      <c r="B37">
        <v>19.375331905517701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19.375331905517701</v>
      </c>
      <c r="L37">
        <v>19.375331905517701</v>
      </c>
    </row>
    <row r="38" spans="1:12">
      <c r="A38" t="s">
        <v>213</v>
      </c>
      <c r="B38">
        <v>46.354708094036098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46.354708094036098</v>
      </c>
      <c r="L38">
        <v>46.354708094036098</v>
      </c>
    </row>
    <row r="39" spans="1:12">
      <c r="A39" t="s">
        <v>143</v>
      </c>
      <c r="C39">
        <v>6.0004736135138002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14.8503200092174</v>
      </c>
      <c r="K39">
        <v>6.0004736135138002</v>
      </c>
      <c r="L39">
        <v>20.850793622731199</v>
      </c>
    </row>
    <row r="40" spans="1:12">
      <c r="A40" t="s">
        <v>214</v>
      </c>
      <c r="B40">
        <v>0.57553934335914003</v>
      </c>
      <c r="D40">
        <v>0</v>
      </c>
      <c r="E40">
        <v>0.38369289557275998</v>
      </c>
      <c r="F40">
        <v>0</v>
      </c>
      <c r="G40">
        <v>1.9118461767073001</v>
      </c>
      <c r="H40">
        <v>0</v>
      </c>
      <c r="I40">
        <v>0</v>
      </c>
      <c r="K40">
        <v>2.8710784156392002</v>
      </c>
      <c r="L40">
        <v>2.8710784156392002</v>
      </c>
    </row>
    <row r="41" spans="1:12">
      <c r="A41" t="s">
        <v>215</v>
      </c>
      <c r="B41">
        <v>91.810096396269003</v>
      </c>
      <c r="C41">
        <v>17.023315532616</v>
      </c>
      <c r="D41">
        <v>5.3411334572508</v>
      </c>
      <c r="E41">
        <v>1.1182505068809201</v>
      </c>
      <c r="F41">
        <v>5.7574771280624804</v>
      </c>
      <c r="G41">
        <v>48.486357557791003</v>
      </c>
      <c r="H41">
        <v>10.1227145515247</v>
      </c>
      <c r="I41">
        <v>4.3775997272482599</v>
      </c>
      <c r="J41">
        <v>31.519638110691499</v>
      </c>
      <c r="K41">
        <v>184.03694485764299</v>
      </c>
      <c r="L41">
        <v>215.55658296833499</v>
      </c>
    </row>
    <row r="42" spans="1:12">
      <c r="A42" t="s">
        <v>216</v>
      </c>
      <c r="B42">
        <v>26.309910568975301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26.309910568975301</v>
      </c>
      <c r="L42">
        <v>26.309910568975301</v>
      </c>
    </row>
    <row r="43" spans="1:12">
      <c r="A43" t="s">
        <v>10</v>
      </c>
      <c r="B43">
        <v>118.120006965244</v>
      </c>
      <c r="C43">
        <v>17.023315532616</v>
      </c>
      <c r="D43">
        <v>5.3411334572508</v>
      </c>
      <c r="E43">
        <v>1.1182505068809201</v>
      </c>
      <c r="F43">
        <v>5.7574771280624804</v>
      </c>
      <c r="G43">
        <v>48.486357557791003</v>
      </c>
      <c r="H43">
        <v>10.1227145515247</v>
      </c>
      <c r="I43">
        <v>4.3775997272482599</v>
      </c>
      <c r="J43">
        <v>31.519638110691499</v>
      </c>
      <c r="K43">
        <v>210.34685542661799</v>
      </c>
      <c r="L43">
        <v>241.86649353730999</v>
      </c>
    </row>
    <row r="44" spans="1:12">
      <c r="A44" t="s">
        <v>217</v>
      </c>
    </row>
    <row r="45" spans="1:12">
      <c r="A45" t="s">
        <v>218</v>
      </c>
    </row>
    <row r="47" spans="1:12">
      <c r="A47">
        <v>2030</v>
      </c>
    </row>
    <row r="48" spans="1:12">
      <c r="A48" t="s">
        <v>128</v>
      </c>
      <c r="B48" t="s">
        <v>57</v>
      </c>
      <c r="C48" t="s">
        <v>207</v>
      </c>
      <c r="D48" t="s">
        <v>105</v>
      </c>
      <c r="E48" t="s">
        <v>42</v>
      </c>
      <c r="F48" t="s">
        <v>134</v>
      </c>
      <c r="G48" t="s">
        <v>54</v>
      </c>
      <c r="H48" t="s">
        <v>208</v>
      </c>
      <c r="I48" t="s">
        <v>209</v>
      </c>
      <c r="J48" t="s">
        <v>210</v>
      </c>
      <c r="K48" t="s">
        <v>211</v>
      </c>
      <c r="L48" t="s">
        <v>10</v>
      </c>
    </row>
    <row r="49" spans="1:12">
      <c r="A49" t="s">
        <v>138</v>
      </c>
      <c r="B49">
        <v>7.9865806915524002</v>
      </c>
      <c r="C49">
        <v>9.2211616891774</v>
      </c>
      <c r="D49">
        <v>4.1797717793542999</v>
      </c>
      <c r="F49">
        <v>7.0537868434781599</v>
      </c>
      <c r="G49">
        <v>27.7414380005239</v>
      </c>
      <c r="H49">
        <v>4.0007689276751002</v>
      </c>
      <c r="I49">
        <v>1.76344671086954</v>
      </c>
      <c r="J49">
        <v>14.106786738135799</v>
      </c>
      <c r="K49">
        <v>61.9469546426308</v>
      </c>
      <c r="L49">
        <v>76.053741380766596</v>
      </c>
    </row>
    <row r="50" spans="1:12">
      <c r="A50" t="s">
        <v>212</v>
      </c>
      <c r="B50">
        <v>4.1300172223687497</v>
      </c>
      <c r="C50">
        <v>4.1300172223687497</v>
      </c>
      <c r="D50">
        <v>0.8946934460707</v>
      </c>
      <c r="E50">
        <v>0</v>
      </c>
      <c r="F50">
        <v>0</v>
      </c>
      <c r="G50">
        <v>3.6379629672113998</v>
      </c>
      <c r="H50">
        <v>0.19343554945649999</v>
      </c>
      <c r="I50">
        <v>3.7384479607226</v>
      </c>
      <c r="J50">
        <v>6.1950258335531201</v>
      </c>
      <c r="K50">
        <v>16.724574368198699</v>
      </c>
      <c r="L50">
        <v>22.919600201751798</v>
      </c>
    </row>
    <row r="51" spans="1:12">
      <c r="A51" t="s">
        <v>140</v>
      </c>
      <c r="B51">
        <v>11.8721780932577</v>
      </c>
      <c r="C51">
        <v>0</v>
      </c>
      <c r="D51">
        <v>0</v>
      </c>
      <c r="E51">
        <v>0</v>
      </c>
      <c r="F51">
        <v>0</v>
      </c>
      <c r="G51">
        <v>2.5273881171479</v>
      </c>
      <c r="H51">
        <v>0.61166542466829998</v>
      </c>
      <c r="I51">
        <v>0</v>
      </c>
      <c r="K51">
        <v>15.0112316350739</v>
      </c>
      <c r="L51">
        <v>15.0112316350739</v>
      </c>
    </row>
    <row r="52" spans="1:12">
      <c r="A52" t="s">
        <v>141</v>
      </c>
      <c r="B52">
        <v>15.2848315075233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15.2848315075233</v>
      </c>
      <c r="L52">
        <v>15.2848315075233</v>
      </c>
    </row>
    <row r="53" spans="1:12">
      <c r="A53" t="s">
        <v>213</v>
      </c>
      <c r="B53">
        <v>45.907009040287299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v>45.907009040287299</v>
      </c>
      <c r="L53">
        <v>45.907009040287299</v>
      </c>
    </row>
    <row r="54" spans="1:12">
      <c r="A54" t="s">
        <v>143</v>
      </c>
      <c r="C54">
        <v>6.0856597961760004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18.776315865322498</v>
      </c>
      <c r="K54">
        <v>6.0856597961760004</v>
      </c>
      <c r="L54">
        <v>24.861975661498501</v>
      </c>
    </row>
    <row r="55" spans="1:12">
      <c r="A55" t="s">
        <v>214</v>
      </c>
      <c r="B55">
        <v>0.81988401876299999</v>
      </c>
      <c r="D55">
        <v>0</v>
      </c>
      <c r="E55">
        <v>0</v>
      </c>
      <c r="F55">
        <v>0</v>
      </c>
      <c r="G55">
        <v>1.6393711123813</v>
      </c>
      <c r="H55">
        <v>0</v>
      </c>
      <c r="I55">
        <v>0</v>
      </c>
      <c r="K55">
        <v>2.4592551311443001</v>
      </c>
      <c r="L55">
        <v>2.4592551311443001</v>
      </c>
    </row>
    <row r="56" spans="1:12">
      <c r="A56" t="s">
        <v>215</v>
      </c>
      <c r="B56">
        <v>86.000500573752504</v>
      </c>
      <c r="C56">
        <v>19.436838707722199</v>
      </c>
      <c r="D56">
        <v>5.0744652254249996</v>
      </c>
      <c r="E56">
        <v>0</v>
      </c>
      <c r="F56">
        <v>7.0537868434781599</v>
      </c>
      <c r="G56">
        <v>35.546160197264498</v>
      </c>
      <c r="H56">
        <v>4.8058699017999</v>
      </c>
      <c r="I56">
        <v>5.5018946715921402</v>
      </c>
      <c r="J56">
        <v>39.078128437011401</v>
      </c>
      <c r="K56">
        <v>163.41951612103401</v>
      </c>
      <c r="L56">
        <v>202.49764455804601</v>
      </c>
    </row>
    <row r="57" spans="1:12">
      <c r="A57" t="s">
        <v>216</v>
      </c>
      <c r="B57">
        <v>25.624889910981899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25.624889910981899</v>
      </c>
      <c r="L57">
        <v>25.624889910981899</v>
      </c>
    </row>
    <row r="58" spans="1:12">
      <c r="A58" t="s">
        <v>10</v>
      </c>
      <c r="B58">
        <v>111.625390484734</v>
      </c>
      <c r="C58">
        <v>19.436838707722199</v>
      </c>
      <c r="D58">
        <v>5.0744652254249996</v>
      </c>
      <c r="E58">
        <v>0</v>
      </c>
      <c r="F58">
        <v>7.0537868434781599</v>
      </c>
      <c r="G58">
        <v>35.546160197264498</v>
      </c>
      <c r="H58">
        <v>4.8058699017999</v>
      </c>
      <c r="I58">
        <v>5.5018946715921402</v>
      </c>
      <c r="J58">
        <v>39.078128437011401</v>
      </c>
      <c r="K58">
        <v>189.04440603201601</v>
      </c>
      <c r="L58">
        <v>228.12253446902801</v>
      </c>
    </row>
    <row r="59" spans="1:12">
      <c r="A59" t="s">
        <v>217</v>
      </c>
      <c r="K59">
        <v>0.93576088486563302</v>
      </c>
    </row>
    <row r="60" spans="1:12">
      <c r="A60" t="s">
        <v>218</v>
      </c>
    </row>
    <row r="62" spans="1:12">
      <c r="A62">
        <v>2050</v>
      </c>
    </row>
    <row r="63" spans="1:12">
      <c r="A63" t="s">
        <v>128</v>
      </c>
      <c r="B63" t="s">
        <v>57</v>
      </c>
      <c r="C63" t="s">
        <v>207</v>
      </c>
      <c r="D63" t="s">
        <v>105</v>
      </c>
      <c r="E63" t="s">
        <v>42</v>
      </c>
      <c r="F63" t="s">
        <v>134</v>
      </c>
      <c r="G63" t="s">
        <v>54</v>
      </c>
      <c r="H63" t="s">
        <v>208</v>
      </c>
      <c r="I63" t="s">
        <v>209</v>
      </c>
      <c r="J63" t="s">
        <v>210</v>
      </c>
      <c r="K63" t="s">
        <v>211</v>
      </c>
      <c r="L63" t="s">
        <v>10</v>
      </c>
    </row>
    <row r="64" spans="1:12">
      <c r="A64" t="s">
        <v>138</v>
      </c>
      <c r="B64">
        <v>5.8523640541175004</v>
      </c>
      <c r="C64">
        <v>9.6916384892280991</v>
      </c>
      <c r="D64">
        <v>12.0940616509414</v>
      </c>
      <c r="F64">
        <v>5.7376992755080796</v>
      </c>
      <c r="G64">
        <v>1.6243612661704001</v>
      </c>
      <c r="H64">
        <v>9.9083878957999996E-3</v>
      </c>
      <c r="I64">
        <v>1.4344248188770199</v>
      </c>
      <c r="J64">
        <v>15.069021727073199</v>
      </c>
      <c r="K64">
        <v>36.444457942738303</v>
      </c>
      <c r="L64">
        <v>51.513479669811503</v>
      </c>
    </row>
    <row r="65" spans="1:12">
      <c r="A65" t="s">
        <v>212</v>
      </c>
      <c r="B65">
        <v>0.11976961531749999</v>
      </c>
      <c r="C65">
        <v>4.1300172223687497</v>
      </c>
      <c r="D65">
        <v>0.8946934460707</v>
      </c>
      <c r="E65">
        <v>0</v>
      </c>
      <c r="F65">
        <v>0</v>
      </c>
      <c r="G65">
        <v>1.689494832574</v>
      </c>
      <c r="H65">
        <v>6.1075926729999997E-3</v>
      </c>
      <c r="I65">
        <v>3.3230107511964002</v>
      </c>
      <c r="J65">
        <v>6.1950258335531201</v>
      </c>
      <c r="K65">
        <v>10.1630934602004</v>
      </c>
      <c r="L65">
        <v>16.3581192937535</v>
      </c>
    </row>
    <row r="66" spans="1:12">
      <c r="A66" t="s">
        <v>140</v>
      </c>
      <c r="B66">
        <v>12.139093722674</v>
      </c>
      <c r="C66">
        <v>0</v>
      </c>
      <c r="D66">
        <v>0</v>
      </c>
      <c r="E66">
        <v>0</v>
      </c>
      <c r="F66">
        <v>0</v>
      </c>
      <c r="G66">
        <v>1.3508680727360001</v>
      </c>
      <c r="H66">
        <v>0.2384320247301</v>
      </c>
      <c r="I66">
        <v>0</v>
      </c>
      <c r="K66">
        <v>13.7283938201401</v>
      </c>
      <c r="L66">
        <v>13.7283938201401</v>
      </c>
    </row>
    <row r="67" spans="1:12">
      <c r="A67" t="s">
        <v>141</v>
      </c>
      <c r="B67">
        <v>9.8452476075075008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9.8452476075075008</v>
      </c>
      <c r="L67">
        <v>9.8452476075075008</v>
      </c>
    </row>
    <row r="68" spans="1:12">
      <c r="A68" t="s">
        <v>213</v>
      </c>
      <c r="B68">
        <v>42.907833391588298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42.907833391588298</v>
      </c>
      <c r="L68">
        <v>42.907833391588298</v>
      </c>
    </row>
    <row r="69" spans="1:12">
      <c r="A69" t="s">
        <v>143</v>
      </c>
      <c r="C69">
        <v>6.3631434451273003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v>6.3631434451273003</v>
      </c>
      <c r="L69">
        <v>6.4</v>
      </c>
    </row>
    <row r="70" spans="1:12">
      <c r="A70" t="s">
        <v>214</v>
      </c>
      <c r="B70">
        <v>0.46133931642010001</v>
      </c>
      <c r="D70">
        <v>0</v>
      </c>
      <c r="E70">
        <v>0</v>
      </c>
      <c r="F70">
        <v>0</v>
      </c>
      <c r="G70">
        <v>0.95264690516810002</v>
      </c>
      <c r="H70">
        <v>0</v>
      </c>
      <c r="I70">
        <v>0</v>
      </c>
      <c r="K70">
        <v>1.4139862215882</v>
      </c>
      <c r="L70">
        <v>1.4139862215882</v>
      </c>
    </row>
    <row r="71" spans="1:12">
      <c r="A71" t="s">
        <v>215</v>
      </c>
      <c r="B71">
        <v>71.325647707624896</v>
      </c>
      <c r="C71">
        <v>20.1847991567241</v>
      </c>
      <c r="D71">
        <v>12.988755097012101</v>
      </c>
      <c r="E71">
        <v>0</v>
      </c>
      <c r="F71">
        <v>5.7376992755080796</v>
      </c>
      <c r="G71">
        <v>5.6173710766485003</v>
      </c>
      <c r="H71">
        <v>0.25444800529889999</v>
      </c>
      <c r="I71">
        <v>4.7574355700734197</v>
      </c>
      <c r="J71">
        <v>44.850389616754001</v>
      </c>
      <c r="K71">
        <v>120.86615588889001</v>
      </c>
      <c r="L71">
        <v>165.71654550564401</v>
      </c>
    </row>
    <row r="72" spans="1:12">
      <c r="A72" t="s">
        <v>216</v>
      </c>
      <c r="B72">
        <v>23.9431583804922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v>23.9431583804922</v>
      </c>
      <c r="L72">
        <v>23.9431583804922</v>
      </c>
    </row>
    <row r="73" spans="1:12">
      <c r="A73" t="s">
        <v>10</v>
      </c>
      <c r="B73">
        <v>95.268806088117103</v>
      </c>
      <c r="C73">
        <v>20.1847991567241</v>
      </c>
      <c r="D73">
        <v>12.988755097012101</v>
      </c>
      <c r="E73">
        <v>0</v>
      </c>
      <c r="F73">
        <v>5.7376992755080796</v>
      </c>
      <c r="G73">
        <v>5.6173710766485003</v>
      </c>
      <c r="H73">
        <v>0.25444800529889999</v>
      </c>
      <c r="I73">
        <v>4.7574355700734197</v>
      </c>
      <c r="J73">
        <v>44.850389616754001</v>
      </c>
      <c r="K73">
        <v>144.80931426938201</v>
      </c>
      <c r="L73">
        <v>166.11021838488099</v>
      </c>
    </row>
    <row r="74" spans="1:12">
      <c r="A74" t="s">
        <v>217</v>
      </c>
    </row>
    <row r="75" spans="1:12">
      <c r="A75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50"/>
  <sheetViews>
    <sheetView topLeftCell="AE1" workbookViewId="0">
      <selection activeCell="AL2" sqref="AL2"/>
    </sheetView>
  </sheetViews>
  <sheetFormatPr baseColWidth="10" defaultColWidth="11.453125" defaultRowHeight="12"/>
  <cols>
    <col min="1" max="1" width="53.7265625" style="367" bestFit="1" customWidth="1"/>
    <col min="2" max="2" width="13.26953125" style="367" customWidth="1"/>
    <col min="3" max="3" width="10.54296875" style="367" customWidth="1"/>
    <col min="4" max="4" width="11" style="367" customWidth="1"/>
    <col min="5" max="5" width="7.7265625" style="413" bestFit="1" customWidth="1"/>
    <col min="6" max="6" width="7.7265625" style="413" customWidth="1"/>
    <col min="7" max="7" width="12.26953125" style="413" customWidth="1"/>
    <col min="8" max="8" width="8.7265625" style="367" customWidth="1"/>
    <col min="9" max="9" width="4.54296875" style="367" customWidth="1"/>
    <col min="10" max="10" width="6.54296875" style="367" customWidth="1"/>
    <col min="11" max="11" width="20" style="367" customWidth="1"/>
    <col min="12" max="14" width="11.1796875" style="367" customWidth="1"/>
    <col min="15" max="15" width="5.54296875" style="367" bestFit="1" customWidth="1"/>
    <col min="16" max="17" width="5.54296875" style="367" customWidth="1"/>
    <col min="18" max="18" width="9" style="367" bestFit="1" customWidth="1"/>
    <col min="19" max="19" width="11.453125" style="367"/>
    <col min="20" max="20" width="40.26953125" style="367" customWidth="1"/>
    <col min="21" max="22" width="13.54296875" style="367" customWidth="1"/>
    <col min="23" max="25" width="10.453125" style="367" customWidth="1"/>
    <col min="26" max="26" width="14.81640625" style="367" bestFit="1" customWidth="1"/>
    <col min="27" max="28" width="11.453125" style="367"/>
    <col min="29" max="29" width="54.26953125" style="367" customWidth="1"/>
    <col min="30" max="36" width="11.453125" style="367"/>
    <col min="37" max="37" width="10.08984375" style="367" customWidth="1"/>
    <col min="38" max="38" width="9.90625" style="384" customWidth="1"/>
    <col min="39" max="39" width="19.453125" style="367" customWidth="1"/>
    <col min="40" max="41" width="12.26953125" style="367" customWidth="1"/>
    <col min="42" max="42" width="9.54296875" style="367" customWidth="1"/>
    <col min="43" max="43" width="11.453125" style="367"/>
    <col min="44" max="44" width="11.7265625" style="367" bestFit="1" customWidth="1"/>
    <col min="45" max="45" width="11.453125" style="367" customWidth="1"/>
    <col min="46" max="46" width="20.453125" style="367" customWidth="1"/>
    <col min="47" max="47" width="24.7265625" style="367" customWidth="1"/>
    <col min="48" max="49" width="11.54296875" style="367" customWidth="1"/>
    <col min="50" max="53" width="11.453125" style="367" customWidth="1"/>
    <col min="54" max="54" width="19.1796875" style="370" customWidth="1"/>
    <col min="55" max="55" width="11.453125" style="367" customWidth="1"/>
    <col min="56" max="56" width="18.54296875" style="367" customWidth="1"/>
    <col min="57" max="58" width="11.54296875" style="367" customWidth="1"/>
    <col min="59" max="59" width="10.7265625" style="367" customWidth="1"/>
    <col min="60" max="62" width="11.453125" style="367" customWidth="1"/>
    <col min="63" max="65" width="11.453125" style="367"/>
    <col min="66" max="66" width="19.81640625" style="367" customWidth="1"/>
    <col min="67" max="68" width="16.81640625" style="367" customWidth="1"/>
    <col min="69" max="70" width="10.453125" style="367" customWidth="1"/>
    <col min="71" max="16384" width="11.453125" style="367"/>
  </cols>
  <sheetData>
    <row r="1" spans="1:72">
      <c r="B1" s="367">
        <v>2006</v>
      </c>
      <c r="C1" s="367">
        <v>2010</v>
      </c>
      <c r="D1" s="367">
        <v>2015</v>
      </c>
      <c r="E1" s="368">
        <v>2020</v>
      </c>
      <c r="F1" s="369">
        <v>2025</v>
      </c>
      <c r="G1" s="369">
        <v>2030</v>
      </c>
      <c r="H1" s="777">
        <v>2050</v>
      </c>
      <c r="I1" s="778"/>
      <c r="L1" s="367">
        <v>2006</v>
      </c>
      <c r="M1" s="367">
        <v>2010</v>
      </c>
      <c r="N1" s="367">
        <v>2015</v>
      </c>
      <c r="O1" s="368">
        <v>2020</v>
      </c>
      <c r="P1" s="369">
        <v>2025</v>
      </c>
      <c r="Q1" s="369">
        <v>2030</v>
      </c>
      <c r="R1" s="369">
        <v>2050</v>
      </c>
      <c r="U1" s="367">
        <v>2006</v>
      </c>
      <c r="V1" s="367">
        <v>2010</v>
      </c>
      <c r="W1" s="367">
        <v>2015</v>
      </c>
      <c r="X1" s="368">
        <v>2020</v>
      </c>
      <c r="Y1" s="369">
        <v>2025</v>
      </c>
      <c r="Z1" s="369">
        <v>2030</v>
      </c>
      <c r="AA1" s="369">
        <v>2050</v>
      </c>
      <c r="AD1" s="367">
        <v>2006</v>
      </c>
      <c r="AE1" s="367">
        <v>2010</v>
      </c>
      <c r="AF1" s="367">
        <v>2015</v>
      </c>
      <c r="AG1" s="368">
        <v>2020</v>
      </c>
      <c r="AH1" s="369">
        <v>2025</v>
      </c>
      <c r="AI1" s="369">
        <v>2030</v>
      </c>
      <c r="AJ1" s="369">
        <v>2050</v>
      </c>
    </row>
    <row r="2" spans="1:72" ht="14.5">
      <c r="A2" s="371" t="s">
        <v>10</v>
      </c>
      <c r="B2" s="372">
        <f>B3+B9+B27+B37</f>
        <v>272.71929624030639</v>
      </c>
      <c r="C2" s="372">
        <f t="shared" ref="C2:H2" si="0">C3+C9+C27+C37</f>
        <v>272.91929624030638</v>
      </c>
      <c r="D2" s="372">
        <f>D3+D9+D27+D37</f>
        <v>248.88128643051496</v>
      </c>
      <c r="E2" s="372">
        <f t="shared" si="0"/>
        <v>248.22517921562658</v>
      </c>
      <c r="F2" s="372">
        <f t="shared" si="0"/>
        <v>240.83536333297519</v>
      </c>
      <c r="G2" s="372">
        <f t="shared" si="0"/>
        <v>224.70432925136541</v>
      </c>
      <c r="H2" s="372">
        <f t="shared" si="0"/>
        <v>199.30905321223156</v>
      </c>
      <c r="I2" s="373">
        <f>G2-'Bilan 2030'!C5</f>
        <v>0</v>
      </c>
      <c r="K2" s="374" t="s">
        <v>267</v>
      </c>
      <c r="L2" s="374">
        <f>L3+L7+L16+L23</f>
        <v>272.71929624030639</v>
      </c>
      <c r="M2" s="374">
        <f>M3+M7+M16+M23</f>
        <v>272.91929624030638</v>
      </c>
      <c r="N2" s="374">
        <f>N3+N7+N16+N23</f>
        <v>248.88128643051496</v>
      </c>
      <c r="O2" s="374">
        <f>O3+O7+O16+O23</f>
        <v>248.2351792156266</v>
      </c>
      <c r="P2" s="374">
        <f t="shared" ref="P2:R2" si="1">P3+P7+P16+P23</f>
        <v>240.84546333297521</v>
      </c>
      <c r="Q2" s="374">
        <f t="shared" si="1"/>
        <v>224.72432925136545</v>
      </c>
      <c r="R2" s="374">
        <f t="shared" si="1"/>
        <v>199.31925321223159</v>
      </c>
      <c r="T2" s="374" t="s">
        <v>268</v>
      </c>
      <c r="U2" s="374">
        <f t="shared" ref="U2:Z2" si="2">U3+U7+U16+U23</f>
        <v>164.52629258657473</v>
      </c>
      <c r="V2" s="374">
        <f t="shared" si="2"/>
        <v>164.52629258657473</v>
      </c>
      <c r="W2" s="374">
        <f t="shared" si="2"/>
        <v>133.50235056048285</v>
      </c>
      <c r="X2" s="374">
        <f>X3+X7+X16+X23</f>
        <v>137.29542714192834</v>
      </c>
      <c r="Y2" s="374">
        <f t="shared" ref="Y2" si="3">Y3+Y7+Y16+Y23</f>
        <v>126.80914756334961</v>
      </c>
      <c r="Z2" s="374">
        <f t="shared" si="2"/>
        <v>132.73055801501309</v>
      </c>
      <c r="AA2" s="374">
        <f>AA3+AA7+AA16+AA23</f>
        <v>113.21425195375036</v>
      </c>
      <c r="AC2" s="374" t="s">
        <v>269</v>
      </c>
      <c r="AD2" s="374">
        <f>AD3+AD7+AD16+AD23</f>
        <v>169.142</v>
      </c>
      <c r="AE2" s="374">
        <f t="shared" ref="AE2:AH2" si="4">AE3+AE7+AE16+AE23</f>
        <v>169.142</v>
      </c>
      <c r="AF2" s="374">
        <f t="shared" si="4"/>
        <v>152.3294084912188</v>
      </c>
      <c r="AG2" s="374">
        <f t="shared" si="4"/>
        <v>155.79670323553694</v>
      </c>
      <c r="AH2" s="374">
        <f t="shared" si="4"/>
        <v>145.62359144788326</v>
      </c>
      <c r="AI2" s="374">
        <f>AI3+AI7+AI16+AI23</f>
        <v>149.42129085453621</v>
      </c>
      <c r="AJ2" s="374">
        <f>AJ3+AJ7+AJ16+AJ23</f>
        <v>126.09141504396317</v>
      </c>
      <c r="AK2" s="404">
        <f>AI2-('Bilan 2030'!R5+SUM('Bilan 2030'!E53:E58))</f>
        <v>0.30446969528117052</v>
      </c>
      <c r="AL2" s="404">
        <f>AJ2-('Bilan 2050'!R5+SUM('Bilan 2050'!E53:E58))</f>
        <v>-0.10903400011220299</v>
      </c>
    </row>
    <row r="3" spans="1:72" ht="13">
      <c r="A3" s="375" t="s">
        <v>270</v>
      </c>
      <c r="B3" s="376">
        <f t="shared" ref="B3:H3" si="5">SUM(B4:B5)</f>
        <v>91.21</v>
      </c>
      <c r="C3" s="377">
        <f t="shared" ref="C3" si="6">SUM(C4:C5)</f>
        <v>91.21</v>
      </c>
      <c r="D3" s="376">
        <f t="shared" si="5"/>
        <v>73.855125937974464</v>
      </c>
      <c r="E3" s="376">
        <f t="shared" si="5"/>
        <v>69.818087951340246</v>
      </c>
      <c r="F3" s="376">
        <f t="shared" si="5"/>
        <v>66.955870782402968</v>
      </c>
      <c r="G3" s="376">
        <f t="shared" si="5"/>
        <v>66.707675747632322</v>
      </c>
      <c r="H3" s="376">
        <f t="shared" si="5"/>
        <v>34.828297526827761</v>
      </c>
      <c r="I3" s="373">
        <f>G3-'Bilan 2030'!C33-'Bilan 2030'!C42-'Bilan 2030'!C43-'Bilan 2030'!C44</f>
        <v>0</v>
      </c>
      <c r="K3" s="378" t="s">
        <v>270</v>
      </c>
      <c r="L3" s="378">
        <f>SUM(L4:L6)</f>
        <v>91.21</v>
      </c>
      <c r="M3" s="378">
        <f>SUM(M4:M6)</f>
        <v>91.21</v>
      </c>
      <c r="N3" s="378">
        <f>SUM(N4:N6)</f>
        <v>73.855125937974464</v>
      </c>
      <c r="O3" s="378">
        <f>SUM(O4:O6)</f>
        <v>69.818087951340246</v>
      </c>
      <c r="P3" s="378">
        <f t="shared" ref="P3:R3" si="7">SUM(P4:P6)</f>
        <v>66.955870782402968</v>
      </c>
      <c r="Q3" s="378">
        <f t="shared" si="7"/>
        <v>66.707675747632322</v>
      </c>
      <c r="R3" s="378">
        <f t="shared" si="7"/>
        <v>34.828297526827761</v>
      </c>
      <c r="T3" s="378" t="s">
        <v>270</v>
      </c>
      <c r="U3" s="378">
        <f t="shared" ref="U3:AA3" si="8">SUM(U4:U6)</f>
        <v>84.603402765132103</v>
      </c>
      <c r="V3" s="378">
        <f t="shared" si="8"/>
        <v>84.603402765132103</v>
      </c>
      <c r="W3" s="378">
        <f t="shared" si="8"/>
        <v>58.173525937974453</v>
      </c>
      <c r="X3" s="378">
        <f t="shared" si="8"/>
        <v>54.960508455064101</v>
      </c>
      <c r="Y3" s="378">
        <f t="shared" si="8"/>
        <v>51.699013085782077</v>
      </c>
      <c r="Z3" s="378">
        <f t="shared" si="8"/>
        <v>47.714276089363807</v>
      </c>
      <c r="AA3" s="378">
        <f t="shared" si="8"/>
        <v>21.142333377089713</v>
      </c>
      <c r="AC3" s="378" t="s">
        <v>270</v>
      </c>
      <c r="AD3" s="378">
        <f t="shared" ref="AD3:AJ3" si="9">SUM(AD4:AD6)</f>
        <v>86.36999999999999</v>
      </c>
      <c r="AE3" s="378">
        <f t="shared" si="9"/>
        <v>86.36999999999999</v>
      </c>
      <c r="AF3" s="378">
        <f t="shared" si="9"/>
        <v>72.013405937974454</v>
      </c>
      <c r="AG3" s="378">
        <f t="shared" si="9"/>
        <v>68.015050635997028</v>
      </c>
      <c r="AH3" s="378">
        <f t="shared" si="9"/>
        <v>65.155267241755013</v>
      </c>
      <c r="AI3" s="378">
        <f t="shared" si="9"/>
        <v>64.132784965777859</v>
      </c>
      <c r="AJ3" s="378">
        <f t="shared" si="9"/>
        <v>33.170892332774237</v>
      </c>
      <c r="AK3" s="404">
        <f>AI3-(SUM('Bilan 2030'!C42:C44)-'Bilan 2030'!I44)</f>
        <v>0</v>
      </c>
      <c r="AL3" s="404">
        <f>AJ3-(SUM('Bilan 2050'!C42:C44)-'Bilan 2050'!I44)</f>
        <v>0</v>
      </c>
      <c r="AM3" s="379"/>
      <c r="AN3" s="379">
        <v>2006</v>
      </c>
      <c r="AO3" s="379">
        <v>2010</v>
      </c>
      <c r="AP3" s="379">
        <v>2015</v>
      </c>
      <c r="AQ3" s="379">
        <v>2020</v>
      </c>
      <c r="AR3" s="379">
        <v>2030</v>
      </c>
      <c r="AS3" s="379">
        <v>2050</v>
      </c>
      <c r="AU3" s="379" t="s">
        <v>271</v>
      </c>
      <c r="AV3" s="379">
        <v>2006</v>
      </c>
      <c r="AW3" s="379">
        <v>2010</v>
      </c>
      <c r="AX3" s="379">
        <v>2015</v>
      </c>
      <c r="AY3" s="379">
        <v>2020</v>
      </c>
      <c r="AZ3" s="379">
        <v>2030</v>
      </c>
      <c r="BA3" s="379">
        <v>2050</v>
      </c>
      <c r="BD3" s="379" t="s">
        <v>272</v>
      </c>
      <c r="BE3" s="379">
        <v>2006</v>
      </c>
      <c r="BF3" s="379">
        <v>2010</v>
      </c>
      <c r="BG3" s="379">
        <v>2015</v>
      </c>
      <c r="BH3" s="379">
        <v>2020</v>
      </c>
      <c r="BI3" s="379">
        <v>2030</v>
      </c>
      <c r="BJ3" s="379">
        <v>2050</v>
      </c>
      <c r="BN3" s="379" t="s">
        <v>273</v>
      </c>
      <c r="BO3" s="379">
        <v>2006</v>
      </c>
      <c r="BP3" s="379">
        <v>2010</v>
      </c>
      <c r="BQ3" s="379">
        <v>2015</v>
      </c>
      <c r="BR3" s="379">
        <v>2020</v>
      </c>
      <c r="BS3" s="379">
        <v>2030</v>
      </c>
      <c r="BT3" s="379">
        <v>2050</v>
      </c>
    </row>
    <row r="4" spans="1:72" ht="14.5">
      <c r="A4" s="380" t="s">
        <v>274</v>
      </c>
      <c r="B4" s="381">
        <f>'Bilan 2006'!$C$33+'Bilan 2006'!$C$42+'Bilan 2006'!$C$43</f>
        <v>90.509999999999991</v>
      </c>
      <c r="C4" s="381">
        <f>'Bilan 2010'!$C$33+'Bilan 2010'!$C$42+'Bilan 2010'!$C$43</f>
        <v>90.509999999999991</v>
      </c>
      <c r="D4" s="382">
        <f>'Bilan 2015'!$C$33+'Bilan 2015'!$C$42+'Bilan 2015'!$C$43</f>
        <v>70.906970516172606</v>
      </c>
      <c r="E4" s="382">
        <f>'Bilan 2020 BAU'!$C$33+'Bilan 2020 BAU'!$C$42+'Bilan 2020 BAU'!$C$43</f>
        <v>66.171983661654266</v>
      </c>
      <c r="F4" s="382">
        <f>'Bilan 2025'!$C$33+'Bilan 2025'!$C$42+'Bilan 2025'!$C$43</f>
        <v>63.622600445056634</v>
      </c>
      <c r="G4" s="382">
        <f>'Bilan 2030'!$C$17+'Bilan 2030'!$C$33+'Bilan 2030'!$C$43+'Bilan 2030'!$C$44</f>
        <v>62.736058848167048</v>
      </c>
      <c r="H4" s="382">
        <f>'Bilan 2050'!$C$33+'Bilan 2050'!$C$43+'Bilan 2050'!$C$44</f>
        <v>31.226290043658771</v>
      </c>
      <c r="I4" s="373"/>
      <c r="K4" s="383" t="s">
        <v>274</v>
      </c>
      <c r="L4" s="383">
        <f>B4</f>
        <v>90.509999999999991</v>
      </c>
      <c r="M4" s="383">
        <f t="shared" ref="M4:R5" si="10">C4</f>
        <v>90.509999999999991</v>
      </c>
      <c r="N4" s="383">
        <f t="shared" si="10"/>
        <v>70.906970516172606</v>
      </c>
      <c r="O4" s="383">
        <f t="shared" si="10"/>
        <v>66.171983661654266</v>
      </c>
      <c r="P4" s="383">
        <f t="shared" si="10"/>
        <v>63.622600445056634</v>
      </c>
      <c r="Q4" s="383">
        <f t="shared" si="10"/>
        <v>62.736058848167048</v>
      </c>
      <c r="R4" s="383">
        <f>H4</f>
        <v>31.226290043658771</v>
      </c>
      <c r="S4" s="370">
        <f>2201</f>
        <v>2201</v>
      </c>
      <c r="T4" s="383" t="s">
        <v>274</v>
      </c>
      <c r="U4" s="383">
        <f>'Bilan 2006'!$G$42+'Bilan 2006'!$P$43</f>
        <v>83.9034027651321</v>
      </c>
      <c r="V4" s="383">
        <f>'Bilan 2010'!$G$42+'Bilan 2010'!$P$43</f>
        <v>83.9034027651321</v>
      </c>
      <c r="W4" s="383">
        <f>'Bilan 2015'!$G$42+'Bilan 2015'!$P$43</f>
        <v>55.225370516172603</v>
      </c>
      <c r="X4" s="383">
        <f>'Bilan 2020 BAU'!$G$42+'Bilan 2020 BAU'!$P$43</f>
        <v>51.314404165378122</v>
      </c>
      <c r="Y4" s="383">
        <f>'Bilan 2025'!$G$42+'Bilan 2025'!$P$43</f>
        <v>48.365742748435736</v>
      </c>
      <c r="Z4" s="383">
        <f>'Bilan 2030'!G43+'Bilan 2030'!G44-'Bilan 2030'!I44-'Bilan 2030'!E57</f>
        <v>43.742659189898525</v>
      </c>
      <c r="AA4" s="383">
        <f>'Bilan 2050'!G43+'Bilan 2050'!G44-'Bilan 2050'!I44-'Bilan 2050'!E57</f>
        <v>17.540325893920723</v>
      </c>
      <c r="AB4" s="384"/>
      <c r="AC4" s="383" t="s">
        <v>274</v>
      </c>
      <c r="AD4" s="383">
        <f>'Bilan 2006'!$G$42+'Bilan 2006'!$G$43</f>
        <v>85.669999999999987</v>
      </c>
      <c r="AE4" s="383">
        <f>'Bilan 2010'!$G$42+'Bilan 2010'!$G$43</f>
        <v>85.669999999999987</v>
      </c>
      <c r="AF4" s="383">
        <f>'Bilan 2015'!$G$42+'Bilan 2015'!$G$43+'Bilan 2015'!$G$33</f>
        <v>69.065250516172611</v>
      </c>
      <c r="AG4" s="383">
        <f>'Bilan 2020 BAU'!$G$42+'Bilan 2020 BAU'!$G$43+'Bilan 2020 BAU'!$G$33</f>
        <v>64.368946346311049</v>
      </c>
      <c r="AH4" s="383">
        <f>'Bilan 2025'!$G$42+'Bilan 2025'!$G$43+'Bilan 2025'!$G$33</f>
        <v>61.821996904408678</v>
      </c>
      <c r="AI4" s="383">
        <f>'Bilan 2030'!$G$43+'Bilan 2030'!$G$44+'Bilan 2030'!$G$33-'Bilan 2030'!I44</f>
        <v>60.161168066312584</v>
      </c>
      <c r="AJ4" s="383">
        <f>'Bilan 2050'!$G$43+'Bilan 2050'!$G$44+'Bilan 2050'!$G$33-'Bilan 2050'!I44</f>
        <v>29.568884849605251</v>
      </c>
      <c r="AK4" s="404"/>
      <c r="AL4" s="404"/>
      <c r="AM4" s="385" t="s">
        <v>275</v>
      </c>
      <c r="AN4" s="379">
        <f>AV4/U4</f>
        <v>5.7685383911644614E-2</v>
      </c>
      <c r="AO4" s="379">
        <f t="shared" ref="AO4:AQ5" si="11">AW4/V4</f>
        <v>5.7685383911644614E-2</v>
      </c>
      <c r="AP4" s="379">
        <f t="shared" si="11"/>
        <v>3.2539392369920872E-2</v>
      </c>
      <c r="AQ4" s="379">
        <f t="shared" si="11"/>
        <v>3.501940691367196E-2</v>
      </c>
      <c r="AR4" s="379">
        <f>AZ4/Z4</f>
        <v>5.8864523317528054E-2</v>
      </c>
      <c r="AS4" s="379">
        <f>IF(BA4&gt;0,BA4/AA4,AR4)</f>
        <v>9.4491128846583103E-2</v>
      </c>
      <c r="AU4" s="386" t="s">
        <v>276</v>
      </c>
      <c r="AV4" s="387">
        <f>'Bilan 2006'!$E43+'Bilan 2006'!$E42</f>
        <v>4.8399999999999892</v>
      </c>
      <c r="AW4" s="387">
        <f>'Bilan 2010'!$E43+'Bilan 2010'!$E42</f>
        <v>4.8399999999999892</v>
      </c>
      <c r="AX4" s="387">
        <f>'Bilan 2015'!$E43+'Bilan 2015'!$E42</f>
        <v>1.7969999999999999</v>
      </c>
      <c r="AY4" s="387">
        <f>'Bilan 2020 BAU'!$E43+'Bilan 2020 BAU'!$E42</f>
        <v>1.7969999999999999</v>
      </c>
      <c r="AZ4" s="387">
        <f>'Bilan 2030'!$E44+'Bilan 2030'!$E43+'Bilan 2030'!$I44</f>
        <v>2.5748907818544646</v>
      </c>
      <c r="BA4" s="387">
        <f>'Bilan 2050'!$E44+'Bilan 2050'!$E43+'Bilan 2050'!$I44</f>
        <v>1.657405194053521</v>
      </c>
      <c r="BB4" s="388"/>
      <c r="BD4" s="389" t="s">
        <v>277</v>
      </c>
      <c r="BE4" s="379">
        <f t="shared" ref="BE4:BH5" si="12">BO4/U4</f>
        <v>0</v>
      </c>
      <c r="BF4" s="379">
        <f t="shared" si="12"/>
        <v>0</v>
      </c>
      <c r="BG4" s="379">
        <f t="shared" si="12"/>
        <v>0</v>
      </c>
      <c r="BH4" s="379">
        <f t="shared" si="12"/>
        <v>0</v>
      </c>
      <c r="BI4" s="379">
        <v>0</v>
      </c>
      <c r="BJ4" s="379">
        <v>0</v>
      </c>
      <c r="BK4" s="384"/>
      <c r="BL4" s="384"/>
      <c r="BM4" s="384"/>
      <c r="BN4" s="389" t="s">
        <v>278</v>
      </c>
      <c r="BO4" s="379">
        <f t="shared" ref="BO4:BR5" si="13">BQ4</f>
        <v>0</v>
      </c>
      <c r="BP4" s="379">
        <f t="shared" si="13"/>
        <v>0</v>
      </c>
      <c r="BQ4" s="379">
        <f t="shared" si="13"/>
        <v>0</v>
      </c>
      <c r="BR4" s="379">
        <f t="shared" si="13"/>
        <v>0</v>
      </c>
      <c r="BS4" s="379">
        <f t="shared" ref="BQ4:BT19" si="14">BT4</f>
        <v>0</v>
      </c>
      <c r="BT4" s="379">
        <f t="shared" si="14"/>
        <v>0</v>
      </c>
    </row>
    <row r="5" spans="1:72" ht="14.5">
      <c r="A5" s="380" t="s">
        <v>279</v>
      </c>
      <c r="B5" s="383">
        <f>'Bilan 2006'!$G$41</f>
        <v>0.7</v>
      </c>
      <c r="C5" s="383">
        <f>'Bilan 2010'!$G$41</f>
        <v>0.7</v>
      </c>
      <c r="D5" s="383">
        <f>'Bilan 2015'!$G$41</f>
        <v>2.9481554218018502</v>
      </c>
      <c r="E5" s="383">
        <f>'Bilan 2020 BAU'!$G$41</f>
        <v>3.6461042896859799</v>
      </c>
      <c r="F5" s="383">
        <f>'Bilan 2025'!$G$41</f>
        <v>3.3332703373463399</v>
      </c>
      <c r="G5" s="383">
        <f>'Bilan 2030'!$G$42</f>
        <v>3.9716168994652796</v>
      </c>
      <c r="H5" s="383">
        <f>'Bilan 2050'!$C$42</f>
        <v>3.6020074831689883</v>
      </c>
      <c r="I5" s="390"/>
      <c r="K5" s="383" t="s">
        <v>279</v>
      </c>
      <c r="L5" s="383">
        <f>B5</f>
        <v>0.7</v>
      </c>
      <c r="M5" s="383">
        <f t="shared" si="10"/>
        <v>0.7</v>
      </c>
      <c r="N5" s="383">
        <f t="shared" si="10"/>
        <v>2.9481554218018502</v>
      </c>
      <c r="O5" s="383">
        <f t="shared" si="10"/>
        <v>3.6461042896859799</v>
      </c>
      <c r="P5" s="383">
        <f t="shared" si="10"/>
        <v>3.3332703373463399</v>
      </c>
      <c r="Q5" s="383">
        <f t="shared" si="10"/>
        <v>3.9716168994652796</v>
      </c>
      <c r="R5" s="383">
        <f t="shared" si="10"/>
        <v>3.6020074831689883</v>
      </c>
      <c r="S5" s="370">
        <f>S4+1</f>
        <v>2202</v>
      </c>
      <c r="T5" s="383" t="s">
        <v>279</v>
      </c>
      <c r="U5" s="383">
        <f>'Bilan 2006'!$G$41</f>
        <v>0.7</v>
      </c>
      <c r="V5" s="383">
        <f>'Bilan 2010'!$G$41</f>
        <v>0.7</v>
      </c>
      <c r="W5" s="383">
        <f>'Bilan 2015'!$G$41</f>
        <v>2.9481554218018502</v>
      </c>
      <c r="X5" s="383">
        <f>'Bilan 2020 BAU'!$G$41</f>
        <v>3.6461042896859799</v>
      </c>
      <c r="Y5" s="383">
        <f>'Bilan 2025'!$G$41</f>
        <v>3.3332703373463399</v>
      </c>
      <c r="Z5" s="383">
        <f>'Bilan 2030'!$G$42</f>
        <v>3.9716168994652796</v>
      </c>
      <c r="AA5" s="383">
        <f>'Bilan 2050'!$G$42</f>
        <v>3.6020074831689883</v>
      </c>
      <c r="AB5" s="384"/>
      <c r="AC5" s="383" t="s">
        <v>279</v>
      </c>
      <c r="AD5" s="383">
        <f>'Bilan 2006'!$G$41</f>
        <v>0.7</v>
      </c>
      <c r="AE5" s="383">
        <f>'Bilan 2010'!$G$41</f>
        <v>0.7</v>
      </c>
      <c r="AF5" s="383">
        <f>'Bilan 2015'!$G$41</f>
        <v>2.9481554218018502</v>
      </c>
      <c r="AG5" s="383">
        <f>'Bilan 2020 BAU'!$G$41</f>
        <v>3.6461042896859799</v>
      </c>
      <c r="AH5" s="383">
        <f>'Bilan 2025'!$G$41</f>
        <v>3.3332703373463399</v>
      </c>
      <c r="AI5" s="383">
        <f>'Bilan 2030'!$G$42</f>
        <v>3.9716168994652796</v>
      </c>
      <c r="AJ5" s="383">
        <f>'Bilan 2050'!$G$42</f>
        <v>3.6020074831689883</v>
      </c>
      <c r="AK5" s="404"/>
      <c r="AL5" s="404"/>
      <c r="AM5" s="385" t="s">
        <v>280</v>
      </c>
      <c r="AN5" s="379">
        <f>AV5/U5</f>
        <v>0</v>
      </c>
      <c r="AO5" s="379">
        <f t="shared" si="11"/>
        <v>0</v>
      </c>
      <c r="AP5" s="379">
        <f t="shared" si="11"/>
        <v>0</v>
      </c>
      <c r="AQ5" s="379">
        <f t="shared" si="11"/>
        <v>0</v>
      </c>
      <c r="AR5" s="379">
        <f>AZ5/Z5</f>
        <v>0</v>
      </c>
      <c r="AS5" s="379">
        <f>BA5/AA5</f>
        <v>0</v>
      </c>
      <c r="AU5" s="386" t="s">
        <v>281</v>
      </c>
      <c r="AV5" s="379">
        <f>AX5</f>
        <v>0</v>
      </c>
      <c r="AW5" s="379">
        <f t="shared" ref="AW5:AX5" si="15">AY5</f>
        <v>0</v>
      </c>
      <c r="AX5" s="379">
        <f t="shared" si="15"/>
        <v>0</v>
      </c>
      <c r="AY5" s="387">
        <f>'Bilan 2020 BAU'!$E41</f>
        <v>0</v>
      </c>
      <c r="AZ5" s="387">
        <f>'Bilan 2030'!$E$42</f>
        <v>0</v>
      </c>
      <c r="BA5" s="387">
        <f>'Bilan 2050'!$E$42</f>
        <v>0</v>
      </c>
      <c r="BB5" s="388"/>
      <c r="BD5" s="386" t="s">
        <v>282</v>
      </c>
      <c r="BE5" s="379">
        <f t="shared" si="12"/>
        <v>0</v>
      </c>
      <c r="BF5" s="379">
        <f t="shared" si="12"/>
        <v>0</v>
      </c>
      <c r="BG5" s="379">
        <f t="shared" si="12"/>
        <v>0</v>
      </c>
      <c r="BH5" s="379">
        <f t="shared" si="12"/>
        <v>0</v>
      </c>
      <c r="BI5" s="379">
        <f t="shared" ref="BI5:BJ10" si="16">BS5/Z7</f>
        <v>0</v>
      </c>
      <c r="BJ5" s="379">
        <f t="shared" si="16"/>
        <v>0</v>
      </c>
      <c r="BK5" s="384"/>
      <c r="BL5" s="384"/>
      <c r="BM5" s="384"/>
      <c r="BN5" s="386" t="s">
        <v>283</v>
      </c>
      <c r="BO5" s="379">
        <f t="shared" si="13"/>
        <v>0</v>
      </c>
      <c r="BP5" s="379">
        <f t="shared" si="13"/>
        <v>0</v>
      </c>
      <c r="BQ5" s="379">
        <f t="shared" si="13"/>
        <v>0</v>
      </c>
      <c r="BR5" s="379">
        <f t="shared" si="13"/>
        <v>0</v>
      </c>
      <c r="BS5" s="379">
        <f t="shared" si="14"/>
        <v>0</v>
      </c>
      <c r="BT5" s="379">
        <f t="shared" si="14"/>
        <v>0</v>
      </c>
    </row>
    <row r="6" spans="1:72" ht="14.5">
      <c r="A6" s="391" t="s">
        <v>284</v>
      </c>
      <c r="B6" s="392"/>
      <c r="C6" s="392"/>
      <c r="D6" s="392"/>
      <c r="E6" s="392"/>
      <c r="F6" s="392"/>
      <c r="G6" s="392"/>
      <c r="H6" s="392"/>
      <c r="I6" s="373"/>
      <c r="K6" s="383" t="s">
        <v>181</v>
      </c>
      <c r="L6" s="383"/>
      <c r="M6" s="383"/>
      <c r="N6" s="383"/>
      <c r="O6" s="383"/>
      <c r="P6" s="383"/>
      <c r="Q6" s="383"/>
      <c r="R6" s="383"/>
      <c r="S6" s="370"/>
      <c r="T6" s="383" t="s">
        <v>181</v>
      </c>
      <c r="U6" s="383"/>
      <c r="V6" s="383"/>
      <c r="W6" s="383"/>
      <c r="X6" s="383"/>
      <c r="Y6" s="383"/>
      <c r="Z6" s="383"/>
      <c r="AA6" s="383"/>
      <c r="AB6" s="384"/>
      <c r="AC6" s="383" t="s">
        <v>181</v>
      </c>
      <c r="AD6" s="383"/>
      <c r="AE6" s="383"/>
      <c r="AF6" s="383"/>
      <c r="AG6" s="383"/>
      <c r="AH6" s="383"/>
      <c r="AI6" s="383"/>
      <c r="AJ6" s="383"/>
      <c r="AK6" s="404"/>
      <c r="AL6" s="404"/>
      <c r="AM6" s="385" t="s">
        <v>285</v>
      </c>
      <c r="AN6" s="379">
        <f t="shared" ref="AN6:AQ13" si="17">AV6/U8</f>
        <v>2.6639826179960764</v>
      </c>
      <c r="AO6" s="379">
        <f t="shared" si="17"/>
        <v>2.6639826179960764</v>
      </c>
      <c r="AP6" s="379">
        <f t="shared" si="17"/>
        <v>2.4652584598661704</v>
      </c>
      <c r="AQ6" s="379">
        <f t="shared" si="17"/>
        <v>2.6318195055709466</v>
      </c>
      <c r="AR6" s="379">
        <f>AZ6/Z8</f>
        <v>2.6187392500156776</v>
      </c>
      <c r="AS6" s="379">
        <f>BA6/AA8</f>
        <v>2.5684086339702117</v>
      </c>
      <c r="AU6" s="386" t="s">
        <v>286</v>
      </c>
      <c r="AV6" s="379">
        <f>'Bilan 2006'!$E10</f>
        <v>78.751749761417841</v>
      </c>
      <c r="AW6" s="379">
        <f>'Bilan 2010'!$E10</f>
        <v>78.751749761417841</v>
      </c>
      <c r="AX6" s="379">
        <f>'Bilan 2015'!$E10</f>
        <v>74.654196305271142</v>
      </c>
      <c r="AY6" s="379">
        <f>'Bilan 2020 BAU'!$E10</f>
        <v>73.086844368013743</v>
      </c>
      <c r="AZ6" s="379">
        <f>'Bilan 2030'!$E10+'Bilan 2030'!$I$13*'Bilan 2030'!$G$10/SUM('Bilan 2030'!$G$7:$G$19)</f>
        <v>53.752659249771412</v>
      </c>
      <c r="BA6" s="379">
        <f>'Bilan 2050'!$E10+'Bilan 2050'!$I$13*'Bilan 2050'!$G$10/SUM('Bilan 2050'!$G$7:$G$19)</f>
        <v>54.227901845436534</v>
      </c>
      <c r="BB6" s="388"/>
      <c r="BD6" s="386" t="s">
        <v>287</v>
      </c>
      <c r="BE6" s="379">
        <f t="shared" ref="BE6:BH13" si="18">BO6/U8</f>
        <v>0.1776252322770277</v>
      </c>
      <c r="BF6" s="379">
        <f t="shared" si="18"/>
        <v>0.1776252322770277</v>
      </c>
      <c r="BG6" s="379">
        <f t="shared" si="18"/>
        <v>0.16501419892423161</v>
      </c>
      <c r="BH6" s="379">
        <f t="shared" si="18"/>
        <v>0.16989301457235828</v>
      </c>
      <c r="BI6" s="379">
        <f t="shared" si="16"/>
        <v>0.1903023565741013</v>
      </c>
      <c r="BJ6" s="379">
        <f t="shared" si="16"/>
        <v>9.9471158397093667E-2</v>
      </c>
      <c r="BK6" s="384"/>
      <c r="BL6" s="384"/>
      <c r="BM6" s="384"/>
      <c r="BN6" s="386" t="s">
        <v>288</v>
      </c>
      <c r="BO6" s="379">
        <f>'Bilan 2006'!$I$13*'Bilan 2006'!$G10/SUM('Bilan 2006'!$G$10:$G19)+'Bilan 2006'!$K$12*'Bilan 2006'!G10/SUM('Bilan 2006'!$G$7:$G$19)</f>
        <v>5.2508968148285442</v>
      </c>
      <c r="BP6" s="379">
        <f>'Bilan 2010'!$I$13*'Bilan 2010'!$G10/SUM('Bilan 2010'!$G$10:$G19)+'Bilan 2010'!$K$12*'Bilan 2010'!$G$10/SUM('Bilan 2010'!$G$7:$G$19)</f>
        <v>5.2508968148285442</v>
      </c>
      <c r="BQ6" s="379">
        <f>'Bilan 2015'!$I$13*'Bilan 2015'!$G10/SUM('Bilan 2015'!$G$10:$G19)+'Bilan 2015'!$K$12*'Bilan 2015'!$G$10/SUM('Bilan 2015'!$G$7:$G$19)</f>
        <v>4.9970429470974826</v>
      </c>
      <c r="BR6" s="379">
        <f>'Bilan 2020 BAU'!$I$13*'Bilan 2020 BAU'!$G10/SUM('Bilan 2020 BAU'!$G$10:$G19)+'Bilan 2020 BAU'!$K$12*'Bilan 2020 BAU'!$G$10/SUM('Bilan 2020 BAU'!$G$7:$G$19)</f>
        <v>4.7180075567412096</v>
      </c>
      <c r="BS6" s="379">
        <f>'Bilan 2030'!$I$13*'Bilan 2030'!$G10/SUM('Bilan 2030'!$G$10:$G19)+'Bilan 2030'!$K$12*'Bilan 2030'!$G$10/SUM('Bilan 2030'!$G$7:$G$19)</f>
        <v>3.9061765035579334</v>
      </c>
      <c r="BT6" s="379">
        <f>('Bilan 2050'!$K$12+'Bilan 2050'!$M$12)*'Bilan 2050'!$G$10/SUM('Bilan 2050'!$G$7:$G$19)</f>
        <v>2.1001767953377883</v>
      </c>
    </row>
    <row r="7" spans="1:72" ht="14.5">
      <c r="A7" s="393" t="s">
        <v>289</v>
      </c>
      <c r="B7" s="394"/>
      <c r="C7" s="394"/>
      <c r="D7" s="394"/>
      <c r="E7" s="394"/>
      <c r="F7" s="394"/>
      <c r="G7" s="394"/>
      <c r="H7" s="394"/>
      <c r="I7" s="373"/>
      <c r="K7" s="378" t="s">
        <v>104</v>
      </c>
      <c r="L7" s="378">
        <f>SUM(L8:L15)</f>
        <v>134.57929624030641</v>
      </c>
      <c r="M7" s="378">
        <f>SUM(M8:M15)</f>
        <v>134.57929624030641</v>
      </c>
      <c r="N7" s="378">
        <f>SUM(N8:N15)</f>
        <v>129.56373899657171</v>
      </c>
      <c r="O7" s="378">
        <f>SUM(O8:O15)</f>
        <v>126.96557683867377</v>
      </c>
      <c r="P7" s="378">
        <f t="shared" ref="P7:R7" si="19">SUM(P8:P15)</f>
        <v>130.73565524911177</v>
      </c>
      <c r="Q7" s="378">
        <f t="shared" si="19"/>
        <v>104.1330394067479</v>
      </c>
      <c r="R7" s="378">
        <f t="shared" si="19"/>
        <v>114.21438253313515</v>
      </c>
      <c r="S7" s="370"/>
      <c r="T7" s="378" t="s">
        <v>104</v>
      </c>
      <c r="U7" s="378">
        <f t="shared" ref="U7:AA7" si="20">SUM(U8:U15)</f>
        <v>37</v>
      </c>
      <c r="V7" s="378">
        <f t="shared" si="20"/>
        <v>37</v>
      </c>
      <c r="W7" s="378">
        <f t="shared" si="20"/>
        <v>38.082514273546238</v>
      </c>
      <c r="X7" s="378">
        <f t="shared" si="20"/>
        <v>38.846737528396297</v>
      </c>
      <c r="Y7" s="378">
        <f t="shared" si="20"/>
        <v>39.865017097319217</v>
      </c>
      <c r="Z7" s="378">
        <f t="shared" si="20"/>
        <v>38.720759124121955</v>
      </c>
      <c r="AA7" s="378">
        <f t="shared" si="20"/>
        <v>48.594931205577019</v>
      </c>
      <c r="AB7" s="384"/>
      <c r="AC7" s="378" t="s">
        <v>104</v>
      </c>
      <c r="AD7" s="378">
        <f t="shared" ref="AD7:AJ7" si="21">SUM(AD8:AD15)</f>
        <v>37</v>
      </c>
      <c r="AE7" s="378">
        <f t="shared" si="21"/>
        <v>37</v>
      </c>
      <c r="AF7" s="378">
        <f t="shared" si="21"/>
        <v>38.082514273546238</v>
      </c>
      <c r="AG7" s="378">
        <f t="shared" si="21"/>
        <v>38.846737528396297</v>
      </c>
      <c r="AH7" s="378">
        <f t="shared" si="21"/>
        <v>39.865017097319217</v>
      </c>
      <c r="AI7" s="378">
        <f t="shared" si="21"/>
        <v>38.540759124121962</v>
      </c>
      <c r="AJ7" s="378">
        <f t="shared" si="21"/>
        <v>48.404931205577014</v>
      </c>
      <c r="AK7" s="404">
        <f>AI7-'Bilan 2030'!P7:P19</f>
        <v>2.0000000000017337E-2</v>
      </c>
      <c r="AL7" s="404">
        <f>AJ7-'Bilan 2050'!P7:P19</f>
        <v>1.9999999999996021E-2</v>
      </c>
      <c r="AM7" s="385" t="s">
        <v>290</v>
      </c>
      <c r="AN7" s="379">
        <f t="shared" si="17"/>
        <v>2.1408124259308616</v>
      </c>
      <c r="AO7" s="379">
        <f t="shared" si="17"/>
        <v>2.1408124259308616</v>
      </c>
      <c r="AP7" s="379">
        <f t="shared" si="17"/>
        <v>2.1185969649070864</v>
      </c>
      <c r="AQ7" s="379">
        <f>IF(AY7/X9&gt;0,AY7/X9,AP7)</f>
        <v>2.1185969649070864</v>
      </c>
      <c r="AR7" s="379">
        <f>IF(AZ7/Z9&gt;0,AZ7/Z9,AQ7)</f>
        <v>2.1185969649070864</v>
      </c>
      <c r="AS7" s="379">
        <f>IF(BA7/AA9&gt;0,BA7/AA9,AR7)</f>
        <v>2.1185969649070864</v>
      </c>
      <c r="AU7" s="386" t="s">
        <v>291</v>
      </c>
      <c r="AV7" s="379">
        <f>'Bilan 2006'!$E17</f>
        <v>0.81220000000000003</v>
      </c>
      <c r="AW7" s="379">
        <f>'Bilan 2010'!$E17</f>
        <v>0.81220000000000003</v>
      </c>
      <c r="AX7" s="379">
        <f>'Bilan 2015'!$E17</f>
        <v>0.34000799999999998</v>
      </c>
      <c r="AY7" s="379">
        <f>'Bilan 2020 BAU'!$E17</f>
        <v>0</v>
      </c>
      <c r="AZ7" s="379">
        <f>'Bilan 2030'!$E17+'Bilan 2030'!$I$13*'Bilan 2030'!$G$17/SUM('Bilan 2030'!$G$7:$G$19)</f>
        <v>0</v>
      </c>
      <c r="BA7" s="379">
        <f>'Bilan 2050'!$E17+'Bilan 2050'!$I$13*'Bilan 2050'!$G$17/SUM('Bilan 2050'!$G$7:$G$19)</f>
        <v>0</v>
      </c>
      <c r="BB7" s="388"/>
      <c r="BD7" s="386" t="s">
        <v>292</v>
      </c>
      <c r="BE7" s="379">
        <f t="shared" si="18"/>
        <v>0.17762523227702767</v>
      </c>
      <c r="BF7" s="379">
        <f t="shared" si="18"/>
        <v>0.17762523227702767</v>
      </c>
      <c r="BG7" s="379">
        <f>BQ7/W9</f>
        <v>0.16501419892423164</v>
      </c>
      <c r="BH7" s="379">
        <f>IF(BQ7&gt;0,BQ7/W9,BG7)</f>
        <v>0.16501419892423164</v>
      </c>
      <c r="BI7" s="379">
        <f t="shared" ref="BI7:BI9" si="22">IF(BR7&gt;0,BR7/X9,BH7)</f>
        <v>0.16501419892423164</v>
      </c>
      <c r="BJ7" s="379">
        <f>IF(BS7&gt;0,BS7/Y9,BJ6)</f>
        <v>9.9471158397093667E-2</v>
      </c>
      <c r="BK7" s="384"/>
      <c r="BL7" s="384"/>
      <c r="BM7" s="384"/>
      <c r="BN7" s="386" t="s">
        <v>293</v>
      </c>
      <c r="BO7" s="379">
        <f>'Bilan 2006'!$I$13*'Bilan 2006'!G17/SUM('Bilan 2006'!$G$10:$G19)+'Bilan 2006'!$K$12*'Bilan 2006'!G17/SUM('Bilan 2006'!$G$7:$G$19)</f>
        <v>6.7389002374961482E-2</v>
      </c>
      <c r="BP7" s="379">
        <f>'Bilan 2010'!$I$13*'Bilan 2010'!$G$17/SUM('Bilan 2010'!$G$10:$G19)+'Bilan 2010'!$K$12*'Bilan 2010'!$G$17/SUM('Bilan 2010'!$G$7:$G$19)</f>
        <v>6.7389002374961482E-2</v>
      </c>
      <c r="BQ7" s="379">
        <f>'Bilan 2015'!$I$13*'Bilan 2015'!$G$17/SUM('Bilan 2015'!$G$10:$G19)+'Bilan 2015'!$K$12*'Bilan 2015'!$G$17/SUM('Bilan 2015'!$G$7:$G$19)</f>
        <v>2.6482690515083764E-2</v>
      </c>
      <c r="BR7" s="379">
        <f>'Bilan 2020 BAU'!$I$13*'Bilan 2020 BAU'!$G$17/SUM('Bilan 2020 BAU'!$G$10:$G19)+'Bilan 2020 BAU'!$K$12*'Bilan 2020 BAU'!$G$17/SUM('Bilan 2020 BAU'!$G$7:$G$19)</f>
        <v>0</v>
      </c>
      <c r="BS7" s="379">
        <f>'Bilan 2030'!$I$13*'Bilan 2030'!$G$17/SUM('Bilan 2030'!$G$10:$G19)+'Bilan 2030'!$K$12*'Bilan 2030'!$G$17/SUM('Bilan 2030'!$G$7:$G$19)</f>
        <v>0</v>
      </c>
      <c r="BT7" s="379">
        <f>('Bilan 2050'!$K$12+'Bilan 2050'!$M$12)*'Bilan 2050'!$G$17/SUM('Bilan 2050'!$G$7:$G$19)</f>
        <v>0</v>
      </c>
    </row>
    <row r="8" spans="1:72" ht="14.5">
      <c r="A8" s="380" t="s">
        <v>181</v>
      </c>
      <c r="B8" s="382"/>
      <c r="C8" s="382"/>
      <c r="D8" s="382"/>
      <c r="E8" s="382"/>
      <c r="F8" s="382"/>
      <c r="G8" s="382"/>
      <c r="H8" s="382"/>
      <c r="I8" s="395"/>
      <c r="K8" s="383" t="s">
        <v>20</v>
      </c>
      <c r="L8" s="383">
        <f>B10</f>
        <v>117.53992501704157</v>
      </c>
      <c r="M8" s="383">
        <f t="shared" ref="M8:R12" si="23">C10</f>
        <v>117.53992501704157</v>
      </c>
      <c r="N8" s="383">
        <f t="shared" si="23"/>
        <v>113.97587222178799</v>
      </c>
      <c r="O8" s="383">
        <f t="shared" si="23"/>
        <v>107.48065348237317</v>
      </c>
      <c r="P8" s="383">
        <f t="shared" si="23"/>
        <v>107.5</v>
      </c>
      <c r="Q8" s="383">
        <f t="shared" si="23"/>
        <v>78.167747987180476</v>
      </c>
      <c r="R8" s="383">
        <f t="shared" si="23"/>
        <v>78.167747987180476</v>
      </c>
      <c r="S8" s="370">
        <v>2301</v>
      </c>
      <c r="T8" s="383" t="s">
        <v>20</v>
      </c>
      <c r="U8" s="383">
        <f>'Bilan 2006'!$R$13*'Bilan 2006'!$G10/SUM('Bilan 2006'!$G$7:$G$19)</f>
        <v>29.561660511380193</v>
      </c>
      <c r="V8" s="383">
        <f>'Bilan 2010'!$R$13*'Bilan 2010'!$G10/SUM('Bilan 2010'!$G$7:$G$19)</f>
        <v>29.561660511380193</v>
      </c>
      <c r="W8" s="383">
        <f>'Bilan 2015'!$R$13*'Bilan 2015'!$G10/SUM('Bilan 2015'!$G$7:$G$19)</f>
        <v>30.28250283717669</v>
      </c>
      <c r="X8" s="383">
        <f>'Bilan 2020 BAU'!$R$13*'Bilan 2020 BAU'!$G10/SUM('Bilan 2020 BAU'!$G$7:$G$19)</f>
        <v>27.770462303097148</v>
      </c>
      <c r="Y8" s="383">
        <f>'Bilan 2025'!$R$13*'Bilan 2025'!$G10/SUM('Bilan 2025'!$G$7:$G$19)</f>
        <v>26.489074301851353</v>
      </c>
      <c r="Z8" s="383">
        <f>'Bilan 2030'!$R$13*'Bilan 2030'!$G10/SUM('Bilan 2030'!$G$7:$G$19)</f>
        <v>20.526159391183988</v>
      </c>
      <c r="AA8" s="383">
        <f>'Bilan 2050'!$R$13*'Bilan 2050'!$G10/SUM('Bilan 2050'!$G$7:$G$19)</f>
        <v>21.11342452606997</v>
      </c>
      <c r="AB8" s="384"/>
      <c r="AC8" s="383" t="s">
        <v>20</v>
      </c>
      <c r="AD8" s="383">
        <f>'Bilan 2006'!$R$13*'Bilan 2006'!$G10/SUM('Bilan 2006'!$G$7:$G$19)</f>
        <v>29.561660511380193</v>
      </c>
      <c r="AE8" s="383">
        <f>'Bilan 2010'!$R$13*'Bilan 2010'!$G10/SUM('Bilan 2010'!$G$7:$G$19)</f>
        <v>29.561660511380193</v>
      </c>
      <c r="AF8" s="383">
        <f>'Bilan 2015'!$R$13*'Bilan 2015'!$G10/SUM('Bilan 2015'!$G$7:$G$19)</f>
        <v>30.28250283717669</v>
      </c>
      <c r="AG8" s="383">
        <f>'Bilan 2020 BAU'!$R$13*'Bilan 2020 BAU'!$G$10/SUM('Bilan 2020 BAU'!$G$7:$G$19)</f>
        <v>27.770462303097148</v>
      </c>
      <c r="AH8" s="383">
        <f>'Bilan 2025'!$R$13*'Bilan 2025'!$G$10/SUM('Bilan 2025'!$G$7:$G$19)</f>
        <v>26.489074301851353</v>
      </c>
      <c r="AI8" s="383">
        <f>'Bilan 2030'!$R$13*'Bilan 2030'!$G$10/SUM('Bilan 2030'!$G$7:$G$19)</f>
        <v>20.526159391183988</v>
      </c>
      <c r="AJ8" s="383">
        <f>'Bilan 2050'!$R$13*'Bilan 2050'!$G$10/SUM('Bilan 2050'!$G$7:$G$19)</f>
        <v>21.11342452606997</v>
      </c>
      <c r="AK8" s="404"/>
      <c r="AL8" s="404"/>
      <c r="AM8" s="385" t="s">
        <v>294</v>
      </c>
      <c r="AN8" s="379">
        <f t="shared" si="17"/>
        <v>1.0309442327639402</v>
      </c>
      <c r="AO8" s="379">
        <f t="shared" si="17"/>
        <v>1.0309442327639402</v>
      </c>
      <c r="AP8" s="379">
        <f t="shared" si="17"/>
        <v>1.0202460038377441</v>
      </c>
      <c r="AQ8" s="379">
        <f t="shared" si="17"/>
        <v>1.1899345400043961</v>
      </c>
      <c r="AR8" s="379">
        <f>AZ8/Z10</f>
        <v>0.87518107883360718</v>
      </c>
      <c r="AS8" s="379">
        <f>BA8/AA10</f>
        <v>0.87782177423416641</v>
      </c>
      <c r="AU8" s="386" t="s">
        <v>295</v>
      </c>
      <c r="AV8" s="379">
        <f>'Bilan 2006'!$E19</f>
        <v>1.5619999999999998</v>
      </c>
      <c r="AW8" s="379">
        <f>'Bilan 2010'!$E19</f>
        <v>1.5619999999999998</v>
      </c>
      <c r="AX8" s="379">
        <f>'Bilan 2015'!$E19</f>
        <v>1.0998188017542132</v>
      </c>
      <c r="AY8" s="379">
        <f>'Bilan 2020 BAU'!$E19</f>
        <v>2.0322694856102377</v>
      </c>
      <c r="AZ8" s="379">
        <f>'Bilan 2030'!$E19+'Bilan 2030'!$I$13*'Bilan 2030'!$G$19/SUM('Bilan 2030'!$G$7:$G$19)</f>
        <v>2.5149748848401776</v>
      </c>
      <c r="BA8" s="379">
        <f>'Bilan 2050'!$E19+'Bilan 2050'!$I$13*'Bilan 2050'!$G$19/SUM('Bilan 2050'!$G$7:$G$19)</f>
        <v>2.5947353288687469</v>
      </c>
      <c r="BB8" s="388"/>
      <c r="BD8" s="386" t="s">
        <v>296</v>
      </c>
      <c r="BE8" s="379">
        <f t="shared" si="18"/>
        <v>0.1776252322770277</v>
      </c>
      <c r="BF8" s="379">
        <f t="shared" si="18"/>
        <v>0.1776252322770277</v>
      </c>
      <c r="BG8" s="379">
        <f t="shared" si="18"/>
        <v>0.16501419892423161</v>
      </c>
      <c r="BH8" s="379">
        <f t="shared" si="18"/>
        <v>0.16989301457235825</v>
      </c>
      <c r="BI8" s="379">
        <f t="shared" si="16"/>
        <v>0.19030235657410127</v>
      </c>
      <c r="BJ8" s="379">
        <f>BT8/AA10</f>
        <v>9.9471158397093654E-2</v>
      </c>
      <c r="BK8" s="384"/>
      <c r="BL8" s="384"/>
      <c r="BM8" s="384"/>
      <c r="BN8" s="386" t="s">
        <v>297</v>
      </c>
      <c r="BO8" s="379">
        <f>'Bilan 2006'!$I$13*'Bilan 2006'!$G19/SUM('Bilan 2006'!$G$10:$G19)+'Bilan 2006'!$K$12*'Bilan 2006'!G19/SUM('Bilan 2006'!$G$7:$G$19)</f>
        <v>0.26912281382367104</v>
      </c>
      <c r="BP8" s="379">
        <f>'Bilan 2010'!$I$13*'Bilan 2010'!$G$19/SUM('Bilan 2010'!$G$10:$G$19)+'Bilan 2010'!$K$12*'Bilan 2010'!$G$19/SUM('Bilan 2010'!$G$7:$G$19)</f>
        <v>0.26912281382367104</v>
      </c>
      <c r="BQ8" s="379">
        <f>'Bilan 2015'!$I$13*'Bilan 2015'!$G$19/SUM('Bilan 2015'!$G$10:$G$19)+'Bilan 2015'!$K$12*'Bilan 2015'!$G$19/SUM('Bilan 2015'!$G$7:$G$19)</f>
        <v>0.17788427286223663</v>
      </c>
      <c r="BR8" s="379">
        <f>'Bilan 2020 BAU'!$I$13*'Bilan 2020 BAU'!$G$19/SUM('Bilan 2020 BAU'!$G$10:$G$19)+'Bilan 2020 BAU'!$K$12*'Bilan 2020 BAU'!$G$19/SUM('Bilan 2020 BAU'!$G$7:$G$19)</f>
        <v>0.29015746473958437</v>
      </c>
      <c r="BS8" s="379">
        <f>'Bilan 2030'!$I$13*'Bilan 2030'!$G$19/SUM('Bilan 2030'!$G$10:$G$19)+'Bilan 2030'!$K$12*'Bilan 2030'!$G$19/SUM('Bilan 2030'!$G$7:$G$19)</f>
        <v>0.5468647104981107</v>
      </c>
      <c r="BT8" s="379">
        <f>('Bilan 2050'!$K$12+'Bilan 2050'!$M$12)*'Bilan 2050'!$G$19/SUM('Bilan 2050'!$G$7:$G$19)</f>
        <v>0.29402475134729034</v>
      </c>
    </row>
    <row r="9" spans="1:72" ht="14.5">
      <c r="A9" s="375" t="s">
        <v>104</v>
      </c>
      <c r="B9" s="376">
        <f t="shared" ref="B9:H9" si="24">SUM(B10:B19)</f>
        <v>134.57929624030641</v>
      </c>
      <c r="C9" s="377">
        <f t="shared" ref="C9" si="25">SUM(C10:C19)</f>
        <v>134.57929624030641</v>
      </c>
      <c r="D9" s="376">
        <f t="shared" si="24"/>
        <v>129.56373899657171</v>
      </c>
      <c r="E9" s="376">
        <f t="shared" si="24"/>
        <v>126.95557683867376</v>
      </c>
      <c r="F9" s="376">
        <f t="shared" si="24"/>
        <v>130.72555524911175</v>
      </c>
      <c r="G9" s="378">
        <f t="shared" si="24"/>
        <v>104.11303940674789</v>
      </c>
      <c r="H9" s="376">
        <f t="shared" si="24"/>
        <v>114.20418253313514</v>
      </c>
      <c r="I9" s="715">
        <f>G9-'Bilan 2030'!D7</f>
        <v>0</v>
      </c>
      <c r="K9" s="383" t="s">
        <v>224</v>
      </c>
      <c r="L9" s="383">
        <f>B11</f>
        <v>1.31</v>
      </c>
      <c r="M9" s="383">
        <f t="shared" si="23"/>
        <v>1.31</v>
      </c>
      <c r="N9" s="383">
        <f t="shared" si="23"/>
        <v>0.5484</v>
      </c>
      <c r="O9" s="383">
        <f>E11+0.01</f>
        <v>0.01</v>
      </c>
      <c r="P9" s="383">
        <f>F11+0.01</f>
        <v>0.01</v>
      </c>
      <c r="Q9" s="383">
        <f>G11+0.01</f>
        <v>0.01</v>
      </c>
      <c r="R9" s="383">
        <f>H11+0.01</f>
        <v>0.01</v>
      </c>
      <c r="S9" s="370">
        <f>S8+1</f>
        <v>2302</v>
      </c>
      <c r="T9" s="383" t="s">
        <v>224</v>
      </c>
      <c r="U9" s="383">
        <f>'Bilan 2006'!$R$13*'Bilan 2006'!$G$17/SUM('Bilan 2006'!$G$7:$G$19)</f>
        <v>0.37938867981245095</v>
      </c>
      <c r="V9" s="383">
        <f>'Bilan 2010'!$R$13*'Bilan 2010'!$G$17/SUM('Bilan 2010'!$G$7:$G$19)</f>
        <v>0.37938867981245095</v>
      </c>
      <c r="W9" s="383">
        <f>'Bilan 2015'!$R$13*'Bilan 2015'!$G$17/SUM('Bilan 2015'!$G$7:$G$19)</f>
        <v>0.16048734404512444</v>
      </c>
      <c r="X9" s="383">
        <f>'Bilan 2020 BAU'!$R$13*'Bilan 2020 BAU'!$G$17/SUM('Bilan 2020 BAU'!$G$7:$G$19)+0.1</f>
        <v>0.1</v>
      </c>
      <c r="Y9" s="383">
        <f>'Bilan 2025'!$R$13*'Bilan 2025'!$G$17/SUM('Bilan 2025'!$G$7:$G$19)+0.1</f>
        <v>0.1</v>
      </c>
      <c r="Z9" s="383">
        <f>'Bilan 2030'!$R$13*'Bilan 2030'!$G$17/SUM('Bilan 2030'!$G$7:$G$19)+0.1</f>
        <v>0.1</v>
      </c>
      <c r="AA9" s="383">
        <f>'Bilan 2050'!$R$13*'Bilan 2050'!$G$17/SUM('Bilan 2050'!$G$7:$G$19)+0.1</f>
        <v>0.1</v>
      </c>
      <c r="AB9" s="384"/>
      <c r="AC9" s="383" t="s">
        <v>224</v>
      </c>
      <c r="AD9" s="383">
        <f>'Bilan 2006'!$R$13*'Bilan 2006'!$G$17/SUM('Bilan 2006'!$G$7:$G$19)</f>
        <v>0.37938867981245095</v>
      </c>
      <c r="AE9" s="383">
        <f>'Bilan 2010'!$R$13*'Bilan 2010'!$G$17/SUM('Bilan 2010'!$G$7:$G$19)</f>
        <v>0.37938867981245095</v>
      </c>
      <c r="AF9" s="383">
        <f>'Bilan 2015'!$R$13*'Bilan 2015'!$G$17/SUM('Bilan 2015'!$G$7:$G$19)</f>
        <v>0.16048734404512444</v>
      </c>
      <c r="AG9" s="383">
        <f>'Bilan 2020 BAU'!$R$13*'Bilan 2020 BAU'!$G$17/SUM('Bilan 2020 BAU'!$G$7:$G$19)+0.1</f>
        <v>0.1</v>
      </c>
      <c r="AH9" s="383">
        <f>'Bilan 2025'!$R$13*'Bilan 2025'!$G$17/SUM('Bilan 2025'!$G$7:$G$19)+0.1</f>
        <v>0.1</v>
      </c>
      <c r="AI9" s="383">
        <f>'Bilan 2030'!$R$13*'Bilan 2030'!$G$17/SUM('Bilan 2030'!$G$7:$G$19)+0.01</f>
        <v>0.01</v>
      </c>
      <c r="AJ9" s="383">
        <f>'Bilan 2050'!$R$13*'Bilan 2050'!$G$17/SUM('Bilan 2050'!$G$7:$G$19)+0.01</f>
        <v>0.01</v>
      </c>
      <c r="AK9" s="404"/>
      <c r="AL9" s="404"/>
      <c r="AM9" s="385" t="s">
        <v>298</v>
      </c>
      <c r="AN9" s="379">
        <f t="shared" si="17"/>
        <v>2.1408124259308616</v>
      </c>
      <c r="AO9" s="379">
        <f t="shared" si="17"/>
        <v>2.1408124259308616</v>
      </c>
      <c r="AP9" s="379">
        <f t="shared" si="17"/>
        <v>2.1185969649070864</v>
      </c>
      <c r="AQ9" s="379">
        <f t="shared" si="17"/>
        <v>3.715509890217807</v>
      </c>
      <c r="AR9" s="379">
        <f>IF(AZ9/Z11&gt;0,AZ9/Z11,AQ9)</f>
        <v>3.715509890217807</v>
      </c>
      <c r="AS9" s="379">
        <f>IF(BA9/AA11&gt;0,BA9/AA11,AR9)</f>
        <v>3.715509890217807</v>
      </c>
      <c r="AU9" s="386" t="s">
        <v>299</v>
      </c>
      <c r="AV9" s="379">
        <f>'Bilan 2006'!$E18</f>
        <v>3.2363999999999997</v>
      </c>
      <c r="AW9" s="379">
        <f>'Bilan 2010'!$E18</f>
        <v>3.2363999999999997</v>
      </c>
      <c r="AX9" s="379">
        <f>'Bilan 2015'!$E18</f>
        <v>1.7862438232846845</v>
      </c>
      <c r="AY9" s="379">
        <f>'Bilan 2020 BAU'!$E18</f>
        <v>1.9346517626827169</v>
      </c>
      <c r="AZ9" s="379">
        <f>'Bilan 2030'!$E18+'Bilan 2030'!$I$13*'Bilan 2030'!$G$18/SUM('Bilan 2030'!$G$7:$G$19)</f>
        <v>0</v>
      </c>
      <c r="BA9" s="379">
        <f>'Bilan 2050'!$E18+'Bilan 2050'!$I$13*'Bilan 2050'!$G$18/SUM('Bilan 2050'!$G$7:$G$19)</f>
        <v>0</v>
      </c>
      <c r="BB9" s="388"/>
      <c r="BD9" s="386" t="s">
        <v>300</v>
      </c>
      <c r="BE9" s="379">
        <f t="shared" si="18"/>
        <v>0.1776252322770277</v>
      </c>
      <c r="BF9" s="379">
        <f t="shared" si="18"/>
        <v>0.1776252322770277</v>
      </c>
      <c r="BG9" s="379">
        <f t="shared" si="18"/>
        <v>0.16501419892423161</v>
      </c>
      <c r="BH9" s="379">
        <f t="shared" si="18"/>
        <v>0.16989301457235825</v>
      </c>
      <c r="BI9" s="379">
        <f t="shared" si="22"/>
        <v>0.16989301457235825</v>
      </c>
      <c r="BJ9" s="379">
        <f>IF(BT9&gt;0,BT9/AA11,BJ8)</f>
        <v>9.9471158397093654E-2</v>
      </c>
      <c r="BK9" s="384"/>
      <c r="BL9" s="384"/>
      <c r="BM9" s="384"/>
      <c r="BN9" s="386" t="s">
        <v>301</v>
      </c>
      <c r="BO9" s="379">
        <f>'Bilan 2006'!$I$13*'Bilan 2006'!$G18/SUM('Bilan 2006'!$G$10:$G19)+'Bilan 2006'!$K$12*'Bilan 2006'!G18/SUM('Bilan 2006'!$G$7:$G$19)</f>
        <v>0.26852716976893048</v>
      </c>
      <c r="BP9" s="379">
        <f>'Bilan 2010'!$I$13*'Bilan 2010'!$G$18/SUM('Bilan 2010'!$G$10:$G$19)+'Bilan 2010'!$K$12*'Bilan 2010'!$G$18/SUM('Bilan 2010'!$G$7:$G$19)</f>
        <v>0.26852716976893048</v>
      </c>
      <c r="BQ9" s="379">
        <f>'Bilan 2015'!$I$13*'Bilan 2015'!$G$18/SUM('Bilan 2015'!$G$10:$G$19)+'Bilan 2015'!$K$12*'Bilan 2015'!$G$18/SUM('Bilan 2015'!$G$7:$G$19)</f>
        <v>0.13912773333723991</v>
      </c>
      <c r="BR9" s="379">
        <f>'Bilan 2020 BAU'!$I$13*'Bilan 2020 BAU'!$G$18/SUM('Bilan 2020 BAU'!$G$10:$G$19)+'Bilan 2020 BAU'!$K$12*'Bilan 2020 BAU'!$G$18/SUM('Bilan 2020 BAU'!$G$7:$G$19)</f>
        <v>8.846264168889767E-2</v>
      </c>
      <c r="BS9" s="379">
        <f>'Bilan 2030'!$I$13*'Bilan 2030'!$G$18/SUM('Bilan 2030'!$G$10:$G$19)+'Bilan 2030'!$K$12*'Bilan 2030'!$G$18/SUM('Bilan 2030'!$G$7:$G$19)</f>
        <v>0</v>
      </c>
      <c r="BT9" s="379">
        <f>('Bilan 2050'!$K$12+'Bilan 2050'!$M$12)*'Bilan 2050'!$G$18/SUM('Bilan 2050'!$G$7:$G$19)</f>
        <v>0</v>
      </c>
    </row>
    <row r="10" spans="1:72" ht="14.5">
      <c r="A10" s="380" t="s">
        <v>20</v>
      </c>
      <c r="B10" s="382">
        <f>'Bilan 2006'!$C10</f>
        <v>117.53992501704157</v>
      </c>
      <c r="C10" s="381">
        <f>'Bilan 2010'!$C10</f>
        <v>117.53992501704157</v>
      </c>
      <c r="D10" s="382">
        <f>'Bilan 2015'!$C10</f>
        <v>113.97587222178799</v>
      </c>
      <c r="E10" s="382">
        <f>'Bilan 2020 BAU'!$C10</f>
        <v>107.48065348237317</v>
      </c>
      <c r="F10" s="382">
        <f>'Bilan 2025'!$C10</f>
        <v>107.5</v>
      </c>
      <c r="G10" s="383">
        <f>'Bilan 2030'!$C10</f>
        <v>78.167747987180476</v>
      </c>
      <c r="H10" s="382">
        <f>'Bilan 2050'!$C10</f>
        <v>78.167747987180476</v>
      </c>
      <c r="I10" s="395"/>
      <c r="K10" s="383" t="s">
        <v>32</v>
      </c>
      <c r="L10" s="383">
        <f>B12</f>
        <v>3.5500000000000003</v>
      </c>
      <c r="M10" s="383">
        <f t="shared" si="23"/>
        <v>3.5500000000000003</v>
      </c>
      <c r="N10" s="383">
        <f t="shared" si="23"/>
        <v>2.4995881858050302</v>
      </c>
      <c r="O10" s="383">
        <f t="shared" si="23"/>
        <v>4.1474887461433418</v>
      </c>
      <c r="P10" s="383">
        <f t="shared" si="23"/>
        <v>4.1369911906422878</v>
      </c>
      <c r="Q10" s="383">
        <f t="shared" si="23"/>
        <v>5.9330873080774467</v>
      </c>
      <c r="R10" s="383">
        <f t="shared" si="23"/>
        <v>5.9463137887128994</v>
      </c>
      <c r="S10" s="370">
        <f t="shared" ref="S10:S15" si="26">S9+1</f>
        <v>2303</v>
      </c>
      <c r="T10" s="383" t="s">
        <v>32</v>
      </c>
      <c r="U10" s="383">
        <f>'Bilan 2006'!$R$13*'Bilan 2006'!$G$19/SUM('Bilan 2006'!$G$7:$G$19)</f>
        <v>1.5151159008982573</v>
      </c>
      <c r="V10" s="383">
        <f>'Bilan 2010'!$R$13*'Bilan 2010'!$G$19/SUM('Bilan 2010'!$G$7:$G$19)</f>
        <v>1.5151159008982573</v>
      </c>
      <c r="W10" s="383">
        <f>'Bilan 2015'!$R$13*'Bilan 2015'!$G$19/SUM('Bilan 2015'!$G$7:$G$19)</f>
        <v>1.0779937364293994</v>
      </c>
      <c r="X10" s="383">
        <f>'Bilan 2020 BAU'!$R$13*'Bilan 2020 BAU'!$G$19/SUM('Bilan 2020 BAU'!$G$7:$G$19)</f>
        <v>1.7078834316404745</v>
      </c>
      <c r="Y10" s="383">
        <f>'Bilan 2025'!$R$13*'Bilan 2025'!$G$19/SUM('Bilan 2025'!$G$7:$G$19)</f>
        <v>1.6883745793187463</v>
      </c>
      <c r="Z10" s="383">
        <f>'Bilan 2030'!$R$13*'Bilan 2030'!$G$19/SUM('Bilan 2030'!$G$7:$G$19)</f>
        <v>2.8736623147657587</v>
      </c>
      <c r="AA10" s="383">
        <f>'Bilan 2050'!$R$13*'Bilan 2050'!$G$19/SUM('Bilan 2050'!$G$7:$G$19)</f>
        <v>2.955879433649796</v>
      </c>
      <c r="AB10" s="384"/>
      <c r="AC10" s="383" t="s">
        <v>32</v>
      </c>
      <c r="AD10" s="383">
        <f>'Bilan 2006'!$R$13*'Bilan 2006'!$G$19/SUM('Bilan 2006'!$G$7:$G$19)</f>
        <v>1.5151159008982573</v>
      </c>
      <c r="AE10" s="383">
        <f>'Bilan 2010'!$R$13*'Bilan 2010'!$G$19/SUM('Bilan 2010'!$G$7:$G$19)</f>
        <v>1.5151159008982573</v>
      </c>
      <c r="AF10" s="383">
        <f>'Bilan 2015'!$R$13*'Bilan 2015'!$G$19/SUM('Bilan 2015'!$G$7:$G$19)</f>
        <v>1.0779937364293994</v>
      </c>
      <c r="AG10" s="383">
        <f>'Bilan 2020 BAU'!$R$13*'Bilan 2020 BAU'!$G$19/SUM('Bilan 2020 BAU'!$G$7:$G$19)</f>
        <v>1.7078834316404745</v>
      </c>
      <c r="AH10" s="383">
        <f>'Bilan 2025'!$R$13*'Bilan 2025'!$G$19/SUM('Bilan 2025'!$G$7:$G$19)</f>
        <v>1.6883745793187463</v>
      </c>
      <c r="AI10" s="383">
        <f>'Bilan 2030'!$R$13*'Bilan 2030'!$G$19/SUM('Bilan 2030'!$G$7:$G$19)</f>
        <v>2.8736623147657587</v>
      </c>
      <c r="AJ10" s="383">
        <f>'Bilan 2050'!$R$13*'Bilan 2050'!$G$19/SUM('Bilan 2050'!$G$7:$G$19)</f>
        <v>2.955879433649796</v>
      </c>
      <c r="AK10" s="404"/>
      <c r="AL10" s="404"/>
      <c r="AM10" s="385" t="s">
        <v>302</v>
      </c>
      <c r="AN10" s="379">
        <f t="shared" si="17"/>
        <v>0</v>
      </c>
      <c r="AO10" s="379">
        <f t="shared" si="17"/>
        <v>0</v>
      </c>
      <c r="AP10" s="379">
        <f t="shared" si="17"/>
        <v>0</v>
      </c>
      <c r="AQ10" s="379">
        <f t="shared" si="17"/>
        <v>0</v>
      </c>
      <c r="AR10" s="379">
        <f t="shared" ref="AR10:AS13" si="27">AZ10/Z12</f>
        <v>6.4382881399230721E-2</v>
      </c>
      <c r="AS10" s="379">
        <f t="shared" si="27"/>
        <v>8.6861086225811693E-2</v>
      </c>
      <c r="AU10" s="386" t="s">
        <v>303</v>
      </c>
      <c r="AV10" s="379">
        <f>'Bilan 2006'!$E7</f>
        <v>0</v>
      </c>
      <c r="AW10" s="379">
        <f>'Bilan 2010'!$E7</f>
        <v>0</v>
      </c>
      <c r="AX10" s="379">
        <f>'Bilan 2015'!$E7</f>
        <v>0</v>
      </c>
      <c r="AY10" s="379">
        <f>'Bilan 2020 BAU'!$E7</f>
        <v>0</v>
      </c>
      <c r="AZ10" s="379">
        <f>'Bilan 2030'!$E7+'Bilan 2030'!$I$13*'Bilan 2030'!$G$7/SUM('Bilan 2030'!$G$7:$G$19)</f>
        <v>0.41408042950814883</v>
      </c>
      <c r="BA10" s="379">
        <f>'Bilan 2050'!$E7+'Bilan 2050'!$I$13*'Bilan 2050'!$G$7/SUM('Bilan 2050'!$G$7:$G$19)</f>
        <v>1.0514560599478484</v>
      </c>
      <c r="BB10" s="388"/>
      <c r="BD10" s="386" t="s">
        <v>304</v>
      </c>
      <c r="BE10" s="379">
        <f t="shared" si="18"/>
        <v>5.319192278064161E-2</v>
      </c>
      <c r="BF10" s="379">
        <f t="shared" si="18"/>
        <v>5.319192278064161E-2</v>
      </c>
      <c r="BG10" s="379">
        <f t="shared" si="18"/>
        <v>7.9921040170571472E-2</v>
      </c>
      <c r="BH10" s="379">
        <f t="shared" si="18"/>
        <v>7.9244994495703172E-2</v>
      </c>
      <c r="BI10" s="379">
        <f t="shared" si="16"/>
        <v>8.262316904247928E-2</v>
      </c>
      <c r="BJ10" s="379">
        <f t="shared" si="16"/>
        <v>9.8314517020383255E-2</v>
      </c>
      <c r="BK10" s="384"/>
      <c r="BL10" s="384"/>
      <c r="BM10" s="384"/>
      <c r="BN10" s="386" t="s">
        <v>305</v>
      </c>
      <c r="BO10" s="379">
        <f>'Bilan 2006'!$K$12*'Bilan 2006'!G7/SUM('Bilan 2006'!$G$7:$G$19)</f>
        <v>1.624607716981142E-2</v>
      </c>
      <c r="BP10" s="379">
        <f>'Bilan 2010'!$K$12*'Bilan 2010'!$G$7/SUM('Bilan 2010'!$G$7:$G$19)</f>
        <v>1.624607716981142E-2</v>
      </c>
      <c r="BQ10" s="379">
        <f>'Bilan 2015'!$K$12*'Bilan 2015'!$G$7/SUM('Bilan 2015'!$G$7:$G$19)</f>
        <v>0.11166668285057463</v>
      </c>
      <c r="BR10" s="379">
        <f>'Bilan 2020 BAU'!$K$12*'Bilan 2020 BAU'!$G$7/SUM('Bilan 2020 BAU'!$G$7:$G$19)</f>
        <v>0.21456533790432644</v>
      </c>
      <c r="BS10" s="379">
        <f>'Bilan 2030'!$K$12*'Bilan 2030'!$G$7/SUM('Bilan 2030'!$G$7:$G$19)</f>
        <v>0.53139338564680938</v>
      </c>
      <c r="BT10" s="379">
        <f>('Bilan 2050'!$K$12+'Bilan 2050'!$M$12)*'Bilan 2050'!$G$7/SUM('Bilan 2050'!$G$7:$G$19)</f>
        <v>1.1901001840247465</v>
      </c>
    </row>
    <row r="11" spans="1:72" ht="14.5">
      <c r="A11" s="380" t="s">
        <v>224</v>
      </c>
      <c r="B11" s="382">
        <f>'Bilan 2006'!$C$17</f>
        <v>1.31</v>
      </c>
      <c r="C11" s="381">
        <f>'Bilan 2010'!$C$17</f>
        <v>1.31</v>
      </c>
      <c r="D11" s="382">
        <f>'Bilan 2015'!$C$17</f>
        <v>0.5484</v>
      </c>
      <c r="E11" s="382">
        <f>'Bilan 2020 BAU'!$C$17</f>
        <v>0</v>
      </c>
      <c r="F11" s="382">
        <f>'Bilan 2025'!$C$17</f>
        <v>0</v>
      </c>
      <c r="G11" s="383">
        <f>'Bilan 2030'!$C$17</f>
        <v>0</v>
      </c>
      <c r="H11" s="382">
        <f>'Bilan 2050'!$C$17</f>
        <v>0</v>
      </c>
      <c r="I11" s="395"/>
      <c r="K11" s="383" t="s">
        <v>42</v>
      </c>
      <c r="L11" s="383">
        <f>B13</f>
        <v>5.22</v>
      </c>
      <c r="M11" s="383">
        <f t="shared" si="23"/>
        <v>5.22</v>
      </c>
      <c r="N11" s="383">
        <f t="shared" si="23"/>
        <v>2.8810384246527168</v>
      </c>
      <c r="O11" s="383">
        <f t="shared" si="23"/>
        <v>2.5795356835769558</v>
      </c>
      <c r="P11" s="383">
        <f>F13+0.0001</f>
        <v>2.5796356835769561</v>
      </c>
      <c r="Q11" s="383">
        <f>G13+0.01</f>
        <v>0.01</v>
      </c>
      <c r="R11" s="383">
        <f>H13+0.0001</f>
        <v>1E-4</v>
      </c>
      <c r="S11" s="370">
        <f t="shared" si="26"/>
        <v>2304</v>
      </c>
      <c r="T11" s="383" t="s">
        <v>42</v>
      </c>
      <c r="U11" s="383">
        <f>'Bilan 2006'!$R$13*'Bilan 2006'!$G$18/SUM('Bilan 2006'!$G$7:$G$19)</f>
        <v>1.5117625256648808</v>
      </c>
      <c r="V11" s="383">
        <f>'Bilan 2010'!$R$13*'Bilan 2010'!$G$18/SUM('Bilan 2010'!$G$7:$G$19)</f>
        <v>1.5117625256648808</v>
      </c>
      <c r="W11" s="383">
        <f>'Bilan 2015'!$R$13*'Bilan 2015'!$G$18/SUM('Bilan 2015'!$G$7:$G$19)</f>
        <v>0.84312582943921199</v>
      </c>
      <c r="X11" s="383">
        <f>'Bilan 2020 BAU'!$R$13*'Bilan 2020 BAU'!$G$18/SUM('Bilan 2020 BAU'!$G$7:$G$19)</f>
        <v>0.52069616818307152</v>
      </c>
      <c r="Y11" s="383">
        <f>'Bilan 2025'!$R$13*'Bilan 2025'!$G$18/SUM('Bilan 2025'!$G$7:$G$19)+0.1</f>
        <v>0.59658075862316062</v>
      </c>
      <c r="Z11" s="383">
        <f>'Bilan 2030'!$R$13*'Bilan 2030'!$G$18/SUM('Bilan 2030'!$G$7:$G$19)+0.1</f>
        <v>0.1</v>
      </c>
      <c r="AA11" s="383">
        <f>'Bilan 2050'!$R$13*'Bilan 2050'!$G$18/SUM('Bilan 2050'!$G$7:$G$19)+0.1</f>
        <v>0.1</v>
      </c>
      <c r="AB11" s="384"/>
      <c r="AC11" s="383" t="s">
        <v>42</v>
      </c>
      <c r="AD11" s="383">
        <f>'Bilan 2006'!$R$13*'Bilan 2006'!$G$18/SUM('Bilan 2006'!$G$7:$G$19)</f>
        <v>1.5117625256648808</v>
      </c>
      <c r="AE11" s="383">
        <f>'Bilan 2010'!$R$13*'Bilan 2010'!$G$18/SUM('Bilan 2010'!$G$7:$G$19)</f>
        <v>1.5117625256648808</v>
      </c>
      <c r="AF11" s="383">
        <f>'Bilan 2015'!$R$13*'Bilan 2015'!$G$18/SUM('Bilan 2015'!$G$7:$G$19)</f>
        <v>0.84312582943921199</v>
      </c>
      <c r="AG11" s="383">
        <f>'Bilan 2020 BAU'!$R$13*'Bilan 2020 BAU'!$G$18/SUM('Bilan 2020 BAU'!$G$7:$G$19)</f>
        <v>0.52069616818307152</v>
      </c>
      <c r="AH11" s="383">
        <f>'Bilan 2025'!$R$13*'Bilan 2025'!$G$18/SUM('Bilan 2025'!$G$7:$G$19)+0.1</f>
        <v>0.59658075862316062</v>
      </c>
      <c r="AI11" s="383">
        <f>'Bilan 2030'!$R$13*'Bilan 2030'!$G$18/SUM('Bilan 2030'!$G$7:$G$19)+0.01</f>
        <v>0.01</v>
      </c>
      <c r="AJ11" s="383">
        <f>'Bilan 2050'!$R$13*'Bilan 2050'!$G$18/SUM('Bilan 2050'!$G$7:$G$19)+0.01</f>
        <v>0.01</v>
      </c>
      <c r="AK11" s="404"/>
      <c r="AL11" s="404"/>
      <c r="AM11" s="385" t="s">
        <v>306</v>
      </c>
      <c r="AN11" s="379">
        <f t="shared" si="17"/>
        <v>0</v>
      </c>
      <c r="AO11" s="379">
        <f t="shared" si="17"/>
        <v>0</v>
      </c>
      <c r="AP11" s="379">
        <f t="shared" si="17"/>
        <v>0</v>
      </c>
      <c r="AQ11" s="379">
        <f t="shared" si="17"/>
        <v>0</v>
      </c>
      <c r="AR11" s="379">
        <f t="shared" si="27"/>
        <v>6.7244342794752096E-2</v>
      </c>
      <c r="AS11" s="379">
        <f t="shared" si="27"/>
        <v>8.7882981357880072E-2</v>
      </c>
      <c r="AU11" s="386" t="s">
        <v>307</v>
      </c>
      <c r="AV11" s="379">
        <f>'Bilan 2006'!$E9</f>
        <v>0</v>
      </c>
      <c r="AW11" s="379">
        <f>'Bilan 2010'!$E9</f>
        <v>0</v>
      </c>
      <c r="AX11" s="379">
        <f>'Bilan 2015'!$E9</f>
        <v>0</v>
      </c>
      <c r="AY11" s="379">
        <f>'Bilan 2020 BAU'!$E9</f>
        <v>0</v>
      </c>
      <c r="AZ11" s="379">
        <f>'Bilan 2030'!$E9+'Bilan 2030'!$I$13*'Bilan 2030'!$G$9/SUM('Bilan 2030'!$G$7:$G$19)</f>
        <v>0.13802680983604962</v>
      </c>
      <c r="BA11" s="379">
        <f>'Bilan 2050'!$E9+'Bilan 2050'!$I$13*'Bilan 2050'!$G$9/SUM('Bilan 2050'!$G$7:$G$19)</f>
        <v>0.4638776735064038</v>
      </c>
      <c r="BB11" s="388"/>
      <c r="BD11" s="386" t="s">
        <v>308</v>
      </c>
      <c r="BE11" s="379">
        <f t="shared" si="18"/>
        <v>5.3191922780641603E-2</v>
      </c>
      <c r="BF11" s="379">
        <f t="shared" si="18"/>
        <v>5.3191922780641603E-2</v>
      </c>
      <c r="BG11" s="379">
        <f t="shared" si="18"/>
        <v>7.9921040170571458E-2</v>
      </c>
      <c r="BH11" s="379">
        <f t="shared" si="18"/>
        <v>7.9244994495703172E-2</v>
      </c>
      <c r="BI11" s="379">
        <f>BS11/Z13</f>
        <v>8.6295309888811692E-2</v>
      </c>
      <c r="BJ11" s="379">
        <f>BT11/AA13</f>
        <v>9.9471158397093667E-2</v>
      </c>
      <c r="BK11" s="384"/>
      <c r="BL11" s="384"/>
      <c r="BM11" s="384"/>
      <c r="BN11" s="386" t="s">
        <v>309</v>
      </c>
      <c r="BO11" s="379">
        <f>'Bilan 2006'!$K$12*'Bilan 2006'!G9/SUM('Bilan 2006'!$G$7:$G$19)</f>
        <v>3.6553673632075691E-3</v>
      </c>
      <c r="BP11" s="379">
        <f>'Bilan 2010'!$K$12*'Bilan 2010'!$G$9/SUM('Bilan 2010'!$G$7:$G$19)</f>
        <v>3.6553673632075691E-3</v>
      </c>
      <c r="BQ11" s="379">
        <f>'Bilan 2015'!$K$12*'Bilan 2015'!$G$9/SUM('Bilan 2015'!$G$7:$G$19)</f>
        <v>3.9162722895462382E-2</v>
      </c>
      <c r="BR11" s="379">
        <f>'Bilan 2020 BAU'!$K$12*'Bilan 2020 BAU'!$G$9/SUM('Bilan 2020 BAU'!$G$7:$G$19)</f>
        <v>8.8026805294082647E-2</v>
      </c>
      <c r="BS11" s="379">
        <f>'Bilan 2030'!$K$12*'Bilan 2030'!$G$9/SUM('Bilan 2030'!$G$7:$G$19)</f>
        <v>0.17713112854893648</v>
      </c>
      <c r="BT11" s="379">
        <f>('Bilan 2050'!$K$12+'Bilan 2050'!$M$12)*'Bilan 2050'!$G$9/SUM('Bilan 2050'!$G$7:$G$19)</f>
        <v>0.52504419883444708</v>
      </c>
    </row>
    <row r="12" spans="1:72" ht="14.5">
      <c r="A12" s="380" t="s">
        <v>32</v>
      </c>
      <c r="B12" s="382">
        <f>'Bilan 2006'!$C$19</f>
        <v>3.5500000000000003</v>
      </c>
      <c r="C12" s="381">
        <f>'Bilan 2010'!$C$19</f>
        <v>3.5500000000000003</v>
      </c>
      <c r="D12" s="382">
        <f>'Bilan 2015'!$C$19</f>
        <v>2.4995881858050302</v>
      </c>
      <c r="E12" s="382">
        <f>'Bilan 2020 BAU'!$C$19</f>
        <v>4.1474887461433418</v>
      </c>
      <c r="F12" s="382">
        <f>'Bilan 2025'!$C$19</f>
        <v>4.1369911906422878</v>
      </c>
      <c r="G12" s="383">
        <f>'Bilan 2030'!$C$19</f>
        <v>5.9330873080774467</v>
      </c>
      <c r="H12" s="382">
        <f>'Bilan 2050'!$C$19</f>
        <v>5.9463137887128994</v>
      </c>
      <c r="I12" s="395"/>
      <c r="K12" s="383" t="s">
        <v>310</v>
      </c>
      <c r="L12" s="383">
        <f>B14</f>
        <v>0.40074990492018342</v>
      </c>
      <c r="M12" s="383">
        <f t="shared" si="23"/>
        <v>0.40074990492018342</v>
      </c>
      <c r="N12" s="383">
        <f t="shared" si="23"/>
        <v>1.8142734307824566</v>
      </c>
      <c r="O12" s="383">
        <f t="shared" si="23"/>
        <v>3.3533963886500429</v>
      </c>
      <c r="P12" s="383">
        <f t="shared" si="23"/>
        <v>5.5889939810834042</v>
      </c>
      <c r="Q12" s="383">
        <f t="shared" si="23"/>
        <v>8.082545141874462</v>
      </c>
      <c r="R12" s="383">
        <f t="shared" si="23"/>
        <v>14.789337919174548</v>
      </c>
      <c r="S12" s="370">
        <f t="shared" si="26"/>
        <v>2305</v>
      </c>
      <c r="T12" s="383" t="s">
        <v>310</v>
      </c>
      <c r="U12" s="383">
        <f>'Bilan 2006'!$R$13*'Bilan 2006'!$G$7/SUM('Bilan 2006'!$G$7:$G$19)</f>
        <v>0.30542376211532501</v>
      </c>
      <c r="V12" s="383">
        <f>'Bilan 2010'!$R$13*'Bilan 2010'!$G$7/SUM('Bilan 2010'!$G$7:$G$19)</f>
        <v>0.30542376211532501</v>
      </c>
      <c r="W12" s="383">
        <f>'Bilan 2015'!$R$13*'Bilan 2015'!$G$7/SUM('Bilan 2015'!$G$7:$G$19)</f>
        <v>1.3972125814710372</v>
      </c>
      <c r="X12" s="383">
        <f>'Bilan 2020 BAU'!$R$13*'Bilan 2020 BAU'!$G$7/SUM('Bilan 2020 BAU'!$G$7:$G$19)</f>
        <v>2.7076200745519721</v>
      </c>
      <c r="Y12" s="383">
        <f>'Bilan 2025'!$R$13*'Bilan 2025'!$G$7/SUM('Bilan 2025'!$G$7:$G$19)</f>
        <v>4.303699908067391</v>
      </c>
      <c r="Z12" s="383">
        <f>'Bilan 2030'!$R$13*('Bilan 2030'!$G$7+'Bilan 2030'!$G$15)/SUM('Bilan 2030'!$G$7:$G$19)</f>
        <v>6.4315299425709833</v>
      </c>
      <c r="AA12" s="383">
        <f>'Bilan 2050'!$R$13*('Bilan 2050'!$G$7+'Bilan 2050'!$G$15)/SUM('Bilan 2050'!$G$7:$G$19)</f>
        <v>12.10503006161345</v>
      </c>
      <c r="AB12" s="384"/>
      <c r="AC12" s="383" t="s">
        <v>310</v>
      </c>
      <c r="AD12" s="383">
        <f>'Bilan 2006'!$R$13*'Bilan 2006'!$G$7/SUM('Bilan 2006'!$G$7:$G$19)</f>
        <v>0.30542376211532501</v>
      </c>
      <c r="AE12" s="383">
        <f>'Bilan 2010'!$R$13*'Bilan 2010'!$G$7/SUM('Bilan 2010'!$G$7:$G$19)</f>
        <v>0.30542376211532501</v>
      </c>
      <c r="AF12" s="383">
        <f>'Bilan 2015'!$R$13*'Bilan 2015'!$G$7/SUM('Bilan 2015'!$G$7:$G$19)</f>
        <v>1.3972125814710372</v>
      </c>
      <c r="AG12" s="383">
        <f>'Bilan 2020 BAU'!$R$13*'Bilan 2020 BAU'!$G$7/SUM('Bilan 2020 BAU'!$G$7:$G$19)</f>
        <v>2.7076200745519721</v>
      </c>
      <c r="AH12" s="383">
        <f>'Bilan 2025'!$R$13*'Bilan 2025'!$G$7/SUM('Bilan 2025'!$G$7:$G$19)</f>
        <v>4.303699908067391</v>
      </c>
      <c r="AI12" s="383">
        <f>'Bilan 2030'!$R$13*('Bilan 2030'!$G$7+'Bilan 2030'!$G$15)/SUM('Bilan 2030'!$G$7:$G$19)</f>
        <v>6.4315299425709833</v>
      </c>
      <c r="AJ12" s="383">
        <f>'Bilan 2050'!$R$13*('Bilan 2050'!$G$7+'Bilan 2050'!$G$15)/SUM('Bilan 2050'!$G$7:$G$19)</f>
        <v>12.10503006161345</v>
      </c>
      <c r="AK12" s="404"/>
      <c r="AL12" s="404"/>
      <c r="AM12" s="385" t="s">
        <v>311</v>
      </c>
      <c r="AN12" s="379">
        <f t="shared" si="17"/>
        <v>0.14579009352217337</v>
      </c>
      <c r="AO12" s="379">
        <f t="shared" si="17"/>
        <v>0.14579009352217337</v>
      </c>
      <c r="AP12" s="379">
        <f t="shared" si="17"/>
        <v>0.14427721266392349</v>
      </c>
      <c r="AQ12" s="379">
        <f t="shared" si="17"/>
        <v>0</v>
      </c>
      <c r="AR12" s="379">
        <f t="shared" si="27"/>
        <v>6.7244342794752082E-2</v>
      </c>
      <c r="AS12" s="379">
        <f t="shared" si="27"/>
        <v>8.7882981357880058E-2</v>
      </c>
      <c r="AU12" s="386" t="s">
        <v>312</v>
      </c>
      <c r="AV12" s="379">
        <f>'Bilan 2006'!$E$8</f>
        <v>0.50084526066881996</v>
      </c>
      <c r="AW12" s="379">
        <f>'Bilan 2010'!$E$8</f>
        <v>0.50084526066881996</v>
      </c>
      <c r="AX12" s="379">
        <f>'Bilan 2015'!$E$8</f>
        <v>0.50472914875322683</v>
      </c>
      <c r="AY12" s="379">
        <f>'Bilan 2020 BAU'!$E$8</f>
        <v>0</v>
      </c>
      <c r="AZ12" s="379">
        <f>'Bilan 2030'!$E$8+'Bilan 2030'!$I$13*'Bilan 2030'!$G$8/SUM('Bilan 2030'!$G$7:$G$19)</f>
        <v>0.36347059923493058</v>
      </c>
      <c r="BA12" s="379">
        <f>'Bilan 2050'!$E$8+'Bilan 2050'!$I$13*'Bilan 2050'!$G$8/SUM('Bilan 2050'!$G$7:$G$19)</f>
        <v>0.48861781609341198</v>
      </c>
      <c r="BB12" s="388"/>
      <c r="BD12" s="386" t="s">
        <v>313</v>
      </c>
      <c r="BE12" s="379">
        <f t="shared" si="18"/>
        <v>5.3191922780641603E-2</v>
      </c>
      <c r="BF12" s="379">
        <f t="shared" si="18"/>
        <v>5.3191922780641603E-2</v>
      </c>
      <c r="BG12" s="379">
        <f t="shared" si="18"/>
        <v>7.9921040170571472E-2</v>
      </c>
      <c r="BH12" s="379">
        <f t="shared" si="18"/>
        <v>7.92449944957032E-2</v>
      </c>
      <c r="BI12" s="379">
        <f t="shared" ref="BI12:BJ20" si="28">BS12/Z14</f>
        <v>9.0664692667992042E-2</v>
      </c>
      <c r="BJ12" s="379">
        <f t="shared" si="28"/>
        <v>0.1019894155717036</v>
      </c>
      <c r="BK12" s="384"/>
      <c r="BL12" s="384"/>
      <c r="BM12" s="384"/>
      <c r="BN12" s="386" t="s">
        <v>314</v>
      </c>
      <c r="BO12" s="379">
        <f>'Bilan 2006'!$K$12*('Bilan 2006'!$G8+'Bilan 2006'!$G15)/SUM('Bilan 2006'!$G$7:$G$19)</f>
        <v>0.18273479210365098</v>
      </c>
      <c r="BP12" s="379">
        <f>'Bilan 2010'!$K$12*('Bilan 2010'!$G$8+'Bilan 2010'!$G$15)/SUM('Bilan 2010'!$G$7:$G$19)</f>
        <v>0.18273479210365098</v>
      </c>
      <c r="BQ12" s="379">
        <f>'Bilan 2015'!$K$12*('Bilan 2015'!$G$8+'Bilan 2015'!$G$15)/SUM('Bilan 2015'!$G$7:$G$19)</f>
        <v>0.27959008791449724</v>
      </c>
      <c r="BR12" s="379">
        <f>'Bilan 2020 BAU'!$K$12*('Bilan 2020 BAU'!$G$8+'Bilan 2020 BAU'!$G$15)/SUM('Bilan 2020 BAU'!$G$7:$G$19)</f>
        <v>0.33560219518369017</v>
      </c>
      <c r="BS12" s="379">
        <f>'Bilan 2030'!$K$12*('Bilan 2030'!$G$8+'Bilan 2030'!$G$15)/SUM('Bilan 2030'!$G$7:$G$19)</f>
        <v>0.49006278898539096</v>
      </c>
      <c r="BT12" s="379">
        <f>('Bilan 2050'!$K$12+'Bilan 2050'!$M$12)*('Bilan 2050'!$G$8+'Bilan 2050'!$G$15)/SUM('Bilan 2050'!$G$7:$G$19)</f>
        <v>0.56704773474120274</v>
      </c>
    </row>
    <row r="13" spans="1:72" ht="14.5">
      <c r="A13" s="380" t="s">
        <v>42</v>
      </c>
      <c r="B13" s="383">
        <f>'Bilan 2006'!$C$18</f>
        <v>5.22</v>
      </c>
      <c r="C13" s="381">
        <f>'Bilan 2010'!$C$18</f>
        <v>5.22</v>
      </c>
      <c r="D13" s="383">
        <f>'Bilan 2015'!$C$18</f>
        <v>2.8810384246527168</v>
      </c>
      <c r="E13" s="383">
        <f>'Bilan 2020 BAU'!$C$18</f>
        <v>2.5795356835769558</v>
      </c>
      <c r="F13" s="383">
        <f>'Bilan 2025'!$C$18</f>
        <v>2.5795356835769558</v>
      </c>
      <c r="G13" s="383">
        <f>'Bilan 2030'!$C$18</f>
        <v>0</v>
      </c>
      <c r="H13" s="383">
        <f>'Bilan 2050'!$C$18</f>
        <v>0</v>
      </c>
      <c r="I13" s="395"/>
      <c r="K13" s="383" t="s">
        <v>315</v>
      </c>
      <c r="L13" s="383">
        <f>B17</f>
        <v>9.0168711656441719E-2</v>
      </c>
      <c r="M13" s="383">
        <f t="shared" ref="M13:R15" si="29">C17</f>
        <v>9.0168711656441719E-2</v>
      </c>
      <c r="N13" s="383">
        <f t="shared" si="29"/>
        <v>0.63628546861565138</v>
      </c>
      <c r="O13" s="383">
        <f t="shared" si="29"/>
        <v>1.3757523645743766</v>
      </c>
      <c r="P13" s="383">
        <f t="shared" si="29"/>
        <v>2.2355975924333618</v>
      </c>
      <c r="Q13" s="383">
        <f t="shared" si="29"/>
        <v>2.5795356835769558</v>
      </c>
      <c r="R13" s="383">
        <f t="shared" si="29"/>
        <v>6.44883920894239</v>
      </c>
      <c r="S13" s="370">
        <f t="shared" si="26"/>
        <v>2306</v>
      </c>
      <c r="T13" s="383" t="s">
        <v>315</v>
      </c>
      <c r="U13" s="383">
        <f>'Bilan 2006'!$R$13*'Bilan 2006'!$G$9/SUM('Bilan 2006'!$G$7:$G$19)</f>
        <v>6.872034647594813E-2</v>
      </c>
      <c r="V13" s="383">
        <f>'Bilan 2010'!$R$13*'Bilan 2010'!$G$9/SUM('Bilan 2010'!$G$7:$G$19)</f>
        <v>6.872034647594813E-2</v>
      </c>
      <c r="W13" s="383">
        <f>'Bilan 2015'!$R$13*'Bilan 2015'!$G$9/SUM('Bilan 2015'!$G$7:$G$19)</f>
        <v>0.49001768260121925</v>
      </c>
      <c r="X13" s="383">
        <f>'Bilan 2020 BAU'!$R$13*'Bilan 2020 BAU'!$G$9/SUM('Bilan 2020 BAU'!$G$7:$G$19)</f>
        <v>1.1108184921238859</v>
      </c>
      <c r="Y13" s="383">
        <f>'Bilan 2025'!$R$13*'Bilan 2025'!$G$9/SUM('Bilan 2025'!$G$7:$G$19)</f>
        <v>1.7214799632269566</v>
      </c>
      <c r="Z13" s="383">
        <f>'Bilan 2030'!$R$13*'Bilan 2030'!$G$9/SUM('Bilan 2030'!$G$7:$G$19)</f>
        <v>2.0526159391183989</v>
      </c>
      <c r="AA13" s="383">
        <f>'Bilan 2050'!$R$13*'Bilan 2050'!$G$9/SUM('Bilan 2050'!$G$7:$G$19)</f>
        <v>5.2783561315174925</v>
      </c>
      <c r="AB13" s="384"/>
      <c r="AC13" s="383" t="s">
        <v>315</v>
      </c>
      <c r="AD13" s="383">
        <f>'Bilan 2006'!$R$13*'Bilan 2006'!$G$9/SUM('Bilan 2006'!$G$7:$G$19)</f>
        <v>6.872034647594813E-2</v>
      </c>
      <c r="AE13" s="383">
        <f>'Bilan 2010'!$R$13*'Bilan 2010'!$G$9/SUM('Bilan 2010'!$G$7:$G$19)</f>
        <v>6.872034647594813E-2</v>
      </c>
      <c r="AF13" s="383">
        <f>'Bilan 2015'!$R$13*'Bilan 2015'!$G$9/SUM('Bilan 2015'!$G$7:$G$19)</f>
        <v>0.49001768260121925</v>
      </c>
      <c r="AG13" s="383">
        <f>'Bilan 2020 BAU'!$R$13*'Bilan 2020 BAU'!$G$9/SUM('Bilan 2020 BAU'!$G$7:$G$19)</f>
        <v>1.1108184921238859</v>
      </c>
      <c r="AH13" s="383">
        <f>'Bilan 2025'!$R$13*'Bilan 2025'!$G$9/SUM('Bilan 2025'!$G$7:$G$19)</f>
        <v>1.7214799632269566</v>
      </c>
      <c r="AI13" s="383">
        <f>'Bilan 2030'!$R$13*'Bilan 2030'!$G$9/SUM('Bilan 2030'!$G$7:$G$19)</f>
        <v>2.0526159391183989</v>
      </c>
      <c r="AJ13" s="383">
        <f>'Bilan 2050'!$R$13*'Bilan 2050'!$G$9/SUM('Bilan 2050'!$G$7:$G$19)</f>
        <v>5.2783561315174925</v>
      </c>
      <c r="AK13" s="404"/>
      <c r="AL13" s="404"/>
      <c r="AM13" s="385" t="s">
        <v>316</v>
      </c>
      <c r="AN13" s="379">
        <f t="shared" si="17"/>
        <v>5.2484433667982424</v>
      </c>
      <c r="AO13" s="379">
        <f t="shared" si="17"/>
        <v>5.2484433667982424</v>
      </c>
      <c r="AP13" s="379">
        <f t="shared" si="17"/>
        <v>5.1939796559012423</v>
      </c>
      <c r="AQ13" s="379">
        <f t="shared" si="17"/>
        <v>2.756668628226115</v>
      </c>
      <c r="AR13" s="379">
        <f t="shared" si="27"/>
        <v>0.88703122755738406</v>
      </c>
      <c r="AS13" s="379">
        <f t="shared" si="27"/>
        <v>0.36392238383358139</v>
      </c>
      <c r="AU13" s="386" t="s">
        <v>317</v>
      </c>
      <c r="AV13" s="379">
        <f>'Bilan 2006'!$E14+'Bilan 2006'!$E13+'Bilan 2006'!$E11+'Bilan 2006'!$E12</f>
        <v>1.1679999999999999</v>
      </c>
      <c r="AW13" s="379">
        <f>'Bilan 2010'!$E14+'Bilan 2010'!$E13+'Bilan 2010'!$E11+'Bilan 2010'!$E12</f>
        <v>1.1679999999999999</v>
      </c>
      <c r="AX13" s="379">
        <f>'Bilan 2015'!$E14+'Bilan 2015'!$E13+'Bilan 2015'!$E11+'Bilan 2015'!$E12</f>
        <v>1.7287918219164964</v>
      </c>
      <c r="AY13" s="379">
        <f>'Bilan 2020 BAU'!$E14+'Bilan 2020 BAU'!$E13+'Bilan 2020 BAU'!$E11+'Bilan 2020 BAU'!$E12</f>
        <v>1.9138490555570962</v>
      </c>
      <c r="AZ13" s="379">
        <f>('Bilan 2030'!$E14+'Bilan 2030'!$E13+'Bilan 2030'!$E11+'Bilan 2030'!$E12)+'Bilan 2030'!$I$13*('Bilan 2030'!$G14+'Bilan 2030'!$G13+'Bilan 2030'!$G11+'Bilan 2030'!$G12)/SUM('Bilan 2030'!$G$7:$G$19)</f>
        <v>1.0924406617080276</v>
      </c>
      <c r="BA13" s="379">
        <f>('Bilan 2050'!$E14+'Bilan 2050'!$E13+'Bilan 2050'!$E11+'Bilan 2050'!$E12)+'Bilan 2050'!$I$13*('Bilan 2050'!$G14+'Bilan 2050'!$G13+'Bilan 2050'!$G11+'Bilan 2050'!$G12)/SUM('Bilan 2050'!$G$7:$G$19)</f>
        <v>0.503076329825492</v>
      </c>
      <c r="BB13" s="388"/>
      <c r="BD13" s="386" t="s">
        <v>318</v>
      </c>
      <c r="BE13" s="379">
        <f t="shared" si="18"/>
        <v>0.1776252322770277</v>
      </c>
      <c r="BF13" s="379">
        <f t="shared" si="18"/>
        <v>0.1776252322770277</v>
      </c>
      <c r="BG13" s="379">
        <f t="shared" si="18"/>
        <v>0.16501419892423161</v>
      </c>
      <c r="BH13" s="379">
        <f t="shared" si="18"/>
        <v>0.16989301457235825</v>
      </c>
      <c r="BI13" s="379">
        <f t="shared" si="28"/>
        <v>0.19030235657410136</v>
      </c>
      <c r="BJ13" s="379">
        <f t="shared" si="28"/>
        <v>9.8751590034592579E-2</v>
      </c>
      <c r="BK13" s="384"/>
      <c r="BL13" s="384"/>
      <c r="BM13" s="384"/>
      <c r="BN13" s="386" t="s">
        <v>319</v>
      </c>
      <c r="BO13" s="379">
        <f>'Bilan 2006'!$I$13*('Bilan 2006'!$G12+'Bilan 2006'!$G13+'Bilan 2006'!$G14+'Bilan 2006'!$G16)/SUM('Bilan 2006'!$G$10:$G19)+'Bilan 2006'!$K$12*('Bilan 2006'!$G12+'Bilan 2006'!$G13+'Bilan 2006'!$G14+'Bilan 2006'!$G16)/SUM('Bilan 2006'!$G$7:$G$19)</f>
        <v>3.9529105450961735E-2</v>
      </c>
      <c r="BP13" s="379">
        <f>'Bilan 2010'!$I$13*('Bilan 2010'!$G$12+'Bilan 2010'!$G$13+'Bilan 2010'!$G$14+'Bilan 2010'!$G$16)/SUM('Bilan 2010'!$G$10:$G$19)+'Bilan 2010'!$K$12*('Bilan 2010'!$G$12+'Bilan 2010'!$G$13+'Bilan 2010'!$G$14+'Bilan 2010'!$G$16)/SUM('Bilan 2010'!$G$7:$G$19)</f>
        <v>3.9529105450961735E-2</v>
      </c>
      <c r="BQ13" s="379">
        <f>'Bilan 2015'!$I$13*('Bilan 2015'!$G$12+'Bilan 2015'!$G$13+'Bilan 2015'!$G$14+'Bilan 2015'!$G$16)/SUM('Bilan 2015'!$G$10:$G$19)+'Bilan 2015'!$K$12*('Bilan 2015'!$G$12+'Bilan 2015'!$G$13+'Bilan 2015'!$G$14+'Bilan 2015'!$G$16)/SUM('Bilan 2015'!$G$7:$G$19)</f>
        <v>5.4924203885972578E-2</v>
      </c>
      <c r="BR13" s="379">
        <f>'Bilan 2020 BAU'!$I$13*('Bilan 2020 BAU'!$G$12+'Bilan 2020 BAU'!$G$13+'Bilan 2020 BAU'!$G$14+'Bilan 2020 BAU'!$G$16)/SUM('Bilan 2020 BAU'!$G$10:$G$19)+'Bilan 2020 BAU'!$K$12*('Bilan 2020 BAU'!$G$12+'Bilan 2020 BAU'!$G$13+'Bilan 2020 BAU'!$G$14+'Bilan 2020 BAU'!$G$16)/SUM('Bilan 2020 BAU'!$G$7:$G$19)</f>
        <v>0.11795018891853024</v>
      </c>
      <c r="BS13" s="379">
        <f>'Bilan 2030'!$I$13*('Bilan 2030'!$G$12+'Bilan 2030'!$G$13+'Bilan 2030'!$G$14+'Bilan 2030'!$G$16)/SUM('Bilan 2030'!$G$10:$G$19)+'Bilan 2030'!$K$12*('Bilan 2030'!$G$12+'Bilan 2030'!$G$13+'Bilan 2030'!$G$14+'Bilan 2030'!$G$16)/SUM('Bilan 2030'!$G$7:$G$19)</f>
        <v>0.23437059021347606</v>
      </c>
      <c r="BT13" s="379">
        <f>('Bilan 2050'!$K$12+'Bilan 2050'!$M$12)*('Bilan 2050'!$G$12+'Bilan 2050'!$G$13+'Bilan 2050'!$G$14+'Bilan 2050'!$G$16)/SUM('Bilan 2050'!$G$7:$G$19)</f>
        <v>0.13651149169695623</v>
      </c>
    </row>
    <row r="14" spans="1:72" ht="14.5">
      <c r="A14" s="380" t="s">
        <v>310</v>
      </c>
      <c r="B14" s="382">
        <f>'Bilan 2006'!$C7+'Bilan 2006'!$C15</f>
        <v>0.40074990492018342</v>
      </c>
      <c r="C14" s="381">
        <f>'Bilan 2010'!$C7+'Bilan 2010'!$C15</f>
        <v>0.40074990492018342</v>
      </c>
      <c r="D14" s="382">
        <f>'Bilan 2015'!$C7+'Bilan 2015'!$C15</f>
        <v>1.8142734307824566</v>
      </c>
      <c r="E14" s="382">
        <f>'Bilan 2020 BAU'!$C7+'Bilan 2020 BAU'!$C15</f>
        <v>3.3533963886500429</v>
      </c>
      <c r="F14" s="382">
        <f>'Bilan 2025'!$C7+'Bilan 2025'!$C15</f>
        <v>5.5889939810834042</v>
      </c>
      <c r="G14" s="383">
        <f>'Bilan 2030'!$C7+'Bilan 2030'!$C15</f>
        <v>8.082545141874462</v>
      </c>
      <c r="H14" s="382">
        <f>'Bilan 2050'!$C7+'Bilan 2050'!$C15</f>
        <v>14.789337919174548</v>
      </c>
      <c r="I14" s="395"/>
      <c r="K14" s="383" t="s">
        <v>18</v>
      </c>
      <c r="L14" s="383">
        <f>B18</f>
        <v>5.0084526066881994</v>
      </c>
      <c r="M14" s="383">
        <f t="shared" si="29"/>
        <v>5.0084526066881994</v>
      </c>
      <c r="N14" s="383">
        <f t="shared" si="29"/>
        <v>5.0472914875322665</v>
      </c>
      <c r="O14" s="383">
        <f t="shared" si="29"/>
        <v>5.2450558899398105</v>
      </c>
      <c r="P14" s="383">
        <f t="shared" si="29"/>
        <v>5.2450558899398105</v>
      </c>
      <c r="Q14" s="383">
        <f t="shared" si="29"/>
        <v>6.7927773000859837</v>
      </c>
      <c r="R14" s="383">
        <f t="shared" si="29"/>
        <v>6.7927773000859846</v>
      </c>
      <c r="S14" s="370">
        <f t="shared" si="26"/>
        <v>2307</v>
      </c>
      <c r="T14" s="383" t="s">
        <v>18</v>
      </c>
      <c r="U14" s="383">
        <f>'Bilan 2006'!$R$13*'Bilan 2006'!$G$8/SUM('Bilan 2006'!$G$7:$G$19)</f>
        <v>3.4353860990743232</v>
      </c>
      <c r="V14" s="383">
        <f>'Bilan 2010'!$R$13*'Bilan 2010'!$G$8/SUM('Bilan 2010'!$G$7:$G$19)</f>
        <v>3.4353860990743232</v>
      </c>
      <c r="W14" s="383">
        <f>'Bilan 2015'!$R$13*'Bilan 2015'!$G$8/SUM('Bilan 2015'!$G$7:$G$19)</f>
        <v>3.4983289421381669</v>
      </c>
      <c r="X14" s="383">
        <f>'Bilan 2020 BAU'!$R$13*'Bilan 2020 BAU'!$G$8/SUM('Bilan 2020 BAU'!$G$7:$G$19)</f>
        <v>4.2349955012223148</v>
      </c>
      <c r="Y14" s="383">
        <f>'Bilan 2025'!$R$13*'Bilan 2025'!$G$8/SUM('Bilan 2025'!$G$7:$G$19)</f>
        <v>4.0388568368017062</v>
      </c>
      <c r="Z14" s="383">
        <f>'Bilan 2030'!$R$13*'Bilan 2030'!$G$8/SUM('Bilan 2030'!$G$7:$G$19)</f>
        <v>5.4052219730117841</v>
      </c>
      <c r="AA14" s="383">
        <f>'Bilan 2050'!$R$13*'Bilan 2050'!$G$8/SUM('Bilan 2050'!$G$7:$G$19)</f>
        <v>5.5598684585317599</v>
      </c>
      <c r="AB14" s="384"/>
      <c r="AC14" s="383" t="s">
        <v>18</v>
      </c>
      <c r="AD14" s="383">
        <f>'Bilan 2006'!$R$13*'Bilan 2006'!$G$8/SUM('Bilan 2006'!$G$7:$G$19)</f>
        <v>3.4353860990743232</v>
      </c>
      <c r="AE14" s="383">
        <f>'Bilan 2010'!$R$13*'Bilan 2010'!$G$8/SUM('Bilan 2010'!$G$7:$G$19)</f>
        <v>3.4353860990743232</v>
      </c>
      <c r="AF14" s="383">
        <f>'Bilan 2015'!$R$13*'Bilan 2015'!$G$8/SUM('Bilan 2015'!$G$7:$G$19)</f>
        <v>3.4983289421381669</v>
      </c>
      <c r="AG14" s="383">
        <f>'Bilan 2020 BAU'!$R$13*'Bilan 2020 BAU'!$G$8/SUM('Bilan 2020 BAU'!$G$7:$G$19)</f>
        <v>4.2349955012223148</v>
      </c>
      <c r="AH14" s="383">
        <f>'Bilan 2025'!$R$13*'Bilan 2025'!$G$8/SUM('Bilan 2025'!$G$7:$G$19)</f>
        <v>4.0388568368017062</v>
      </c>
      <c r="AI14" s="383">
        <f>'Bilan 2030'!$R$13*'Bilan 2030'!$G$8/SUM('Bilan 2030'!$G$7:$G$19)</f>
        <v>5.4052219730117841</v>
      </c>
      <c r="AJ14" s="383">
        <f>'Bilan 2050'!$R$13*'Bilan 2050'!$G$8/SUM('Bilan 2050'!$G$7:$G$19)</f>
        <v>5.5598684585317599</v>
      </c>
      <c r="AK14" s="404"/>
      <c r="AL14" s="404"/>
      <c r="AM14" s="385" t="s">
        <v>320</v>
      </c>
      <c r="AN14" s="379">
        <f>AV14/U17</f>
        <v>2.8964306612053816E-2</v>
      </c>
      <c r="AO14" s="379">
        <f t="shared" ref="AO14:AQ20" si="30">AW14/V17</f>
        <v>2.8964306612053816E-2</v>
      </c>
      <c r="AP14" s="379">
        <f t="shared" si="30"/>
        <v>5.4939330399375243E-2</v>
      </c>
      <c r="AQ14" s="379">
        <f t="shared" si="30"/>
        <v>7.2868039580703203E-2</v>
      </c>
      <c r="AR14" s="379">
        <f>AZ14/Z17</f>
        <v>4.2273689946126472E-2</v>
      </c>
      <c r="AS14" s="379">
        <f>BA14/AA17</f>
        <v>3.13361668272941E-2</v>
      </c>
      <c r="AU14" s="386" t="s">
        <v>321</v>
      </c>
      <c r="AV14" s="387">
        <f>'Bilan 2006'!$E$24+'Bilan 2006'!$E32</f>
        <v>0.98999999999999988</v>
      </c>
      <c r="AW14" s="387">
        <f>'Bilan 2010'!$E$24+'Bilan 2010'!$E32</f>
        <v>0.98999999999999988</v>
      </c>
      <c r="AX14" s="387">
        <f>'Bilan 2015'!$E$24+'Bilan 2015'!$E32</f>
        <v>1.6971563102266647</v>
      </c>
      <c r="AY14" s="387">
        <f>'Bilan 2020 BAU'!$E$24+'Bilan 2020 BAU'!$E32</f>
        <v>2.1020900496916561</v>
      </c>
      <c r="AZ14" s="387">
        <f>'Bilan 2030'!$E$24+'Bilan 2030'!$E32+'Bilan 2030'!$I$24*'Bilan 2030'!$G$24/SUM('Bilan 2030'!$G$21:$G$24)</f>
        <v>1.2241552373959681</v>
      </c>
      <c r="BA14" s="387">
        <f>'Bilan 2050'!$E$24+'Bilan 2050'!$E32+'Bilan 2050'!$I$24*'Bilan 2050'!$G$24/SUM('Bilan 2050'!$G$21:$G$24)</f>
        <v>0.68595997522033414</v>
      </c>
      <c r="BB14" s="388"/>
      <c r="BD14" s="386" t="s">
        <v>322</v>
      </c>
      <c r="BE14" s="379">
        <f t="shared" ref="BE14:BH15" si="31">BO14/U17</f>
        <v>0</v>
      </c>
      <c r="BF14" s="379">
        <f t="shared" si="31"/>
        <v>0</v>
      </c>
      <c r="BG14" s="379">
        <f t="shared" si="31"/>
        <v>0</v>
      </c>
      <c r="BH14" s="379">
        <f t="shared" si="31"/>
        <v>0</v>
      </c>
      <c r="BI14" s="379">
        <f t="shared" si="28"/>
        <v>0</v>
      </c>
      <c r="BJ14" s="379">
        <f t="shared" si="28"/>
        <v>0</v>
      </c>
      <c r="BK14" s="384"/>
      <c r="BL14" s="384"/>
      <c r="BM14" s="384"/>
      <c r="BN14" s="386" t="s">
        <v>323</v>
      </c>
      <c r="BO14" s="379">
        <f>BQ14</f>
        <v>0</v>
      </c>
      <c r="BP14" s="379">
        <f>$BQ$14</f>
        <v>0</v>
      </c>
      <c r="BQ14" s="379">
        <f t="shared" si="14"/>
        <v>0</v>
      </c>
      <c r="BR14" s="379">
        <f t="shared" si="14"/>
        <v>0</v>
      </c>
      <c r="BS14" s="379">
        <f t="shared" si="14"/>
        <v>0</v>
      </c>
      <c r="BT14" s="379">
        <f t="shared" si="14"/>
        <v>0</v>
      </c>
    </row>
    <row r="15" spans="1:72" ht="14.5">
      <c r="A15" s="391" t="s">
        <v>17</v>
      </c>
      <c r="B15" s="392"/>
      <c r="C15" s="392"/>
      <c r="D15" s="392"/>
      <c r="E15" s="392"/>
      <c r="F15" s="392"/>
      <c r="G15" s="397"/>
      <c r="H15" s="392"/>
      <c r="I15" s="373"/>
      <c r="K15" s="383" t="s">
        <v>324</v>
      </c>
      <c r="L15" s="383">
        <f>B19</f>
        <v>1.46</v>
      </c>
      <c r="M15" s="383">
        <f t="shared" si="29"/>
        <v>1.46</v>
      </c>
      <c r="N15" s="383">
        <f t="shared" si="29"/>
        <v>2.1609897773956206</v>
      </c>
      <c r="O15" s="383">
        <f t="shared" si="29"/>
        <v>2.7736942834160816</v>
      </c>
      <c r="P15" s="383">
        <f t="shared" si="29"/>
        <v>3.4393809114359417</v>
      </c>
      <c r="Q15" s="383">
        <f t="shared" si="29"/>
        <v>2.5573459859525713</v>
      </c>
      <c r="R15" s="383">
        <f>H19+0.0001</f>
        <v>2.0592663290388487</v>
      </c>
      <c r="S15" s="370">
        <f t="shared" si="26"/>
        <v>2308</v>
      </c>
      <c r="T15" s="383" t="s">
        <v>325</v>
      </c>
      <c r="U15" s="383">
        <f>'Bilan 2006'!$R$13*SUM('Bilan 2006'!$G$11:$G$14,'Bilan 2006'!$G$16)/SUM('Bilan 2006'!$G$7:$G$19)</f>
        <v>0.22254217457861722</v>
      </c>
      <c r="V15" s="383">
        <f>'Bilan 2010'!$R$13*SUM('Bilan 2010'!$G$11:$G$14,'Bilan 2010'!$G$16)/SUM('Bilan 2010'!$G$7:$G$19)</f>
        <v>0.22254217457861722</v>
      </c>
      <c r="W15" s="383">
        <f>'Bilan 2015'!$R$13*SUM('Bilan 2015'!$G$11:$G$14,'Bilan 2015'!$G$16)/SUM('Bilan 2015'!$G$7:$G$19)</f>
        <v>0.33284532024539132</v>
      </c>
      <c r="X15" s="383">
        <f>'Bilan 2020 BAU'!$R$13*SUM('Bilan 2020 BAU'!$G$11:$G$14,'Bilan 2020 BAU'!$G$16)/SUM('Bilan 2020 BAU'!$G$7:$G$19)</f>
        <v>0.69426155757742869</v>
      </c>
      <c r="Y15" s="383">
        <f>'Bilan 2025'!$R$13*SUM('Bilan 2025'!$G$11:$G$14,'Bilan 2025'!$G$16)/SUM('Bilan 2025'!$G$7:$G$19)</f>
        <v>0.92695074942989975</v>
      </c>
      <c r="Z15" s="383">
        <f>'Bilan 2030'!$R$13*SUM('Bilan 2030'!$G$11:$G$14,'Bilan 2030'!$G$16)/SUM('Bilan 2030'!$G$7:$G$19)</f>
        <v>1.2315695634710393</v>
      </c>
      <c r="AA15" s="383">
        <f>'Bilan 2050'!$R$13*SUM('Bilan 2050'!$G$11:$G$14,'Bilan 2050'!$G$16)/SUM('Bilan 2050'!$G$7:$G$19)+0.01</f>
        <v>1.3823725941945482</v>
      </c>
      <c r="AB15" s="384"/>
      <c r="AC15" s="383" t="s">
        <v>325</v>
      </c>
      <c r="AD15" s="383">
        <f>'Bilan 2006'!$R$13*SUM('Bilan 2006'!$G$11:$G$14,'Bilan 2006'!$G$16)/SUM('Bilan 2006'!$G$7:$G$19)</f>
        <v>0.22254217457861722</v>
      </c>
      <c r="AE15" s="383">
        <f>'Bilan 2010'!$R$13*SUM('Bilan 2010'!$G$11:$G$14,'Bilan 2010'!$G$16)/SUM('Bilan 2010'!$G$7:$G$19)</f>
        <v>0.22254217457861722</v>
      </c>
      <c r="AF15" s="383">
        <f>'Bilan 2015'!$R$13*SUM('Bilan 2015'!$G$11:$G$14,'Bilan 2015'!$G$16)/SUM('Bilan 2015'!$G$7:$G$19)</f>
        <v>0.33284532024539132</v>
      </c>
      <c r="AG15" s="383">
        <f>'Bilan 2020 BAU'!$R$13*SUM('Bilan 2020 BAU'!$G$11:$G$14,'Bilan 2020 BAU'!$G$16)/SUM('Bilan 2020 BAU'!$G$7:$G$19)</f>
        <v>0.69426155757742869</v>
      </c>
      <c r="AH15" s="383">
        <f>'Bilan 2025'!$R$13*SUM('Bilan 2025'!$G$11:$G$14,'Bilan 2025'!$G$16)/SUM('Bilan 2025'!$G$7:$G$19)</f>
        <v>0.92695074942989975</v>
      </c>
      <c r="AI15" s="383">
        <f>'Bilan 2030'!$R$13*SUM('Bilan 2030'!$G$11:$G$14,'Bilan 2030'!$G$16)/SUM('Bilan 2030'!$G$7:$G$19)</f>
        <v>1.2315695634710393</v>
      </c>
      <c r="AJ15" s="383">
        <f>'Bilan 2050'!$R$13*SUM('Bilan 2050'!$G$11:$G$14,'Bilan 2050'!$G$16)/SUM('Bilan 2050'!$G$7:$G$19)</f>
        <v>1.3723725941945482</v>
      </c>
      <c r="AK15" s="404"/>
      <c r="AL15" s="404"/>
      <c r="AM15" s="385" t="s">
        <v>326</v>
      </c>
      <c r="AN15" s="379">
        <f t="shared" ref="AN15:AN20" si="32">AV15/U18</f>
        <v>0</v>
      </c>
      <c r="AO15" s="379">
        <f t="shared" si="30"/>
        <v>0</v>
      </c>
      <c r="AP15" s="379">
        <f t="shared" si="30"/>
        <v>0.10486610143625012</v>
      </c>
      <c r="AQ15" s="379">
        <f t="shared" si="30"/>
        <v>8.2970708758198335E-3</v>
      </c>
      <c r="AR15" s="379">
        <f>AZ15/Z18</f>
        <v>0.12246993931394368</v>
      </c>
      <c r="AS15" s="379">
        <f>BA15/AA18</f>
        <v>0.14029283066566275</v>
      </c>
      <c r="AU15" s="386" t="s">
        <v>327</v>
      </c>
      <c r="AV15" s="387">
        <f>'Bilan 2006'!$E29+'Bilan 2006'!$E37</f>
        <v>0</v>
      </c>
      <c r="AW15" s="387">
        <f>'Bilan 2010'!$E29+'Bilan 2010'!$E37</f>
        <v>0</v>
      </c>
      <c r="AX15" s="387">
        <f>'Bilan 2015'!$E29+'Bilan 2015'!$E37</f>
        <v>0.3409614980414632</v>
      </c>
      <c r="AY15" s="387">
        <f>'Bilan 2020 BAU'!$E29+'Bilan 2020 BAU'!$E37</f>
        <v>9.751339124200592E-2</v>
      </c>
      <c r="AZ15" s="387">
        <f>'Bilan 2030'!$E29+'Bilan 2030'!$E37</f>
        <v>0.91766521159351333</v>
      </c>
      <c r="BA15" s="387">
        <f>'Bilan 2050'!$E29+'Bilan 2050'!$E37</f>
        <v>0.8760764186317096</v>
      </c>
      <c r="BB15" s="388"/>
      <c r="BD15" s="386" t="s">
        <v>328</v>
      </c>
      <c r="BE15" s="379">
        <f t="shared" si="31"/>
        <v>0</v>
      </c>
      <c r="BF15" s="379">
        <f t="shared" si="31"/>
        <v>0</v>
      </c>
      <c r="BG15" s="379">
        <f t="shared" si="31"/>
        <v>0</v>
      </c>
      <c r="BH15" s="379">
        <f t="shared" si="31"/>
        <v>0</v>
      </c>
      <c r="BI15" s="379">
        <f t="shared" si="28"/>
        <v>0</v>
      </c>
      <c r="BJ15" s="379">
        <f t="shared" si="28"/>
        <v>0</v>
      </c>
      <c r="BK15" s="384"/>
      <c r="BL15" s="384"/>
      <c r="BM15" s="384"/>
      <c r="BN15" s="386" t="s">
        <v>329</v>
      </c>
      <c r="BO15" s="379">
        <f>BQ15</f>
        <v>0</v>
      </c>
      <c r="BP15" s="379">
        <f>$BQ$15</f>
        <v>0</v>
      </c>
      <c r="BQ15" s="379">
        <f t="shared" si="14"/>
        <v>0</v>
      </c>
      <c r="BR15" s="379">
        <f t="shared" si="14"/>
        <v>0</v>
      </c>
      <c r="BS15" s="379">
        <f t="shared" si="14"/>
        <v>0</v>
      </c>
      <c r="BT15" s="379">
        <f t="shared" si="14"/>
        <v>0</v>
      </c>
    </row>
    <row r="16" spans="1:72" ht="14.5">
      <c r="A16" s="393" t="s">
        <v>25</v>
      </c>
      <c r="B16" s="394"/>
      <c r="C16" s="394"/>
      <c r="D16" s="394"/>
      <c r="E16" s="394"/>
      <c r="F16" s="394"/>
      <c r="G16" s="398"/>
      <c r="H16" s="394"/>
      <c r="I16" s="373"/>
      <c r="K16" s="378" t="s">
        <v>330</v>
      </c>
      <c r="L16" s="378">
        <f>SUM(L17:L22)</f>
        <v>39.730000000000011</v>
      </c>
      <c r="M16" s="378">
        <f>SUM(M17:M22)</f>
        <v>39.930000000000014</v>
      </c>
      <c r="N16" s="378">
        <f>SUM(N17:N22)</f>
        <v>39.843550315591592</v>
      </c>
      <c r="O16" s="378">
        <f>SUM(O17:O22)</f>
        <v>47.886130995788484</v>
      </c>
      <c r="P16" s="378">
        <f t="shared" ref="P16:R16" si="33">SUM(P17:P22)</f>
        <v>39.966486852141436</v>
      </c>
      <c r="Q16" s="378">
        <f t="shared" si="33"/>
        <v>49.58751959285383</v>
      </c>
      <c r="R16" s="378">
        <f t="shared" si="33"/>
        <v>47.35486716631798</v>
      </c>
      <c r="S16" s="370"/>
      <c r="T16" s="378" t="s">
        <v>330</v>
      </c>
      <c r="U16" s="378">
        <f t="shared" ref="U16:AA16" si="34">SUM(U17:U22)</f>
        <v>37.172000000000018</v>
      </c>
      <c r="V16" s="378">
        <f t="shared" si="34"/>
        <v>37.172000000000018</v>
      </c>
      <c r="W16" s="378">
        <f t="shared" si="34"/>
        <v>36.114949775844579</v>
      </c>
      <c r="X16" s="378">
        <f t="shared" si="34"/>
        <v>43.141358174254599</v>
      </c>
      <c r="Y16" s="378">
        <f t="shared" si="34"/>
        <v>35.093194396034988</v>
      </c>
      <c r="Z16" s="378">
        <f t="shared" si="34"/>
        <v>45.518843988205724</v>
      </c>
      <c r="AA16" s="378">
        <f t="shared" si="34"/>
        <v>43.290945164073541</v>
      </c>
      <c r="AB16" s="384"/>
      <c r="AC16" s="378" t="s">
        <v>330</v>
      </c>
      <c r="AD16" s="378">
        <f t="shared" ref="AD16:AI16" si="35">SUM(AD17:AD22)</f>
        <v>38.792000000000016</v>
      </c>
      <c r="AE16" s="378">
        <f t="shared" si="35"/>
        <v>38.792000000000016</v>
      </c>
      <c r="AF16" s="378">
        <f t="shared" si="35"/>
        <v>36.850310095215647</v>
      </c>
      <c r="AG16" s="378">
        <f t="shared" si="35"/>
        <v>45.369531641319526</v>
      </c>
      <c r="AH16" s="378">
        <f t="shared" si="35"/>
        <v>37.415856659489975</v>
      </c>
      <c r="AI16" s="378">
        <f t="shared" si="35"/>
        <v>45.682214581498933</v>
      </c>
      <c r="AJ16" s="378">
        <f>SUM(AJ17:AJ22)</f>
        <v>44.155206480995211</v>
      </c>
      <c r="AK16" s="404">
        <f>AI16-'Bilan 2030'!P23-'Bilan 2030'!P26-SUM('Bilan 2030'!P36:P41)-SUM('Bilan 2030'!P45:P47)</f>
        <v>0.15087122902021266</v>
      </c>
      <c r="AL16" s="404">
        <f>AJ16-'Bilan 2050'!P23-'Bilan 2050'!P26-SUM('Bilan 2050'!P36:P41)-SUM('Bilan 2050'!$P$45:$P$47)-'Bilan 2050'!$E$56</f>
        <v>0.12285461665998487</v>
      </c>
      <c r="AM16" s="385" t="s">
        <v>331</v>
      </c>
      <c r="AN16" s="379">
        <f t="shared" si="32"/>
        <v>0</v>
      </c>
      <c r="AO16" s="379">
        <f t="shared" si="30"/>
        <v>0</v>
      </c>
      <c r="AP16" s="379">
        <f t="shared" si="30"/>
        <v>0</v>
      </c>
      <c r="AQ16" s="379">
        <f>IF(X19=0,0,AY16/X19)</f>
        <v>0</v>
      </c>
      <c r="AR16" s="379">
        <f>IF(Z19=0,0,AZ16/Z19)</f>
        <v>0.36299626489850118</v>
      </c>
      <c r="AS16" s="379">
        <f>IF(AA19=0,0,BA16/AA19)</f>
        <v>0.25724000174315426</v>
      </c>
      <c r="AU16" s="386" t="s">
        <v>332</v>
      </c>
      <c r="AV16" s="387">
        <f>'Bilan 2006'!$E26+'Bilan 2006'!$E22</f>
        <v>0</v>
      </c>
      <c r="AW16" s="387">
        <f>'Bilan 2010'!$E26+'Bilan 2010'!$E22</f>
        <v>0</v>
      </c>
      <c r="AX16" s="387">
        <f>'Bilan 2015'!$E26+'Bilan 2015'!$E22</f>
        <v>0</v>
      </c>
      <c r="AY16" s="387">
        <f>'Bilan 2020 BAU'!$E26+'Bilan 2020 BAU'!$E22</f>
        <v>0</v>
      </c>
      <c r="AZ16" s="387">
        <f>'Bilan 2030'!$E21+'Bilan 2030'!$E22+'Bilan 2030'!$E23+'Bilan 2030'!$I$24*('Bilan 2030'!$G$21+'Bilan 2030'!$G$22+'Bilan 2030'!$G$23)/SUM('Bilan 2030'!$G$21:$G$24)+'Bilan 2030'!$E26</f>
        <v>0.80898450660269072</v>
      </c>
      <c r="BA16" s="387">
        <f>'Bilan 2050'!$E21+'Bilan 2050'!$E22+'Bilan 2050'!$E23+'Bilan 2050'!$I$24*('Bilan 2050'!$G$21+'Bilan 2050'!$G$22+'Bilan 2050'!$G$23)/SUM('Bilan 2050'!$G$21:$G$24)+'Bilan 2050'!$E26</f>
        <v>1.3686212359217986</v>
      </c>
      <c r="BB16" s="388"/>
      <c r="BD16" s="386" t="s">
        <v>333</v>
      </c>
      <c r="BE16" s="379">
        <v>0</v>
      </c>
      <c r="BF16" s="379">
        <v>0</v>
      </c>
      <c r="BG16" s="379">
        <f t="shared" ref="BG16:BH20" si="36">BQ16/X18</f>
        <v>0</v>
      </c>
      <c r="BH16" s="379">
        <f t="shared" si="36"/>
        <v>0</v>
      </c>
      <c r="BI16" s="379">
        <f t="shared" si="28"/>
        <v>0</v>
      </c>
      <c r="BJ16" s="379">
        <f t="shared" si="28"/>
        <v>0</v>
      </c>
      <c r="BK16" s="384"/>
      <c r="BL16" s="384"/>
      <c r="BM16" s="384"/>
      <c r="BN16" s="386" t="s">
        <v>334</v>
      </c>
      <c r="BO16" s="379">
        <f>BQ16</f>
        <v>0</v>
      </c>
      <c r="BP16" s="379">
        <f>$BQ$16</f>
        <v>0</v>
      </c>
      <c r="BQ16" s="379">
        <f t="shared" si="14"/>
        <v>0</v>
      </c>
      <c r="BR16" s="379">
        <f t="shared" si="14"/>
        <v>0</v>
      </c>
      <c r="BS16" s="379">
        <f t="shared" si="14"/>
        <v>0</v>
      </c>
      <c r="BT16" s="379">
        <f t="shared" si="14"/>
        <v>0</v>
      </c>
    </row>
    <row r="17" spans="1:72" ht="14.5">
      <c r="A17" s="380" t="s">
        <v>315</v>
      </c>
      <c r="B17" s="382">
        <f>'Bilan 2006'!$C9</f>
        <v>9.0168711656441719E-2</v>
      </c>
      <c r="C17" s="381">
        <f>'Bilan 2010'!$C9</f>
        <v>9.0168711656441719E-2</v>
      </c>
      <c r="D17" s="382">
        <f>'Bilan 2015'!$C9</f>
        <v>0.63628546861565138</v>
      </c>
      <c r="E17" s="382">
        <f>'Bilan 2020 BAU'!$C9</f>
        <v>1.3757523645743766</v>
      </c>
      <c r="F17" s="382">
        <f>'Bilan 2025'!$C9</f>
        <v>2.2355975924333618</v>
      </c>
      <c r="G17" s="383">
        <f>'Bilan 2030'!$C9</f>
        <v>2.5795356835769558</v>
      </c>
      <c r="H17" s="382">
        <f>'Bilan 2050'!$C9</f>
        <v>6.44883920894239</v>
      </c>
      <c r="I17" s="395"/>
      <c r="K17" s="383" t="s">
        <v>335</v>
      </c>
      <c r="L17" s="383">
        <f t="shared" ref="L17:R22" si="37">B28</f>
        <v>36.790000000000006</v>
      </c>
      <c r="M17" s="383">
        <f t="shared" si="37"/>
        <v>36.790000000000006</v>
      </c>
      <c r="N17" s="383">
        <f t="shared" si="37"/>
        <v>34.14508120070991</v>
      </c>
      <c r="O17" s="383">
        <f t="shared" si="37"/>
        <v>33.227343431804663</v>
      </c>
      <c r="P17" s="383">
        <f t="shared" si="37"/>
        <v>31.941346257284312</v>
      </c>
      <c r="Q17" s="383">
        <f t="shared" si="37"/>
        <v>30.994392107970103</v>
      </c>
      <c r="R17" s="383">
        <f t="shared" si="37"/>
        <v>23.320010075591298</v>
      </c>
      <c r="S17" s="370">
        <v>2401</v>
      </c>
      <c r="T17" s="383" t="s">
        <v>335</v>
      </c>
      <c r="U17" s="383">
        <f>'Bilan 2006'!$G$24-'Bilan 2006'!$O$23-'Bilan 2006'!E32</f>
        <v>34.180000000000014</v>
      </c>
      <c r="V17" s="383">
        <f>'Bilan 2010'!$P$23-'Bilan 2010'!$G$22+'Bilan 2010'!$G$32</f>
        <v>34.180000000000014</v>
      </c>
      <c r="W17" s="383">
        <f>'Bilan 2015'!$P$23-'Bilan 2015'!$G$22+'Bilan 2015'!$G$32</f>
        <v>30.891463326716561</v>
      </c>
      <c r="X17" s="383">
        <f>'Bilan 2020 BAU'!$G$24*(1-SUM('Bilan 2020 BAU'!$K$21:$O$24)/SUM('Bilan 2020 BAU'!$G$21:$G$24))+'Bilan 2020 BAU'!$G$32</f>
        <v>28.847901793262025</v>
      </c>
      <c r="Y17" s="383">
        <f>'Bilan 2025'!$G$24*(1-SUM('Bilan 2025'!$K$21:$O$24)/SUM('Bilan 2025'!$G$21:$G$24))+'Bilan 2025'!$G$32</f>
        <v>27.481155449638216</v>
      </c>
      <c r="Z17" s="383">
        <f>'Bilan 2030'!$G$24*(1-SUM('Bilan 2030'!$K$21:$O$24)/SUM('Bilan 2030'!$G$21:$G$24))+'Bilan 2030'!$G$32*(1-SUM('Bilan 2030'!$K$26:$O$32)/SUM('Bilan 2030'!$G$26:$G$34))+'Bilan 2030'!$G$46-'Bilan 2030'!$I$24*('Bilan 2030'!$G$24/SUM('Bilan 2030'!$G$21:$G$24))-'Bilan 2030'!$E$54</f>
        <v>28.957851537351715</v>
      </c>
      <c r="AA17" s="383">
        <f>'Bilan 2050'!$G$24*(1-SUM('Bilan 2050'!$K$21:$O$24)/SUM('Bilan 2050'!$G$21:$G$24))+'Bilan 2050'!$G$32*(1-SUM('Bilan 2050'!$K$26:$O$32)/SUM('Bilan 2050'!$G$26:$G$34))+'Bilan 2050'!$G$46-'Bilan 2050'!$I$24*('Bilan 2050'!$G$24/SUM('Bilan 2050'!$G$21:$G$24))-'Bilan 2050'!$E$54</f>
        <v>21.890360075019018</v>
      </c>
      <c r="AB17" s="384"/>
      <c r="AC17" s="383" t="s">
        <v>335</v>
      </c>
      <c r="AD17" s="383">
        <f>'Bilan 2006'!$G$24-'Bilan 2006'!$O$23-'Bilan 2006'!$E$32+'Bilan 2006'!$C$45</f>
        <v>35.800000000000011</v>
      </c>
      <c r="AE17" s="383">
        <f>'Bilan 2010'!$G$24-'Bilan 2010'!$O$23-'Bilan 2010'!$E$32+'Bilan 2010'!$C$45</f>
        <v>35.800000000000011</v>
      </c>
      <c r="AF17" s="383">
        <f>IF('Bilan 2015'!$G$24&gt;0,'Bilan 2015'!$G$24-'Bilan 2015'!$O$23-'Bilan 2015'!$N$23)+'Bilan 2015'!$G$32*(1-SUM('Bilan 2015'!$K$26:$K$32)/SUM('Bilan 2015'!$J$26:$J$32))+'Bilan 2015'!$G$45</f>
        <v>32.122624211290493</v>
      </c>
      <c r="AG17" s="383">
        <f>IF('Bilan 2020 BAU'!$G$24&gt;0,'Bilan 2020 BAU'!$G$24-'Bilan 2020 BAU'!$O$23-'Bilan 2020 BAU'!$N$23)+'Bilan 2020 BAU'!$G$32*(1-SUM('Bilan 2020 BAU'!$K$26:$K$32)/SUM('Bilan 2020 BAU'!$J$26:$J$32))+'Bilan 2020 BAU'!$G$45</f>
        <v>31.125253382113002</v>
      </c>
      <c r="AH17" s="383">
        <f>IF('Bilan 2025'!$G$24&gt;0,'Bilan 2025'!$G$24-'Bilan 2025'!$O$23-'Bilan 2025'!$N$23)+'Bilan 2025'!$G$32*(1-SUM('Bilan 2025'!$K$26:$K$32)/SUM('Bilan 2025'!$J$26:$J$32))+'Bilan 2025'!$G$45</f>
        <v>29.845975081012909</v>
      </c>
      <c r="AI17" s="383">
        <f>Z17+'Bilan 2030'!$E$54+'Bilan 2030'!$E$56</f>
        <v>29.039536833998319</v>
      </c>
      <c r="AJ17" s="383">
        <f>AA17+'Bilan 2050'!$E$54</f>
        <v>21.890360075019018</v>
      </c>
      <c r="AK17" s="404"/>
      <c r="AL17" s="404"/>
      <c r="AM17" s="385" t="s">
        <v>336</v>
      </c>
      <c r="AN17" s="379">
        <f t="shared" si="32"/>
        <v>0.25</v>
      </c>
      <c r="AO17" s="379">
        <f t="shared" si="30"/>
        <v>0.25</v>
      </c>
      <c r="AP17" s="379">
        <f t="shared" si="30"/>
        <v>0.25</v>
      </c>
      <c r="AQ17" s="379">
        <f t="shared" si="30"/>
        <v>0.12359550561797752</v>
      </c>
      <c r="AR17" s="379">
        <f t="shared" ref="AR17:AS20" si="38">AZ17/Z20</f>
        <v>0</v>
      </c>
      <c r="AS17" s="672">
        <f t="shared" si="38"/>
        <v>0</v>
      </c>
      <c r="AU17" s="386" t="s">
        <v>337</v>
      </c>
      <c r="AV17" s="387">
        <f>'Bilan 2006'!$E27</f>
        <v>0.14799999999999999</v>
      </c>
      <c r="AW17" s="387">
        <f>'Bilan 2010'!$E27</f>
        <v>0.14799999999999999</v>
      </c>
      <c r="AX17" s="387">
        <f>'Bilan 2015'!$E27</f>
        <v>0.12</v>
      </c>
      <c r="AY17" s="387">
        <f>'Bilan 2020 BAU'!$E27</f>
        <v>6.6000000000000003E-2</v>
      </c>
      <c r="AZ17" s="387">
        <f>'Bilan 2030'!$E27</f>
        <v>0</v>
      </c>
      <c r="BA17" s="387">
        <f>'Bilan 2050'!$E27</f>
        <v>0</v>
      </c>
      <c r="BB17" s="388"/>
      <c r="BD17" s="386" t="s">
        <v>338</v>
      </c>
      <c r="BE17" s="379">
        <f>BO17/U20</f>
        <v>0</v>
      </c>
      <c r="BF17" s="379">
        <f>BP17/V20</f>
        <v>0</v>
      </c>
      <c r="BG17" s="379">
        <f>IF(X19=0,0,BQ17/X19)</f>
        <v>0</v>
      </c>
      <c r="BH17" s="379">
        <f t="shared" ref="BH17:BJ17" si="39">IF(Y19=0,0,BR17/Y19)</f>
        <v>0</v>
      </c>
      <c r="BI17" s="379">
        <f t="shared" si="39"/>
        <v>0</v>
      </c>
      <c r="BJ17" s="379">
        <f t="shared" si="39"/>
        <v>0</v>
      </c>
      <c r="BK17" s="384"/>
      <c r="BL17" s="384"/>
      <c r="BM17" s="384"/>
      <c r="BN17" s="386" t="s">
        <v>339</v>
      </c>
      <c r="BO17" s="379">
        <f>BQ17</f>
        <v>0</v>
      </c>
      <c r="BP17" s="379">
        <f>$BQ$17</f>
        <v>0</v>
      </c>
      <c r="BQ17" s="379">
        <f t="shared" si="14"/>
        <v>0</v>
      </c>
      <c r="BR17" s="379">
        <f t="shared" si="14"/>
        <v>0</v>
      </c>
      <c r="BS17" s="379">
        <f t="shared" si="14"/>
        <v>0</v>
      </c>
      <c r="BT17" s="379">
        <f t="shared" si="14"/>
        <v>0</v>
      </c>
    </row>
    <row r="18" spans="1:72" ht="14.5">
      <c r="A18" s="380" t="s">
        <v>18</v>
      </c>
      <c r="B18" s="382">
        <f>'Bilan 2006'!$C8</f>
        <v>5.0084526066881994</v>
      </c>
      <c r="C18" s="382">
        <f>'Bilan 2010'!$C8</f>
        <v>5.0084526066881994</v>
      </c>
      <c r="D18" s="382">
        <f>'Bilan 2015'!$C8</f>
        <v>5.0472914875322665</v>
      </c>
      <c r="E18" s="382">
        <f>'Bilan 2020 BAU'!$C8</f>
        <v>5.2450558899398105</v>
      </c>
      <c r="F18" s="382">
        <f>'Bilan 2025'!$C8</f>
        <v>5.2450558899398105</v>
      </c>
      <c r="G18" s="383">
        <f>'Bilan 2030'!$C8</f>
        <v>6.7927773000859837</v>
      </c>
      <c r="H18" s="382">
        <f>'Bilan 2050'!$C8</f>
        <v>6.7927773000859846</v>
      </c>
      <c r="I18" s="395"/>
      <c r="K18" s="383" t="s">
        <v>340</v>
      </c>
      <c r="L18" s="383">
        <f t="shared" si="37"/>
        <v>1.6000000000000008</v>
      </c>
      <c r="M18" s="383">
        <f t="shared" si="37"/>
        <v>1.6000000000000008</v>
      </c>
      <c r="N18" s="383">
        <f t="shared" si="37"/>
        <v>3.5923601232562992</v>
      </c>
      <c r="O18" s="383">
        <f t="shared" si="37"/>
        <v>11.850262367533066</v>
      </c>
      <c r="P18" s="383">
        <f t="shared" si="37"/>
        <v>4.8607306681248179</v>
      </c>
      <c r="Q18" s="383">
        <f t="shared" si="37"/>
        <v>8.5422786486295514</v>
      </c>
      <c r="R18" s="383">
        <f t="shared" si="37"/>
        <v>7.3056774740668082</v>
      </c>
      <c r="S18" s="370">
        <f>S17+1</f>
        <v>2402</v>
      </c>
      <c r="T18" s="383" t="s">
        <v>340</v>
      </c>
      <c r="U18" s="383">
        <f>'Bilan 2006'!$G$29+'Bilan 2006'!$G$37</f>
        <v>1.6000000000000008</v>
      </c>
      <c r="V18" s="383">
        <f>'Bilan 2010'!$G$29+'Bilan 2010'!$G$37</f>
        <v>1.6000000000000008</v>
      </c>
      <c r="W18" s="383">
        <f>'Bilan 2015'!$G$29+'Bilan 2015'!$G$37</f>
        <v>3.2513986252148359</v>
      </c>
      <c r="X18" s="383">
        <f>'Bilan 2020 BAU'!$G$29*(1-SUM('Bilan 2020 BAU'!$K$26:$K$32)/SUM('Bilan 2020 BAU'!$G$26:$G$34))+'Bilan 2020 BAU'!$G$37</f>
        <v>11.752748976291061</v>
      </c>
      <c r="Y18" s="383">
        <f>'Bilan 2025'!$G$29*(1-SUM('Bilan 2025'!$K$26:$O$32)/SUM('Bilan 2025'!$G$26:$G$34))+'Bilan 2025'!$G$37</f>
        <v>4.7599716517447677</v>
      </c>
      <c r="Z18" s="383">
        <f>'Bilan 2030'!$G$29*(1-SUM('Bilan 2030'!$K$26:$O$32)/SUM('Bilan 2030'!$G$26:$G$34))+'Bilan 2030'!$G$37-'Bilan 2030'!$E$58</f>
        <v>7.4929833127551291</v>
      </c>
      <c r="AA18" s="383">
        <f>'Bilan 2050'!$G$29*(1-SUM('Bilan 2050'!$K$26:$O$32)/SUM('Bilan 2050'!$G$26:$G$34))+'Bilan 2050'!$G$37-'Bilan 2050'!$E$58</f>
        <v>6.2446271450571915</v>
      </c>
      <c r="AB18" s="384"/>
      <c r="AC18" s="383" t="s">
        <v>340</v>
      </c>
      <c r="AD18" s="383">
        <f>'Bilan 2006'!$G$29+'Bilan 2006'!$G$37</f>
        <v>1.6000000000000008</v>
      </c>
      <c r="AE18" s="383">
        <f>'Bilan 2010'!$G$29+'Bilan 2010'!$G$37</f>
        <v>1.6000000000000008</v>
      </c>
      <c r="AF18" s="383">
        <f>'Bilan 2015'!$G$29*(1-SUM('Bilan 2015'!$K$26:$K$32)/SUM('Bilan 2015'!$J$26:$J$32))+'Bilan 2015'!$G$37</f>
        <v>3.0062033597846067</v>
      </c>
      <c r="AG18" s="383">
        <f>'Bilan 2020 BAU'!$G$29*(1-SUM('Bilan 2020 BAU'!$K$26:$K$32)/SUM('Bilan 2020 BAU'!$J$26:$J$32))+'Bilan 2020 BAU'!$G$37</f>
        <v>11.752748976291061</v>
      </c>
      <c r="AH18" s="383">
        <f>'Bilan 2025'!$G$29*(1-SUM('Bilan 2025'!$K$26:$K$32)/SUM('Bilan 2025'!$J$26:$J$32))+'Bilan 2025'!$G$37</f>
        <v>4.7599716517447677</v>
      </c>
      <c r="AI18" s="383">
        <f>Z18+'Bilan 2030'!$E$58</f>
        <v>7.4929833127551291</v>
      </c>
      <c r="AJ18" s="383">
        <f>AA18+'Bilan 2050'!$E$58</f>
        <v>6.2446271450571915</v>
      </c>
      <c r="AK18" s="404"/>
      <c r="AL18" s="404"/>
      <c r="AM18" s="385" t="s">
        <v>341</v>
      </c>
      <c r="AN18" s="379">
        <f t="shared" si="32"/>
        <v>0</v>
      </c>
      <c r="AO18" s="379">
        <f t="shared" si="30"/>
        <v>0</v>
      </c>
      <c r="AP18" s="379">
        <f t="shared" si="30"/>
        <v>0.18114265848526004</v>
      </c>
      <c r="AQ18" s="379">
        <f t="shared" si="30"/>
        <v>6.7340774265956832E-2</v>
      </c>
      <c r="AR18" s="379">
        <f t="shared" si="38"/>
        <v>0</v>
      </c>
      <c r="AS18" s="672">
        <f t="shared" si="38"/>
        <v>0</v>
      </c>
      <c r="AU18" s="386" t="s">
        <v>342</v>
      </c>
      <c r="AV18" s="387">
        <f>'Bilan 2006'!$E$39+'Bilan 2006'!$E$30+'Bilan 2006'!$E$31</f>
        <v>0</v>
      </c>
      <c r="AW18" s="387">
        <f>'Bilan 2010'!$E$39+'Bilan 2010'!$E$30+'Bilan 2010'!$E$31</f>
        <v>0</v>
      </c>
      <c r="AX18" s="387">
        <f>'Bilan 2015'!$E$39+'Bilan 2015'!$E$30+'Bilan 2015'!$E$31</f>
        <v>4.8409286328460872E-2</v>
      </c>
      <c r="AY18" s="387">
        <f>'Bilan 2020 BAU'!$E$39+'Bilan 2020 BAU'!$E$30+'Bilan 2020 BAU'!$E$31</f>
        <v>2.378337881881179E-2</v>
      </c>
      <c r="AZ18" s="387">
        <f>'Bilan 2030'!$E$39+'Bilan 2030'!$E$30+'Bilan 2030'!$E$31</f>
        <v>0</v>
      </c>
      <c r="BA18" s="387">
        <f>'Bilan 2050'!$E$39+'Bilan 2050'!$E$30+'Bilan 2050'!$E$31</f>
        <v>0</v>
      </c>
      <c r="BB18" s="388"/>
      <c r="BD18" s="386" t="s">
        <v>343</v>
      </c>
      <c r="BE18" s="379">
        <v>0</v>
      </c>
      <c r="BF18" s="379">
        <v>0</v>
      </c>
      <c r="BG18" s="379">
        <f t="shared" si="36"/>
        <v>0</v>
      </c>
      <c r="BH18" s="379">
        <f t="shared" si="36"/>
        <v>0</v>
      </c>
      <c r="BI18" s="379">
        <f t="shared" si="28"/>
        <v>0</v>
      </c>
      <c r="BJ18" s="379">
        <f t="shared" si="28"/>
        <v>0</v>
      </c>
      <c r="BK18" s="384"/>
      <c r="BL18" s="384"/>
      <c r="BM18" s="384"/>
      <c r="BN18" s="386" t="s">
        <v>344</v>
      </c>
      <c r="BO18" s="379">
        <v>0</v>
      </c>
      <c r="BP18" s="379">
        <v>0</v>
      </c>
      <c r="BQ18" s="379">
        <v>0</v>
      </c>
      <c r="BR18" s="379">
        <v>0</v>
      </c>
      <c r="BS18" s="379">
        <f>BR18</f>
        <v>0</v>
      </c>
      <c r="BT18" s="379">
        <f>BS18</f>
        <v>0</v>
      </c>
    </row>
    <row r="19" spans="1:72" ht="14.5">
      <c r="A19" s="380" t="s">
        <v>324</v>
      </c>
      <c r="B19" s="382">
        <f>'Bilan 2006'!$C$12+'Bilan 2006'!$C$13+'Bilan 2006'!$C$14+'Bilan 2006'!$C$16</f>
        <v>1.46</v>
      </c>
      <c r="C19" s="381">
        <f>'Bilan 2010'!$C$12+'Bilan 2010'!$C$13+'Bilan 2010'!$C$14+'Bilan 2010'!$C$16</f>
        <v>1.46</v>
      </c>
      <c r="D19" s="382">
        <f>'Bilan 2015'!$C$12+'Bilan 2015'!$C$13+'Bilan 2015'!$C$14+'Bilan 2015'!$C$16</f>
        <v>2.1609897773956206</v>
      </c>
      <c r="E19" s="382">
        <f>'Bilan 2020 BAU'!$C$12+'Bilan 2020 BAU'!$C$13+'Bilan 2020 BAU'!$C$14+'Bilan 2020 BAU'!$C$16</f>
        <v>2.7736942834160816</v>
      </c>
      <c r="F19" s="382">
        <f>'Bilan 2025'!$C$12+'Bilan 2025'!$C$13+'Bilan 2025'!$C$14+'Bilan 2025'!$C$16</f>
        <v>3.4393809114359417</v>
      </c>
      <c r="G19" s="383">
        <f>'Bilan 2030'!$C$12+'Bilan 2030'!$C$13+'Bilan 2030'!$C$14+'Bilan 2030'!$C$16</f>
        <v>2.5573459859525713</v>
      </c>
      <c r="H19" s="382">
        <f>'Bilan 2050'!$C$12+'Bilan 2050'!$C$13+'Bilan 2050'!$C$14+'Bilan 2050'!$C$16</f>
        <v>2.0591663290388484</v>
      </c>
      <c r="I19" s="396"/>
      <c r="K19" s="383" t="s">
        <v>345</v>
      </c>
      <c r="L19" s="383">
        <f t="shared" si="37"/>
        <v>0</v>
      </c>
      <c r="M19" s="383">
        <f t="shared" si="37"/>
        <v>0.2</v>
      </c>
      <c r="N19" s="383">
        <f t="shared" si="37"/>
        <v>0.29045571797076525</v>
      </c>
      <c r="O19" s="383">
        <f t="shared" si="37"/>
        <v>0.31621253471647082</v>
      </c>
      <c r="P19" s="383">
        <f t="shared" si="37"/>
        <v>0.35</v>
      </c>
      <c r="Q19" s="383">
        <f t="shared" si="37"/>
        <v>3.0867057972116072</v>
      </c>
      <c r="R19" s="383">
        <f t="shared" si="37"/>
        <v>6.6642362764797891</v>
      </c>
      <c r="S19" s="370">
        <f t="shared" ref="S19:S22" si="40">S18+1</f>
        <v>2403</v>
      </c>
      <c r="T19" s="383" t="s">
        <v>345</v>
      </c>
      <c r="U19" s="383">
        <f>'Bilan 2006'!$G$22+'Bilan 2006'!$G$21+'Bilan 2006'!$G$26+'Bilan 2006'!$G$36</f>
        <v>0.2</v>
      </c>
      <c r="V19" s="383">
        <f>'Bilan 2010'!$G$22+'Bilan 2010'!$G$21+'Bilan 2010'!$G$26+'Bilan 2010'!$G$36</f>
        <v>0.2</v>
      </c>
      <c r="W19" s="383">
        <f>'Bilan 2015'!$G$22+'Bilan 2015'!$G$21+'Bilan 2015'!$G$26+'Bilan 2015'!$G$36+0.1</f>
        <v>0.10634565778159931</v>
      </c>
      <c r="X19" s="383">
        <f>'Bilan 2020 BAU'!$G$23*(1-SUM('Bilan 2020 BAU'!$K$21:$O$24)/SUM('Bilan 2020 BAU'!$G$21:$G$24))+'Bilan 2020 BAU'!$G$21*(1-SUM('Bilan 2020 BAU'!$K$21:$O$24)/SUM('Bilan 2020 BAU'!$G$21:$G$24))+'Bilan 2020 BAU'!$G$22++'Bilan 2020 BAU'!$G$26+'Bilan 2020 BAU'!$G$36+0.1</f>
        <v>0.1</v>
      </c>
      <c r="Y19" s="383">
        <f>'Bilan 2025'!$G$23*(1-SUM('Bilan 2025'!$K$21:$O$24)/SUM('Bilan 2025'!$G$21:$G$24))+'Bilan 2025'!$G$21*(1-SUM('Bilan 2025'!$K$21:$O$24)/SUM('Bilan 2025'!$G$21:$G$24))+'Bilan 2025'!$G$22++'Bilan 2025'!$G$26+'Bilan 2025'!$G$36+0.1</f>
        <v>0.1</v>
      </c>
      <c r="Z19" s="383">
        <f>'Bilan 2030'!$G$21*(1-SUM('Bilan 2030'!$K$21:$O$24)/SUM('Bilan 2030'!$G$21:$G$24))+'Bilan 2030'!$G$22*(1-SUM('Bilan 2030'!$K$21:$O$24)/SUM('Bilan 2030'!$G$21:$G$24))+'Bilan 2030'!$G$23*(1-SUM('Bilan 2030'!$K$21:$O$24)/SUM('Bilan 2030'!$G$21:$G$24))-'Bilan 2030'!$I$24*('Bilan 2030'!$G$21/SUM('Bilan 2030'!$G$21:$G$24))+'Bilan 2030'!$G$26+'Bilan 2030'!$G$36 +'Bilan 2030'!$G$47-'Bilan 2030'!$E$55</f>
        <v>2.2286303877779408</v>
      </c>
      <c r="AA19" s="383">
        <f>'Bilan 2050'!$G$21*(1-SUM('Bilan 2050'!$K$21:$O$24)/SUM('Bilan 2050'!$G$21:$G$24))+'Bilan 2050'!$G$22*(1-SUM('Bilan 2050'!$K$21:$O$24)/SUM('Bilan 2050'!$G$21:$G$24))+'Bilan 2050'!$G$23*(1-SUM('Bilan 2050'!$K$21:$O$24)/SUM('Bilan 2050'!$G$21:$G$24))-'Bilan 2050'!$I$24*('Bilan 2050'!$G$21/SUM('Bilan 2050'!$G$21:$G$24))+'Bilan 2050'!$G$26+'Bilan 2050'!$G$36 +'Bilan 2050'!$G$47-'Bilan 2050'!$E$55</f>
        <v>5.3204059502702163</v>
      </c>
      <c r="AB19" s="384"/>
      <c r="AC19" s="383" t="s">
        <v>345</v>
      </c>
      <c r="AD19" s="383">
        <f>'Bilan 2006'!$G$22+'Bilan 2006'!$G$21+'Bilan 2006'!$G$26+'Bilan 2006'!$G$36</f>
        <v>0.2</v>
      </c>
      <c r="AE19" s="383">
        <f>'Bilan 2010'!$G$22+'Bilan 2010'!$G$21+'Bilan 2010'!$G$26+'Bilan 2010'!$G$36</f>
        <v>0.2</v>
      </c>
      <c r="AF19" s="383">
        <f>'Bilan 2015'!$G$22+'Bilan 2015'!$G$21+'Bilan 2015'!$G$26*(1-SUM('Bilan 2015'!$K$26:$K$32)/SUM('Bilan 2015'!$J$26:$J$32))+'Bilan 2015'!$G$36</f>
        <v>6.3456577815993098E-3</v>
      </c>
      <c r="AG19" s="383">
        <f>'Bilan 2020 BAU'!$G$22+'Bilan 2020 BAU'!$G$21+'Bilan 2020 BAU'!$G$26*(1-SUM('Bilan 2020 BAU'!$K$26:$K$32)/SUM('Bilan 2020 BAU'!$J$26:$J$32))+'Bilan 2020 BAU'!$G$36</f>
        <v>0</v>
      </c>
      <c r="AH19" s="383">
        <f>'Bilan 2025'!$G$22+'Bilan 2025'!$G$21+'Bilan 2025'!$G$26*(1-SUM('Bilan 2025'!$K$26:$K$32)/SUM('Bilan 2025'!$J$26:$J$32))+'Bilan 2025'!$G$36</f>
        <v>0</v>
      </c>
      <c r="AI19" s="383">
        <f>Z19+'Bilan 2030'!$E$55+'Bilan 2030'!$E$56</f>
        <v>2.3103156844245443</v>
      </c>
      <c r="AJ19" s="383">
        <f>AA19+'Bilan 2050'!$E$55+'Bilan 2050'!$E$56</f>
        <v>6.1846672671918865</v>
      </c>
      <c r="AK19" s="404"/>
      <c r="AL19" s="404"/>
      <c r="AM19" s="385" t="s">
        <v>346</v>
      </c>
      <c r="AN19" s="379">
        <f t="shared" si="32"/>
        <v>0</v>
      </c>
      <c r="AO19" s="379">
        <f t="shared" si="30"/>
        <v>0</v>
      </c>
      <c r="AP19" s="379">
        <f t="shared" si="30"/>
        <v>8.6561225124501644E-3</v>
      </c>
      <c r="AQ19" s="379">
        <f t="shared" si="30"/>
        <v>7.0806579907300542E-3</v>
      </c>
      <c r="AR19" s="379">
        <f t="shared" si="38"/>
        <v>0</v>
      </c>
      <c r="AS19" s="672">
        <f t="shared" si="38"/>
        <v>0</v>
      </c>
      <c r="AU19" s="386" t="s">
        <v>347</v>
      </c>
      <c r="AV19" s="387">
        <f>'Bilan 2006'!$E$28</f>
        <v>0</v>
      </c>
      <c r="AW19" s="387">
        <f>'Bilan 2010'!$E$28</f>
        <v>0</v>
      </c>
      <c r="AX19" s="387">
        <f>'Bilan 2015'!$E$28</f>
        <v>9.6818572656921752E-3</v>
      </c>
      <c r="AY19" s="387">
        <f>'Bilan 2020 BAU'!$E$28</f>
        <v>1.1000000000000001E-2</v>
      </c>
      <c r="AZ19" s="387">
        <f>'Bilan 2030'!$E$28</f>
        <v>0</v>
      </c>
      <c r="BA19" s="387">
        <f>'Bilan 2050'!$E$28</f>
        <v>0</v>
      </c>
      <c r="BB19" s="388"/>
      <c r="BD19" s="386" t="s">
        <v>348</v>
      </c>
      <c r="BE19" s="379">
        <f>BO19/U22</f>
        <v>0</v>
      </c>
      <c r="BF19" s="379">
        <f>BP19/V22</f>
        <v>0</v>
      </c>
      <c r="BG19" s="379">
        <f t="shared" si="36"/>
        <v>0</v>
      </c>
      <c r="BH19" s="379">
        <f t="shared" si="36"/>
        <v>0</v>
      </c>
      <c r="BI19" s="379">
        <f t="shared" si="28"/>
        <v>0</v>
      </c>
      <c r="BJ19" s="379">
        <f t="shared" si="28"/>
        <v>0</v>
      </c>
      <c r="BK19" s="384"/>
      <c r="BL19" s="384"/>
      <c r="BM19" s="384"/>
      <c r="BN19" s="386" t="s">
        <v>349</v>
      </c>
      <c r="BO19" s="379">
        <f>BQ19</f>
        <v>0</v>
      </c>
      <c r="BP19" s="379">
        <f>$BQ$19</f>
        <v>0</v>
      </c>
      <c r="BQ19" s="379">
        <f t="shared" si="14"/>
        <v>0</v>
      </c>
      <c r="BR19" s="379">
        <f t="shared" si="14"/>
        <v>0</v>
      </c>
      <c r="BS19" s="379">
        <f t="shared" si="14"/>
        <v>0</v>
      </c>
      <c r="BT19" s="379">
        <f t="shared" si="14"/>
        <v>0</v>
      </c>
    </row>
    <row r="20" spans="1:72" ht="13">
      <c r="A20" s="391" t="s">
        <v>21</v>
      </c>
      <c r="B20" s="392"/>
      <c r="C20" s="392"/>
      <c r="D20" s="392"/>
      <c r="E20" s="392"/>
      <c r="F20" s="392"/>
      <c r="G20" s="397"/>
      <c r="H20" s="392"/>
      <c r="I20" s="373"/>
      <c r="K20" s="383" t="s">
        <v>350</v>
      </c>
      <c r="L20" s="383">
        <f t="shared" si="37"/>
        <v>0.74</v>
      </c>
      <c r="M20" s="383">
        <f t="shared" si="37"/>
        <v>0.74</v>
      </c>
      <c r="N20" s="383">
        <f t="shared" si="37"/>
        <v>0.6</v>
      </c>
      <c r="O20" s="383">
        <f t="shared" si="37"/>
        <v>0.6</v>
      </c>
      <c r="P20" s="383">
        <f t="shared" si="37"/>
        <v>0.6</v>
      </c>
      <c r="Q20" s="383">
        <f t="shared" si="37"/>
        <v>1.1256521792430516</v>
      </c>
      <c r="R20" s="383">
        <f t="shared" si="37"/>
        <v>1.2027858144107082</v>
      </c>
      <c r="S20" s="370">
        <f t="shared" si="40"/>
        <v>2404</v>
      </c>
      <c r="T20" s="383" t="s">
        <v>350</v>
      </c>
      <c r="U20" s="383">
        <f>'Bilan 2006'!$G$27+'Bilan 2006'!$G$44</f>
        <v>0.59199999999999997</v>
      </c>
      <c r="V20" s="383">
        <f>'Bilan 2010'!$G$27+'Bilan 2010'!$G$44</f>
        <v>0.59199999999999997</v>
      </c>
      <c r="W20" s="383">
        <f>'Bilan 2015'!$G$27+'Bilan 2015'!$G$44</f>
        <v>0.48</v>
      </c>
      <c r="X20" s="383">
        <f>'Bilan 2020 BAU'!$G$27*(1-SUM('Bilan 2020 BAU'!K26:K32)/SUM('Bilan 2020 BAU'!$G$26:$G$34))+'Bilan 2020 BAU'!$G$44</f>
        <v>0.53400000000000003</v>
      </c>
      <c r="Y20" s="383">
        <f>'Bilan 2025'!$G$27*(1-SUM('Bilan 2025'!$K$26:$O$32)/SUM('Bilan 2025'!$G$26:$G$34))+'Bilan 2025'!$G$44</f>
        <v>0.53400000000000003</v>
      </c>
      <c r="Z20" s="383">
        <f>'Bilan 2030'!$G$27*(1-SUM('Bilan 2030'!$K$26:$O$32)/SUM('Bilan 2030'!$G$26:$G$34))+'Bilan 2030'!$G$45</f>
        <v>1.0012380731174293</v>
      </c>
      <c r="AA20" s="383">
        <f>'Bilan 2050'!$G$27*(1-SUM('Bilan 2050'!$K$26:$O$32)/SUM('Bilan 2050'!$G$26:$G$34))+'Bilan 2050'!$G$45</f>
        <v>1.0671382801335763</v>
      </c>
      <c r="AB20" s="384"/>
      <c r="AC20" s="383" t="s">
        <v>350</v>
      </c>
      <c r="AD20" s="383">
        <f>'Bilan 2006'!$G$27+'Bilan 2006'!$G$44</f>
        <v>0.59199999999999997</v>
      </c>
      <c r="AE20" s="383">
        <f>'Bilan 2010'!$G$27+'Bilan 2010'!$G$44</f>
        <v>0.59199999999999997</v>
      </c>
      <c r="AF20" s="383">
        <f>'Bilan 2015'!$G$27*(1-SUM('Bilan 2015'!$K$26:$K$32)/SUM('Bilan 2015'!$J$26:$J$32))+'Bilan 2015'!$G$44</f>
        <v>0.37852029916826502</v>
      </c>
      <c r="AG20" s="383">
        <f>'Bilan 2020 BAU'!$G$27*(1-SUM('Bilan 2020 BAU'!$K$26:$K$32)/SUM('Bilan 2020 BAU'!$J$26:$J$32))+'Bilan 2020 BAU'!$G$44</f>
        <v>0.53400000000000003</v>
      </c>
      <c r="AH20" s="383">
        <f>'Bilan 2025'!$G$27*(1-SUM('Bilan 2025'!$K$26:$K$32)/SUM('Bilan 2025'!$J$26:$J$32))+'Bilan 2025'!$G$44</f>
        <v>0.53400000000000003</v>
      </c>
      <c r="AI20" s="383">
        <f>Z20</f>
        <v>1.0012380731174293</v>
      </c>
      <c r="AJ20" s="383">
        <f>AA20</f>
        <v>1.0671382801335763</v>
      </c>
      <c r="AK20" s="404"/>
      <c r="AL20" s="404"/>
      <c r="AM20" s="399" t="s">
        <v>351</v>
      </c>
      <c r="AN20" s="379">
        <f t="shared" si="32"/>
        <v>0</v>
      </c>
      <c r="AO20" s="379">
        <f t="shared" si="30"/>
        <v>0</v>
      </c>
      <c r="AP20" s="379">
        <f t="shared" si="30"/>
        <v>0</v>
      </c>
      <c r="AQ20" s="379">
        <f t="shared" si="30"/>
        <v>0</v>
      </c>
      <c r="AR20" s="379">
        <f t="shared" si="38"/>
        <v>0</v>
      </c>
      <c r="AS20" s="672">
        <f t="shared" si="38"/>
        <v>0</v>
      </c>
      <c r="AU20" s="389" t="s">
        <v>352</v>
      </c>
      <c r="AV20" s="379">
        <f>+'Bilan 2006'!$E46</f>
        <v>0</v>
      </c>
      <c r="AW20" s="379">
        <f>+'Bilan 2010'!$E46</f>
        <v>0</v>
      </c>
      <c r="AX20" s="387">
        <f>+'Bilan 2015'!$E46</f>
        <v>0</v>
      </c>
      <c r="AY20" s="379">
        <f>+'Bilan 2020 BAU'!$E46</f>
        <v>0</v>
      </c>
      <c r="AZ20" s="387">
        <v>0</v>
      </c>
      <c r="BA20" s="387">
        <v>0</v>
      </c>
      <c r="BB20" s="388"/>
      <c r="BD20" s="389" t="s">
        <v>353</v>
      </c>
      <c r="BE20" s="379">
        <f>BO20/U23</f>
        <v>0</v>
      </c>
      <c r="BF20" s="379">
        <f>BP20/V23</f>
        <v>0</v>
      </c>
      <c r="BG20" s="379">
        <f t="shared" si="36"/>
        <v>0</v>
      </c>
      <c r="BH20" s="379">
        <f t="shared" si="36"/>
        <v>0</v>
      </c>
      <c r="BI20" s="379">
        <f t="shared" si="28"/>
        <v>0</v>
      </c>
      <c r="BJ20" s="379">
        <f t="shared" si="28"/>
        <v>0</v>
      </c>
      <c r="BM20" s="384"/>
      <c r="BN20" s="389" t="s">
        <v>354</v>
      </c>
      <c r="BO20" s="379">
        <f>BQ20</f>
        <v>0</v>
      </c>
      <c r="BP20" s="379">
        <f>$BQ$20</f>
        <v>0</v>
      </c>
      <c r="BQ20" s="379">
        <f t="shared" ref="BQ20:BT20" si="41">BR20</f>
        <v>0</v>
      </c>
      <c r="BR20" s="379">
        <f t="shared" si="41"/>
        <v>0</v>
      </c>
      <c r="BS20" s="379">
        <f t="shared" si="41"/>
        <v>0</v>
      </c>
      <c r="BT20" s="379">
        <f t="shared" si="41"/>
        <v>0</v>
      </c>
    </row>
    <row r="21" spans="1:72" ht="13">
      <c r="A21" s="393" t="s">
        <v>22</v>
      </c>
      <c r="B21" s="394"/>
      <c r="C21" s="394"/>
      <c r="D21" s="394"/>
      <c r="E21" s="394"/>
      <c r="F21" s="394"/>
      <c r="G21" s="398"/>
      <c r="H21" s="394"/>
      <c r="I21" s="373"/>
      <c r="K21" s="383" t="s">
        <v>355</v>
      </c>
      <c r="L21" s="383">
        <f t="shared" si="37"/>
        <v>0</v>
      </c>
      <c r="M21" s="383">
        <f t="shared" si="37"/>
        <v>0</v>
      </c>
      <c r="N21" s="383">
        <f t="shared" si="37"/>
        <v>0.24204643164230435</v>
      </c>
      <c r="O21" s="383">
        <f t="shared" si="37"/>
        <v>0.21621253471647081</v>
      </c>
      <c r="P21" s="383">
        <f t="shared" si="37"/>
        <v>0.25</v>
      </c>
      <c r="Q21" s="383">
        <f t="shared" si="37"/>
        <v>0.17196904557179707</v>
      </c>
      <c r="R21" s="383">
        <f t="shared" si="37"/>
        <v>0.60189165950128976</v>
      </c>
      <c r="S21" s="370">
        <f t="shared" si="40"/>
        <v>2405</v>
      </c>
      <c r="T21" s="383" t="s">
        <v>356</v>
      </c>
      <c r="U21" s="383">
        <f>'Bilan 2006'!$G$39+'Bilan 2006'!$G$30</f>
        <v>0.2</v>
      </c>
      <c r="V21" s="383">
        <f>'Bilan 2010'!$G$39+'Bilan 2010'!$G$30</f>
        <v>0.2</v>
      </c>
      <c r="W21" s="383">
        <f>'Bilan 2015'!$G$39+'Bilan 2015'!$G$30</f>
        <v>0.26724398732615506</v>
      </c>
      <c r="X21" s="383">
        <f>'Bilan 2020 BAU'!$G$39+'Bilan 2020 BAU'!$G$30*(1-SUM('Bilan 2020 BAU'!$K$21:$O$24)/SUM('Bilan 2020 BAU'!$G$21:$G$24))</f>
        <v>0.3531794678344698</v>
      </c>
      <c r="Y21" s="383">
        <f>'Bilan 2025'!$G$39+'Bilan 2025'!$G$30*(1-SUM('Bilan 2025'!$K$21:$O$24)/SUM('Bilan 2025'!$G$21:$G$24))</f>
        <v>0.46409376096065469</v>
      </c>
      <c r="Z21" s="383">
        <f>'Bilan 2030'!$G$30*(1-SUM('Bilan 2030'!$K$21:$O$24)/SUM('Bilan 2030'!$G$21:$G$24))+'Bilan 2030'!$G$39</f>
        <v>0.51462471276994393</v>
      </c>
      <c r="AA21" s="383">
        <f>'Bilan 2050'!$G$30*(1-SUM('Bilan 2050'!$K$21:$O$24)/SUM('Bilan 2050'!$G$21:$G$24))+'Bilan 2050'!$G$39</f>
        <v>1.1311582153295254</v>
      </c>
      <c r="AB21" s="384"/>
      <c r="AC21" s="383" t="s">
        <v>356</v>
      </c>
      <c r="AD21" s="383">
        <f>'Bilan 2006'!$G$39+'Bilan 2006'!$G$30</f>
        <v>0.2</v>
      </c>
      <c r="AE21" s="383">
        <f>'Bilan 2010'!$G$39+'Bilan 2010'!$G$30</f>
        <v>0.2</v>
      </c>
      <c r="AF21" s="383">
        <f>'Bilan 2015'!$G$39+'Bilan 2015'!$G$30*(1-SUM('Bilan 2015'!$K$26:$K$32)/SUM('Bilan 2015'!$J$26:$J$32))</f>
        <v>0.22630598820873837</v>
      </c>
      <c r="AG21" s="383">
        <f>'Bilan 2020 BAU'!$G$39+'Bilan 2020 BAU'!$G$30*(1-SUM('Bilan 2020 BAU'!$K$26:$K$32)/SUM('Bilan 2020 BAU'!$J$26:$J$32))</f>
        <v>0.38792928291546797</v>
      </c>
      <c r="AH21" s="383">
        <f>'Bilan 2025'!$G$39+'Bilan 2025'!$G$30*(1-SUM('Bilan 2025'!$K$26:$K$32)/SUM('Bilan 2025'!$J$26:$J$32))</f>
        <v>0.50540992673230123</v>
      </c>
      <c r="AI21" s="383">
        <f t="shared" ref="AI21:AJ22" si="42">Z21</f>
        <v>0.51462471276994393</v>
      </c>
      <c r="AJ21" s="383">
        <f t="shared" si="42"/>
        <v>1.1311582153295254</v>
      </c>
      <c r="AK21" s="404"/>
      <c r="AL21" s="404"/>
      <c r="AV21" s="400">
        <f>SUM(AV4:AV20)-SUM('Bilan 2006'!$E$7:$E$46)</f>
        <v>-7.5336018312555098E-8</v>
      </c>
      <c r="AW21" s="400">
        <f>SUM(AW4:AW20)-SUM('Bilan 2010'!$E$7:$E$46)</f>
        <v>-7.5336018312555098E-8</v>
      </c>
      <c r="AX21" s="400">
        <f>SUM(AX4:AX20)-SUM('Bilan 2015'!$E$7:$E$46)</f>
        <v>-0.10373581861394143</v>
      </c>
      <c r="AY21" s="400">
        <f>SUM(AY4:AY20)-SUM('Bilan 2020 BAU'!$E$7:$E$46)</f>
        <v>-2.9922041826736745E-2</v>
      </c>
      <c r="AZ21" s="400">
        <f>SUM(AZ4:AZ20)-SUM('Bilan 2030'!$E$7:$E$48)-'Bilan 2030'!$I$13-'Bilan 2030'!$I$24-'Bilan 2030'!$I$44</f>
        <v>-1.8403574644804799E-2</v>
      </c>
      <c r="BA21" s="400">
        <f>SUM(BA4:BA20)-SUM('Bilan 2050'!$E$7:$E$48)-'Bilan 2050'!$I$13-'Bilan 2050'!$I$24-'Bilan 2050'!$I$44</f>
        <v>-1.237007129351575E-2</v>
      </c>
      <c r="BO21" s="401">
        <f>SUM(BO4:BO20)-SUM('Bilan 2006'!K12,'Bilan 2006'!I13)</f>
        <v>0</v>
      </c>
      <c r="BP21" s="401">
        <f>SUM(BP4:BP20)-SUM('Bilan 2010'!$K$12,'Bilan 2010'!$I$13)</f>
        <v>0</v>
      </c>
      <c r="BQ21" s="401">
        <f>SUM(BQ4:BQ20)-SUM('Bilan 2015'!$K$12,'Bilan 2015'!$I$13)</f>
        <v>0</v>
      </c>
      <c r="BR21" s="401">
        <f>SUM(BR4:BR20)-SUM('Bilan 2020 BAU'!$K$12,'Bilan 2020 BAU'!$I$13)</f>
        <v>0</v>
      </c>
      <c r="BS21" s="401">
        <f>SUM(BS4:BS20)-SUM('Bilan 2030'!$K$12,'Bilan 2030'!$I$13)</f>
        <v>-2.8464869574248652E-2</v>
      </c>
      <c r="BT21" s="401">
        <f>SUM(BT4:BT20)-SUM('Bilan 2050'!$K$12,,'Bilan 2050'!$M$12)</f>
        <v>0</v>
      </c>
    </row>
    <row r="22" spans="1:72" ht="13">
      <c r="A22" s="391" t="s">
        <v>357</v>
      </c>
      <c r="B22" s="392"/>
      <c r="C22" s="392"/>
      <c r="D22" s="392"/>
      <c r="E22" s="392"/>
      <c r="F22" s="392"/>
      <c r="G22" s="397"/>
      <c r="H22" s="392"/>
      <c r="I22" s="373"/>
      <c r="K22" s="383" t="s">
        <v>358</v>
      </c>
      <c r="L22" s="383">
        <f t="shared" si="37"/>
        <v>0.60000000000000009</v>
      </c>
      <c r="M22" s="383">
        <f t="shared" si="37"/>
        <v>0.60000000000000009</v>
      </c>
      <c r="N22" s="383">
        <f t="shared" si="37"/>
        <v>0.97360684201231162</v>
      </c>
      <c r="O22" s="383">
        <f t="shared" si="37"/>
        <v>1.6761001270178091</v>
      </c>
      <c r="P22" s="383">
        <f t="shared" si="37"/>
        <v>1.9644099267323012</v>
      </c>
      <c r="Q22" s="383">
        <f t="shared" si="37"/>
        <v>5.6665218142277167</v>
      </c>
      <c r="R22" s="383">
        <f t="shared" si="37"/>
        <v>8.2602658662680852</v>
      </c>
      <c r="S22" s="370">
        <f t="shared" si="40"/>
        <v>2406</v>
      </c>
      <c r="T22" s="383" t="s">
        <v>359</v>
      </c>
      <c r="U22" s="383">
        <f>'Bilan 2006'!$G$40+'Bilan 2006'!$G$38+'Bilan 2006'!$G$31+'Bilan 2006'!$G$28</f>
        <v>0.4</v>
      </c>
      <c r="V22" s="383">
        <f>'Bilan 2010'!$G$40+'Bilan 2010'!$G$38+'Bilan 2010'!$G$31+'Bilan 2010'!$G$28</f>
        <v>0.4</v>
      </c>
      <c r="W22" s="383">
        <f>'Bilan 2015'!$G$40+'Bilan 2015'!$G$38+'Bilan 2015'!$G$31+'Bilan 2015'!$G$28</f>
        <v>1.118498178805428</v>
      </c>
      <c r="X22" s="383">
        <f>'Bilan 2020 BAU'!$G$40+'Bilan 2020 BAU'!$G$38+'Bilan 2020 BAU'!$G$31*(1-SUM('Bilan 2020 BAU'!$K$21:$O$24)/SUM('Bilan 2020 BAU'!$G$21:$G$24))+'Bilan 2020 BAU'!$G$28*(1-SUM('Bilan 2020 BAU'!$K$21:$O$24)/SUM('Bilan 2020 BAU'!$G$21:$G$24))</f>
        <v>1.5535279368670427</v>
      </c>
      <c r="Y22" s="383">
        <f>'Bilan 2025'!$G$40+'Bilan 2025'!$G$38+'Bilan 2025'!$G$31*(1-SUM('Bilan 2025'!$K$21:$O$24)/SUM('Bilan 2025'!$G$21:$G$24))+'Bilan 2025'!$G$28*(1-SUM('Bilan 2025'!$K$21:$O$24)/SUM('Bilan 2025'!$G$21:$G$24))</f>
        <v>1.7539735336913413</v>
      </c>
      <c r="Z22" s="383">
        <f>'Bilan 2030'!$G$41+'Bilan 2030'!$G$40+'Bilan 2030'!$G$38+'Bilan 2030'!$G$31*(1-SUM('Bilan 2030'!$K$21:$O$24)/SUM('Bilan 2030'!$G$21:$G$24))+'Bilan 2030'!$G$28*(1-SUM('Bilan 2030'!$K$21:$O$24)/SUM('Bilan 2030'!$G$21:$G$24))</f>
        <v>5.3235159644335708</v>
      </c>
      <c r="AA22" s="383">
        <f>'Bilan 2050'!$G$41+'Bilan 2050'!$G$40+'Bilan 2050'!$G$38+'Bilan 2050'!$G$31*(1-SUM('Bilan 2050'!$K$21:$O$24)/SUM('Bilan 2050'!$G$21:$G$24))+'Bilan 2050'!$G$28*(1-SUM('Bilan 2050'!$K$21:$O$24)/SUM('Bilan 2050'!$G$21:$G$24))</f>
        <v>7.637255498264012</v>
      </c>
      <c r="AB22" s="384"/>
      <c r="AC22" s="383" t="s">
        <v>359</v>
      </c>
      <c r="AD22" s="383">
        <f>'Bilan 2006'!$G$40+'Bilan 2006'!$G$38+'Bilan 2006'!$G$31+'Bilan 2006'!$G$28</f>
        <v>0.4</v>
      </c>
      <c r="AE22" s="383">
        <f>'Bilan 2010'!$G$40+'Bilan 2010'!$G$38+'Bilan 2010'!$G$31+'Bilan 2010'!$G$28</f>
        <v>0.4</v>
      </c>
      <c r="AF22" s="383">
        <f>'Bilan 2015'!$G$40+'Bilan 2015'!$G$38+('Bilan 2015'!$G$31+'Bilan 2015'!$G$28)*(1-SUM('Bilan 2015'!$K$26:$K$32)/SUM('Bilan 2015'!$J$26:$J$32))</f>
        <v>1.1103105789819447</v>
      </c>
      <c r="AG22" s="383">
        <f>'Bilan 2020 BAU'!$G$40+'Bilan 2020 BAU'!$G$38+('Bilan 2020 BAU'!$G$31+'Bilan 2020 BAU'!$G$28)*(1-SUM('Bilan 2020 BAU'!$K$26:$K$32)/SUM('Bilan 2020 BAU'!$J$26:$J$32))</f>
        <v>1.5695999999999999</v>
      </c>
      <c r="AH22" s="383">
        <f>'Bilan 2025'!$G$40+'Bilan 2025'!$G$38+('Bilan 2025'!$G$31+'Bilan 2025'!$G$28)*(1-SUM('Bilan 2025'!$K$26:$K$32)/SUM('Bilan 2025'!$J$26:$J$32))</f>
        <v>1.7705</v>
      </c>
      <c r="AI22" s="383">
        <f t="shared" si="42"/>
        <v>5.3235159644335708</v>
      </c>
      <c r="AJ22" s="383">
        <f t="shared" si="42"/>
        <v>7.637255498264012</v>
      </c>
      <c r="AK22" s="404"/>
      <c r="AL22" s="404"/>
      <c r="BT22" s="402"/>
    </row>
    <row r="23" spans="1:72" ht="13">
      <c r="A23" s="393" t="s">
        <v>360</v>
      </c>
      <c r="B23" s="394"/>
      <c r="C23" s="394"/>
      <c r="D23" s="394"/>
      <c r="E23" s="394"/>
      <c r="F23" s="394"/>
      <c r="G23" s="398"/>
      <c r="H23" s="394"/>
      <c r="I23" s="373"/>
      <c r="K23" s="378" t="s">
        <v>42</v>
      </c>
      <c r="L23" s="378">
        <f>B37</f>
        <v>7.2</v>
      </c>
      <c r="M23" s="378">
        <f t="shared" ref="M23" si="43">C37</f>
        <v>7.2</v>
      </c>
      <c r="N23" s="378">
        <f>D37</f>
        <v>5.6188711803771962</v>
      </c>
      <c r="O23" s="378">
        <f>E37</f>
        <v>3.5653834298241049</v>
      </c>
      <c r="P23" s="378">
        <f>F37</f>
        <v>3.1874504493190567</v>
      </c>
      <c r="Q23" s="378">
        <f>G37</f>
        <v>4.296094504131398</v>
      </c>
      <c r="R23" s="378">
        <f>H37</f>
        <v>2.9217059859506862</v>
      </c>
      <c r="S23" s="370"/>
      <c r="T23" s="378" t="s">
        <v>42</v>
      </c>
      <c r="U23" s="378">
        <f>SUM('Bilan 2006'!$S$46:$W$46)</f>
        <v>5.7508898214426036</v>
      </c>
      <c r="V23" s="378">
        <f>SUM('Bilan 2010'!$S$46:$W$46)</f>
        <v>5.7508898214426036</v>
      </c>
      <c r="W23" s="378">
        <f>SUM('Bilan 2015'!$S$46:$W$46)</f>
        <v>1.1313605731176026</v>
      </c>
      <c r="X23" s="378">
        <f>SUM('Bilan 2020 BAU'!$S$46:$W$46)</f>
        <v>0.34682298421332747</v>
      </c>
      <c r="Y23" s="378">
        <f>SUM('Bilan 2025'!$S$46:$W$46)+0.1</f>
        <v>0.15192298421332695</v>
      </c>
      <c r="Z23" s="378">
        <f>SUM('Bilan 2030'!$S$48:$W$48)</f>
        <v>0.7766788133216237</v>
      </c>
      <c r="AA23" s="378">
        <f>SUM('Bilan 2050'!$S$48:$W$48)+0.1</f>
        <v>0.18604220701007254</v>
      </c>
      <c r="AB23" s="384"/>
      <c r="AC23" s="378" t="s">
        <v>42</v>
      </c>
      <c r="AD23" s="378">
        <f>SUM('Bilan 2006'!S46:W46)+'Bilan 2006'!$E$51</f>
        <v>6.9799999999999986</v>
      </c>
      <c r="AE23" s="378">
        <f>SUM('Bilan 2010'!S46:W46)+'Bilan 2010'!$E$51</f>
        <v>6.9799999999999986</v>
      </c>
      <c r="AF23" s="378">
        <f>SUM('Bilan 2015'!S46:W46)+'Bilan 2015'!$E$51</f>
        <v>5.3831781844824604</v>
      </c>
      <c r="AG23" s="378">
        <f>SUM('Bilan 2020 BAU'!S46:W46)+'Bilan 2020 BAU'!$E$51</f>
        <v>3.5653834298241049</v>
      </c>
      <c r="AH23" s="378">
        <f>SUM('Bilan 2025'!S46:W46)+'Bilan 2025'!$E$51</f>
        <v>3.1874504493190567</v>
      </c>
      <c r="AI23" s="378">
        <f>SUM('Bilan 2030'!$S$48:$W$48)+'Bilan 2030'!$E$53</f>
        <v>1.0655321831374764</v>
      </c>
      <c r="AJ23" s="378">
        <f>SUM('Bilan 2050'!$S$48:$W$48)+'Bilan 2050'!$E$53</f>
        <v>0.3603850246167053</v>
      </c>
      <c r="AK23" s="404">
        <f>AI23-'Bilan 2030'!P48-'Bilan 2030'!E53</f>
        <v>0</v>
      </c>
      <c r="AL23" s="404">
        <f>AJ23-'Bilan 2050'!P48-'Bilan 2050'!E53</f>
        <v>0</v>
      </c>
      <c r="AU23" s="403"/>
      <c r="AV23" s="403"/>
      <c r="AW23" s="403"/>
      <c r="AX23" s="403"/>
      <c r="AY23" s="403"/>
    </row>
    <row r="24" spans="1:72" ht="13">
      <c r="A24" s="391" t="s">
        <v>361</v>
      </c>
      <c r="B24" s="392"/>
      <c r="C24" s="392"/>
      <c r="D24" s="392"/>
      <c r="E24" s="392"/>
      <c r="F24" s="392"/>
      <c r="G24" s="397"/>
      <c r="H24" s="392"/>
      <c r="I24" s="373"/>
      <c r="L24" s="404">
        <f>L2-'Bilan 2006'!C5</f>
        <v>-0.19999999999993179</v>
      </c>
      <c r="M24" s="404">
        <f>M2-'Bilan 2010'!$C$5</f>
        <v>0</v>
      </c>
      <c r="N24" s="404">
        <f>N2-'Bilan 2015'!$C$5</f>
        <v>-0.2391490689516047</v>
      </c>
      <c r="O24" s="404">
        <f>O2-'Bilan 2020 BAU'!$C$5</f>
        <v>9.0786575935908331E-3</v>
      </c>
      <c r="P24" s="404">
        <f>P2-'Bilan 2025'!$C$5</f>
        <v>0.10146586141991065</v>
      </c>
      <c r="Q24" s="404">
        <f>Q2-'Bilan 2030'!$C$5</f>
        <v>2.0000000000067075E-2</v>
      </c>
      <c r="R24" s="404">
        <f>R2-'Bilan 2050'!$C$5</f>
        <v>1.0199999999997544E-2</v>
      </c>
      <c r="U24" s="384">
        <f>U2-'Bilan 2006'!R5</f>
        <v>4.2000000000030013E-2</v>
      </c>
      <c r="V24" s="384">
        <f>V2-'Bilan 2010'!R5</f>
        <v>4.2000000000030013E-2</v>
      </c>
      <c r="W24" s="384">
        <f>W2-'Bilan 2015'!R5</f>
        <v>-5.0585033956985512</v>
      </c>
      <c r="X24" s="405">
        <f>X2-'Bilan 2020 BAU'!$R$5</f>
        <v>-0.1404162488845202</v>
      </c>
      <c r="Y24" s="405">
        <f>Y2-'Bilan 2025'!$R$5</f>
        <v>0.21110541894150003</v>
      </c>
      <c r="Z24" s="405">
        <f>Z2-'Bilan 2030'!$R$5</f>
        <v>0.40278439863456583</v>
      </c>
      <c r="AA24" s="405">
        <f>AA2-'Bilan 2050'!$R$5</f>
        <v>0.18096599988781747</v>
      </c>
      <c r="AD24" s="384"/>
      <c r="AE24" s="384"/>
      <c r="AF24" s="405">
        <f>AF2-'Bilan 2015'!$P$5-SUM('Bilan 2015'!$E$51:$E$53)</f>
        <v>4.406137773957397E-2</v>
      </c>
      <c r="AG24" s="405">
        <f>AG2-'Bilan 2020 BAU'!$P$5-SUM('Bilan 2020 BAU'!$E$51:$E$53)</f>
        <v>0.4278751786798054</v>
      </c>
      <c r="AH24" s="405">
        <f>AH2-'Bilan 2025'!$P$5-SUM('Bilan 2025'!$E$51:$E$53)</f>
        <v>0.6079050307277285</v>
      </c>
      <c r="AI24" s="405">
        <f>AI2-'Bilan 2030'!$P$5-SUM('Bilan 2030'!E53:E58)</f>
        <v>8.9185932373599286E-2</v>
      </c>
      <c r="AJ24" s="405">
        <f>AJ2-'Bilan 2050'!$P$5-SUM('Bilan 2050'!$E$53:$E$58)</f>
        <v>0.14285461665996912</v>
      </c>
    </row>
    <row r="25" spans="1:72">
      <c r="A25" s="393" t="s">
        <v>362</v>
      </c>
      <c r="B25" s="394"/>
      <c r="C25" s="394"/>
      <c r="D25" s="394"/>
      <c r="E25" s="394"/>
      <c r="F25" s="394"/>
      <c r="G25" s="398"/>
      <c r="H25" s="394"/>
      <c r="I25" s="373"/>
      <c r="Z25" s="406"/>
      <c r="AA25" s="384"/>
      <c r="AI25" s="406"/>
      <c r="AJ25" s="384"/>
    </row>
    <row r="26" spans="1:72" ht="13">
      <c r="A26" s="391" t="s">
        <v>30</v>
      </c>
      <c r="B26" s="392"/>
      <c r="C26" s="392"/>
      <c r="D26" s="392"/>
      <c r="E26" s="392"/>
      <c r="F26" s="392"/>
      <c r="G26" s="397"/>
      <c r="H26" s="392"/>
      <c r="I26" s="373"/>
      <c r="L26" s="367">
        <v>2006</v>
      </c>
      <c r="N26" s="367">
        <v>2015</v>
      </c>
      <c r="O26" s="368">
        <v>2020</v>
      </c>
      <c r="P26" s="369">
        <v>2025</v>
      </c>
      <c r="Q26" s="369">
        <v>2030</v>
      </c>
      <c r="R26" s="369">
        <v>2050</v>
      </c>
      <c r="V26" s="367">
        <v>2010</v>
      </c>
      <c r="W26" s="367">
        <v>2015</v>
      </c>
      <c r="X26" s="368">
        <v>2020</v>
      </c>
      <c r="Y26" s="369">
        <v>2025</v>
      </c>
      <c r="Z26" s="369">
        <v>2030</v>
      </c>
      <c r="AA26" s="369">
        <v>2050</v>
      </c>
      <c r="AE26" s="367">
        <v>2010</v>
      </c>
      <c r="AF26" s="367">
        <v>2015</v>
      </c>
      <c r="AG26" s="368">
        <v>2020</v>
      </c>
      <c r="AH26" s="369">
        <v>2025</v>
      </c>
      <c r="AI26" s="369">
        <v>2030</v>
      </c>
      <c r="AJ26" s="369">
        <v>2050</v>
      </c>
    </row>
    <row r="27" spans="1:72" ht="87">
      <c r="A27" s="375" t="s">
        <v>330</v>
      </c>
      <c r="B27" s="376">
        <f t="shared" ref="B27:F27" si="44">SUM(B28:B33)</f>
        <v>39.730000000000011</v>
      </c>
      <c r="C27" s="377">
        <f t="shared" si="44"/>
        <v>39.930000000000014</v>
      </c>
      <c r="D27" s="376">
        <f t="shared" si="44"/>
        <v>39.843550315591592</v>
      </c>
      <c r="E27" s="376">
        <f t="shared" si="44"/>
        <v>47.886130995788484</v>
      </c>
      <c r="F27" s="376">
        <f t="shared" si="44"/>
        <v>39.966486852141436</v>
      </c>
      <c r="G27" s="378">
        <f>SUM(G28:G33)</f>
        <v>49.58751959285383</v>
      </c>
      <c r="H27" s="376">
        <f t="shared" ref="H27" si="45">SUM(H28:H33)</f>
        <v>47.35486716631798</v>
      </c>
      <c r="I27" s="761">
        <f>G27-SUM('Bilan 2030'!C21:C32,'Bilan 2030'!C36:C41,'Bilan 2030'!C45:C47,-'Bilan 2030'!N23-'Bilan 2030'!O23)</f>
        <v>0</v>
      </c>
      <c r="J27" s="404">
        <f>H27-SUM('Bilan 2050'!C21:C32,'Bilan 2050'!C36:C41,'Bilan 2050'!C45:C47,-'Bilan 2050'!N23-'Bilan 2050'!O23)</f>
        <v>0</v>
      </c>
      <c r="K27" s="407" t="s">
        <v>363</v>
      </c>
      <c r="L27" s="374"/>
      <c r="M27" s="374"/>
      <c r="N27" s="374"/>
      <c r="O27" s="374"/>
      <c r="P27" s="374"/>
      <c r="Q27" s="374"/>
      <c r="R27" s="374"/>
      <c r="T27" s="407" t="s">
        <v>364</v>
      </c>
      <c r="U27" s="407"/>
      <c r="V27" s="407"/>
      <c r="W27" s="374"/>
      <c r="X27" s="374"/>
      <c r="Y27" s="374"/>
      <c r="Z27" s="374"/>
      <c r="AA27" s="374"/>
      <c r="AC27" s="407" t="s">
        <v>365</v>
      </c>
      <c r="AD27" s="407"/>
      <c r="AE27" s="407"/>
      <c r="AF27" s="374"/>
      <c r="AG27" s="374"/>
      <c r="AH27" s="374"/>
      <c r="AI27" s="374"/>
      <c r="AJ27" s="374"/>
    </row>
    <row r="28" spans="1:72" ht="13">
      <c r="A28" s="380" t="s">
        <v>335</v>
      </c>
      <c r="B28" s="382">
        <f>'Bilan 2006'!C24-'Bilan 2006'!$O$23+'Bilan 2006'!$C$45</f>
        <v>36.790000000000006</v>
      </c>
      <c r="C28" s="381">
        <f>'Bilan 2010'!$C$24-'Bilan 2010'!$O$23+'Bilan 2010'!$C$45</f>
        <v>36.790000000000006</v>
      </c>
      <c r="D28" s="382">
        <f>'Bilan 2015'!$C$24-'Bilan 2015'!$O$23+'Bilan 2015'!$C$45</f>
        <v>34.14508120070991</v>
      </c>
      <c r="E28" s="382">
        <f>'Bilan 2020 BAU'!$C$24-'Bilan 2020 BAU'!$O$23+'Bilan 2020 BAU'!$C$45</f>
        <v>33.227343431804663</v>
      </c>
      <c r="F28" s="382">
        <f>'Bilan 2025'!$C$24-'Bilan 2025'!$O$23+'Bilan 2025'!$C$45</f>
        <v>31.941346257284312</v>
      </c>
      <c r="G28" s="382">
        <f>'Bilan 2030'!$C$24-SUM('Bilan 2030'!$N$21:$O$24)*'Bilan 2030'!$G$24/SUM('Bilan 2030'!$G$21:$G$24)+'Bilan 2030'!$C$32+'Bilan 2030'!$C$46+'Bilan 2030'!$C$47</f>
        <v>30.994392107970103</v>
      </c>
      <c r="H28" s="382">
        <f>'Bilan 2050'!$C$24-SUM('Bilan 2050'!$N$21:$O$24)*'Bilan 2050'!$G$24/SUM('Bilan 2050'!$G$21:$G$24)+'Bilan 2050'!$C$32+'Bilan 2050'!$C$46+'Bilan 2050'!$C$47</f>
        <v>23.320010075591298</v>
      </c>
      <c r="I28" s="762">
        <f>'Bilan 2030'!C24-('Bilan 2030'!N23+'Bilan 2030'!O23)*'Bilan 2030'!G24/SUM('Bilan 2030'!G21:G24)+'Bilan 2030'!C32+'Bilan 2030'!C46+'Bilan 2030'!$C$47-G28</f>
        <v>0</v>
      </c>
      <c r="J28" s="763">
        <f>'Bilan 2050'!C24-('Bilan 2050'!N23+'Bilan 2050'!O23)*'Bilan 2050'!G24/SUM('Bilan 2050'!G21:G24)+'Bilan 2050'!C32+'Bilan 2050'!C46+'Bilan 2050'!$C$47-H28</f>
        <v>0</v>
      </c>
      <c r="K28" s="378" t="s">
        <v>270</v>
      </c>
      <c r="L28" s="378"/>
      <c r="M28" s="378"/>
      <c r="N28" s="378"/>
      <c r="O28" s="378"/>
      <c r="P28" s="378"/>
      <c r="Q28" s="378"/>
      <c r="R28" s="378"/>
      <c r="T28" s="378" t="s">
        <v>270</v>
      </c>
      <c r="U28" s="378"/>
      <c r="V28" s="378"/>
      <c r="W28" s="378"/>
      <c r="X28" s="378"/>
      <c r="Y28" s="378"/>
      <c r="Z28" s="378"/>
      <c r="AA28" s="378"/>
      <c r="AC28" s="378" t="s">
        <v>270</v>
      </c>
      <c r="AD28" s="378"/>
      <c r="AE28" s="378"/>
      <c r="AF28" s="378"/>
      <c r="AG28" s="378"/>
      <c r="AH28" s="378"/>
      <c r="AI28" s="378"/>
      <c r="AJ28" s="378"/>
    </row>
    <row r="29" spans="1:72" ht="13">
      <c r="A29" s="380" t="s">
        <v>366</v>
      </c>
      <c r="B29" s="383">
        <f>'Bilan 2006'!C29+'Bilan 2006'!C37</f>
        <v>1.6000000000000008</v>
      </c>
      <c r="C29" s="383">
        <f>'Bilan 2010'!$C$29+'Bilan 2010'!$C$37</f>
        <v>1.6000000000000008</v>
      </c>
      <c r="D29" s="382">
        <f>'Bilan 2015'!$C$29+'Bilan 2015'!$C$37</f>
        <v>3.5923601232562992</v>
      </c>
      <c r="E29" s="382">
        <f>'Bilan 2020 BAU'!$C$29+'Bilan 2020 BAU'!$C$37</f>
        <v>11.850262367533066</v>
      </c>
      <c r="F29" s="382">
        <f>'Bilan 2025'!$C$29+'Bilan 2025'!$C$37</f>
        <v>4.8607306681248179</v>
      </c>
      <c r="G29" s="382">
        <f>'Bilan 2030'!$C$29+'Bilan 2030'!$C$37</f>
        <v>8.5422786486295514</v>
      </c>
      <c r="H29" s="382">
        <f>'Bilan 2050'!$C$29+'Bilan 2050'!$C$37</f>
        <v>7.3056774740668082</v>
      </c>
      <c r="I29" s="762">
        <f>'Bilan 2030'!C29+'Bilan 2030'!C37-G29</f>
        <v>0</v>
      </c>
      <c r="J29" s="404">
        <f>'Bilan 2050'!C29+'Bilan 2050'!C37-H29</f>
        <v>0</v>
      </c>
      <c r="K29" s="383" t="s">
        <v>274</v>
      </c>
      <c r="L29" s="408">
        <f>L4/L$3</f>
        <v>0.99232540291634685</v>
      </c>
      <c r="M29" s="408">
        <f t="shared" ref="M29:M30" si="46">M4/M$3</f>
        <v>0.99232540291634685</v>
      </c>
      <c r="N29" s="408">
        <f>N4/N$3</f>
        <v>0.96008191192744297</v>
      </c>
      <c r="O29" s="408">
        <f t="shared" ref="O29:R30" si="47">O4/O$3</f>
        <v>0.94777708188990895</v>
      </c>
      <c r="P29" s="408">
        <f t="shared" si="47"/>
        <v>0.95021690707034512</v>
      </c>
      <c r="Q29" s="408">
        <f t="shared" si="47"/>
        <v>0.94046237026019841</v>
      </c>
      <c r="R29" s="408">
        <f t="shared" si="47"/>
        <v>0.89657813505255568</v>
      </c>
      <c r="T29" s="383" t="s">
        <v>274</v>
      </c>
      <c r="U29" s="408">
        <f>U4/U$3</f>
        <v>0.99172610111270254</v>
      </c>
      <c r="V29" s="408">
        <f t="shared" ref="V29:V30" si="48">V4/V$3</f>
        <v>0.99172610111270254</v>
      </c>
      <c r="W29" s="408">
        <f>W4/W$3</f>
        <v>0.94932135581836274</v>
      </c>
      <c r="X29" s="408">
        <f t="shared" ref="X29:AA30" si="49">X4/X$3</f>
        <v>0.93365956043388776</v>
      </c>
      <c r="Y29" s="408">
        <f t="shared" si="49"/>
        <v>0.93552545516070917</v>
      </c>
      <c r="Z29" s="408">
        <f t="shared" si="49"/>
        <v>0.91676250328042574</v>
      </c>
      <c r="AA29" s="408">
        <f>AA4/AA$3</f>
        <v>0.82963056068956875</v>
      </c>
      <c r="AC29" s="383" t="s">
        <v>274</v>
      </c>
      <c r="AD29" s="408">
        <f>AD4/AD$3</f>
        <v>0.99189533402801899</v>
      </c>
      <c r="AE29" s="408">
        <f t="shared" ref="AE29:AE30" si="50">AE4/AE$3</f>
        <v>0.99189533402801899</v>
      </c>
      <c r="AF29" s="408">
        <f>AF4/AF$3</f>
        <v>0.95906101949488254</v>
      </c>
      <c r="AG29" s="408">
        <f t="shared" ref="AG29:AJ30" si="51">AG4/AG$3</f>
        <v>0.94639268433101376</v>
      </c>
      <c r="AH29" s="408">
        <f t="shared" si="51"/>
        <v>0.94884112246860386</v>
      </c>
      <c r="AI29" s="408">
        <f t="shared" si="51"/>
        <v>0.93807197205634241</v>
      </c>
      <c r="AJ29" s="408">
        <f>AJ4/AJ$3</f>
        <v>0.89141059435383196</v>
      </c>
    </row>
    <row r="30" spans="1:72" ht="13">
      <c r="A30" s="380" t="s">
        <v>367</v>
      </c>
      <c r="B30" s="383">
        <f>'Bilan 2006'!$C$26+'Bilan 2006'!$C$28+'Bilan 2006'!$C$30+'Bilan 2006'!$C$36</f>
        <v>0</v>
      </c>
      <c r="C30" s="383">
        <f>'Bilan 2010'!C22+'Bilan 2010'!$C$26+'Bilan 2010'!$C$28+'Bilan 2010'!$C$30+'Bilan 2010'!$C$36</f>
        <v>0.2</v>
      </c>
      <c r="D30" s="382">
        <f>'Bilan 2015'!$C$26+'Bilan 2015'!$C$28+'Bilan 2015'!$C$30+'Bilan 2015'!$C$36</f>
        <v>0.29045571797076525</v>
      </c>
      <c r="E30" s="382">
        <f>('Bilan 2020 BAU'!$C$21+'Bilan 2020 BAU'!$C$23)*(1-SUM('Bilan 2020 BAU'!$M$21:$O$24)/SUM('Bilan 2020 BAU'!$G$21:$G$24))+'Bilan 2020 BAU'!$C$26+'Bilan 2020 BAU'!$C$28+'Bilan 2020 BAU'!$C$30+'Bilan 2020 BAU'!$C$36</f>
        <v>0.31621253471647082</v>
      </c>
      <c r="F30" s="382">
        <f>('Bilan 2025'!$C$21+'Bilan 2025'!$C$23)*(1-SUM('Bilan 2025'!$M$21:$O$24)/SUM('Bilan 2025'!$G$21:$G$24))+'Bilan 2025'!$C$26+'Bilan 2025'!$C$28+'Bilan 2025'!$C$30+'Bilan 2025'!$C$36</f>
        <v>0.35</v>
      </c>
      <c r="G30" s="382">
        <f>('Bilan 2030'!$C$21+'Bilan 2030'!$C$22+'Bilan 2030'!$C$23)-SUM('Bilan 2030'!$N$21:$O$24)*('Bilan 2030'!$G$21+'Bilan 2030'!$G$22+'Bilan 2030'!$G$23)/SUM('Bilan 2030'!$G$21:$G$24)+'Bilan 2030'!$C$26+'Bilan 2030'!$C$28+'Bilan 2030'!$C$36</f>
        <v>3.0867057972116072</v>
      </c>
      <c r="H30" s="382">
        <f>('Bilan 2050'!$C$21+'Bilan 2050'!$C$22+'Bilan 2050'!$C$23)-SUM('Bilan 2050'!$N$21:$O$24)*('Bilan 2050'!$G$21+'Bilan 2050'!$G$22+'Bilan 2050'!$G$23)/SUM('Bilan 2050'!$G$21:$G$24)+'Bilan 2050'!$C$26+'Bilan 2050'!$C$28+'Bilan 2050'!$C$36</f>
        <v>6.6642362764797891</v>
      </c>
      <c r="I30" s="761">
        <f>SUM('Bilan 2030'!C21:C23)-SUM('Bilan 2030'!N23:O23)*SUM('Bilan 2030'!G21:G23)/SUM('Bilan 2030'!G21:G24)+'Bilan 2030'!C26+'Bilan 2030'!C28+'Bilan 2030'!C36-G30</f>
        <v>0</v>
      </c>
      <c r="J30" s="404">
        <f>SUM('Bilan 2050'!C21:C23)-SUM('Bilan 2050'!N23:O23)*SUM('Bilan 2050'!G21:G23)/SUM('Bilan 2050'!G21:G24)+'Bilan 2050'!C26+'Bilan 2050'!C28+'Bilan 2050'!C36-H30</f>
        <v>0</v>
      </c>
      <c r="K30" s="383" t="s">
        <v>279</v>
      </c>
      <c r="L30" s="408">
        <f>L5/L$3</f>
        <v>7.6745970836531079E-3</v>
      </c>
      <c r="M30" s="408">
        <f t="shared" si="46"/>
        <v>7.6745970836531079E-3</v>
      </c>
      <c r="N30" s="408">
        <f>N5/N$3</f>
        <v>3.9918088072556958E-2</v>
      </c>
      <c r="O30" s="408">
        <f t="shared" si="47"/>
        <v>5.2222918110091103E-2</v>
      </c>
      <c r="P30" s="408">
        <f t="shared" si="47"/>
        <v>4.9783092929655014E-2</v>
      </c>
      <c r="Q30" s="408">
        <f t="shared" si="47"/>
        <v>5.9537629739801652E-2</v>
      </c>
      <c r="R30" s="408">
        <f t="shared" si="47"/>
        <v>0.10342186494744428</v>
      </c>
      <c r="T30" s="383" t="s">
        <v>279</v>
      </c>
      <c r="U30" s="408">
        <f>U5/U$3</f>
        <v>8.273898887297397E-3</v>
      </c>
      <c r="V30" s="408">
        <f t="shared" si="48"/>
        <v>8.273898887297397E-3</v>
      </c>
      <c r="W30" s="408">
        <f>W5/W$3</f>
        <v>5.0678644181637207E-2</v>
      </c>
      <c r="X30" s="408">
        <f t="shared" si="49"/>
        <v>6.6340439566112228E-2</v>
      </c>
      <c r="Y30" s="408">
        <f t="shared" si="49"/>
        <v>6.4474544839290826E-2</v>
      </c>
      <c r="Z30" s="408">
        <f t="shared" si="49"/>
        <v>8.3237496719574242E-2</v>
      </c>
      <c r="AA30" s="408">
        <f t="shared" si="49"/>
        <v>0.17036943931043114</v>
      </c>
      <c r="AC30" s="383" t="s">
        <v>279</v>
      </c>
      <c r="AD30" s="408">
        <f>AD5/AD$3</f>
        <v>8.1046659719810118E-3</v>
      </c>
      <c r="AE30" s="408">
        <f t="shared" si="50"/>
        <v>8.1046659719810118E-3</v>
      </c>
      <c r="AF30" s="408">
        <f>AF5/AF$3</f>
        <v>4.0938980505117517E-2</v>
      </c>
      <c r="AG30" s="408">
        <f t="shared" si="51"/>
        <v>5.36073156689863E-2</v>
      </c>
      <c r="AH30" s="408">
        <f t="shared" si="51"/>
        <v>5.1158877531396273E-2</v>
      </c>
      <c r="AI30" s="408">
        <f t="shared" si="51"/>
        <v>6.1928027943657669E-2</v>
      </c>
      <c r="AJ30" s="408">
        <f t="shared" si="51"/>
        <v>0.10858940564616808</v>
      </c>
    </row>
    <row r="31" spans="1:72" ht="13">
      <c r="A31" s="380" t="s">
        <v>350</v>
      </c>
      <c r="B31" s="383">
        <f>'Bilan 2006'!$C$27+'Bilan 2006'!$C$44</f>
        <v>0.74</v>
      </c>
      <c r="C31" s="383">
        <f>'Bilan 2010'!$C$27+'Bilan 2010'!$C$44</f>
        <v>0.74</v>
      </c>
      <c r="D31" s="382">
        <f>'Bilan 2015'!$C$27+'Bilan 2015'!$C$44</f>
        <v>0.6</v>
      </c>
      <c r="E31" s="382">
        <f>'Bilan 2020 BAU'!$C$27+'Bilan 2020 BAU'!$C$44</f>
        <v>0.6</v>
      </c>
      <c r="F31" s="382">
        <f>'Bilan 2025'!$C$27+'Bilan 2025'!$C$44</f>
        <v>0.6</v>
      </c>
      <c r="G31" s="382">
        <f>'Bilan 2030'!$C$27+'Bilan 2030'!$C$45</f>
        <v>1.1256521792430516</v>
      </c>
      <c r="H31" s="382">
        <f>'Bilan 2050'!$C$27+'Bilan 2050'!$C$45</f>
        <v>1.2027858144107082</v>
      </c>
      <c r="I31" s="761">
        <f>'Bilan 2030'!C27+'Bilan 2030'!C45-G31</f>
        <v>0</v>
      </c>
      <c r="J31" s="404">
        <f>'Bilan 2050'!C27+'Bilan 2050'!C45-H31</f>
        <v>0</v>
      </c>
      <c r="K31" s="383" t="s">
        <v>181</v>
      </c>
      <c r="L31" s="383"/>
      <c r="M31" s="383"/>
      <c r="N31" s="383"/>
      <c r="O31" s="383"/>
      <c r="P31" s="383"/>
      <c r="Q31" s="383"/>
      <c r="R31" s="383"/>
      <c r="T31" s="383" t="s">
        <v>181</v>
      </c>
      <c r="U31" s="383"/>
      <c r="V31" s="383"/>
      <c r="W31" s="383"/>
      <c r="X31" s="383"/>
      <c r="Y31" s="383"/>
      <c r="Z31" s="383"/>
      <c r="AA31" s="383"/>
      <c r="AC31" s="383" t="s">
        <v>181</v>
      </c>
      <c r="AD31" s="383"/>
      <c r="AE31" s="383"/>
      <c r="AF31" s="383"/>
      <c r="AG31" s="383"/>
      <c r="AH31" s="383"/>
      <c r="AI31" s="383"/>
      <c r="AJ31" s="383"/>
    </row>
    <row r="32" spans="1:72" ht="13">
      <c r="A32" s="380" t="s">
        <v>360</v>
      </c>
      <c r="B32" s="383">
        <f>'Bilan 2006'!$C$30</f>
        <v>0</v>
      </c>
      <c r="C32" s="383">
        <f>'Bilan 2010'!$C$30</f>
        <v>0</v>
      </c>
      <c r="D32" s="383">
        <f>'Bilan 2015'!$C$30</f>
        <v>0.24204643164230435</v>
      </c>
      <c r="E32" s="383">
        <f>'Bilan 2020 BAU'!$C$30</f>
        <v>0.21621253471647081</v>
      </c>
      <c r="F32" s="383">
        <f>'Bilan 2025'!$C$30</f>
        <v>0.25</v>
      </c>
      <c r="G32" s="383">
        <f>'Bilan 2030'!$C$30</f>
        <v>0.17196904557179707</v>
      </c>
      <c r="H32" s="383">
        <f>'Bilan 2050'!$C$30</f>
        <v>0.60189165950128976</v>
      </c>
      <c r="I32" s="761">
        <f>'Bilan 2030'!C30-G32</f>
        <v>0</v>
      </c>
      <c r="J32" s="404">
        <f>'Bilan 2050'!C30-H32</f>
        <v>0</v>
      </c>
      <c r="K32" s="378" t="s">
        <v>104</v>
      </c>
      <c r="L32" s="378"/>
      <c r="M32" s="378"/>
      <c r="N32" s="378"/>
      <c r="O32" s="378"/>
      <c r="P32" s="378"/>
      <c r="Q32" s="378"/>
      <c r="R32" s="378"/>
      <c r="T32" s="378" t="s">
        <v>104</v>
      </c>
      <c r="U32" s="378"/>
      <c r="V32" s="378"/>
      <c r="W32" s="378"/>
      <c r="X32" s="378"/>
      <c r="Y32" s="378"/>
      <c r="Z32" s="378"/>
      <c r="AA32" s="378"/>
      <c r="AC32" s="378" t="s">
        <v>104</v>
      </c>
      <c r="AD32" s="378"/>
      <c r="AE32" s="378"/>
      <c r="AF32" s="378"/>
      <c r="AG32" s="378"/>
      <c r="AH32" s="378"/>
      <c r="AI32" s="378"/>
      <c r="AJ32" s="378"/>
    </row>
    <row r="33" spans="1:36" ht="13">
      <c r="A33" s="380" t="s">
        <v>368</v>
      </c>
      <c r="B33" s="410">
        <f>'Bilan 2006'!$C$31+'Bilan 2006'!$C$39+'Bilan 2006'!$C$40</f>
        <v>0.60000000000000009</v>
      </c>
      <c r="C33" s="410">
        <f>'Bilan 2010'!$C$31+'Bilan 2010'!$C$39+'Bilan 2010'!$C$40</f>
        <v>0.60000000000000009</v>
      </c>
      <c r="D33" s="411">
        <f>'Bilan 2015'!$C$31+'Bilan 2015'!$C$39+'Bilan 2015'!$C$40</f>
        <v>0.97360684201231162</v>
      </c>
      <c r="E33" s="411">
        <f>'Bilan 2020 BAU'!$C$31+'Bilan 2020 BAU'!$C$38+'Bilan 2020 BAU'!$C$39+'Bilan 2020 BAU'!$C$40</f>
        <v>1.6761001270178091</v>
      </c>
      <c r="F33" s="411">
        <f>'Bilan 2025'!$C$31+'Bilan 2025'!$C$38+'Bilan 2025'!$C$39+'Bilan 2025'!$C$40</f>
        <v>1.9644099267323012</v>
      </c>
      <c r="G33" s="411">
        <f>'Bilan 2030'!$C$31+'Bilan 2030'!$C$38+'Bilan 2030'!$C$39+'Bilan 2030'!$C$40+'Bilan 2030'!$C$41</f>
        <v>5.6665218142277167</v>
      </c>
      <c r="H33" s="411">
        <f>'Bilan 2050'!$C$31+'Bilan 2050'!$C$38+'Bilan 2050'!$C$39+'Bilan 2050'!$C$40+'Bilan 2050'!$C$41</f>
        <v>8.2602658662680852</v>
      </c>
      <c r="I33" s="761">
        <f>'Bilan 2030'!C31+'Bilan 2030'!C38+'Bilan 2030'!C39+'Bilan 2030'!C40+'Bilan 2030'!C41-G33</f>
        <v>0</v>
      </c>
      <c r="J33" s="404">
        <f>'Bilan 2050'!C31+'Bilan 2050'!C38+'Bilan 2050'!C39+'Bilan 2050'!C40+'Bilan 2050'!C41-H33</f>
        <v>0</v>
      </c>
      <c r="K33" s="383" t="s">
        <v>20</v>
      </c>
      <c r="L33" s="408">
        <f>L8/L$7</f>
        <v>0.87338787094829851</v>
      </c>
      <c r="M33" s="408">
        <f>M8/M$7</f>
        <v>0.87338787094829851</v>
      </c>
      <c r="N33" s="408">
        <f>N8/N$7</f>
        <v>0.87968958834079203</v>
      </c>
      <c r="O33" s="408">
        <f t="shared" ref="O33:R33" si="52">O8/O$7</f>
        <v>0.84653380986045756</v>
      </c>
      <c r="P33" s="408">
        <f t="shared" si="52"/>
        <v>0.82226994460817038</v>
      </c>
      <c r="Q33" s="408">
        <f t="shared" si="52"/>
        <v>0.75065270765653991</v>
      </c>
      <c r="R33" s="408">
        <f t="shared" si="52"/>
        <v>0.68439496194363214</v>
      </c>
      <c r="T33" s="383" t="s">
        <v>20</v>
      </c>
      <c r="U33" s="408">
        <f>U8/U$7</f>
        <v>0.79896379760487013</v>
      </c>
      <c r="V33" s="408">
        <f>V8/V$7</f>
        <v>0.79896379760487013</v>
      </c>
      <c r="W33" s="408">
        <f>W8/W$7</f>
        <v>0.79518129028083173</v>
      </c>
      <c r="X33" s="408">
        <f t="shared" ref="X33:AA33" si="53">X8/X$7</f>
        <v>0.71487244669639038</v>
      </c>
      <c r="Y33" s="408">
        <f t="shared" si="53"/>
        <v>0.66446915693490693</v>
      </c>
      <c r="Z33" s="408">
        <f t="shared" si="53"/>
        <v>0.53010735986311697</v>
      </c>
      <c r="AA33" s="408">
        <f t="shared" si="53"/>
        <v>0.43447791780486927</v>
      </c>
      <c r="AC33" s="383" t="s">
        <v>20</v>
      </c>
      <c r="AD33" s="408">
        <f>AD8/AD$7</f>
        <v>0.79896379760487013</v>
      </c>
      <c r="AE33" s="408">
        <f>AE8/AE$7</f>
        <v>0.79896379760487013</v>
      </c>
      <c r="AF33" s="408">
        <f>AF8/AF$7</f>
        <v>0.79518129028083173</v>
      </c>
      <c r="AG33" s="408">
        <f t="shared" ref="AG33:AJ33" si="54">AG8/AG$7</f>
        <v>0.71487244669639038</v>
      </c>
      <c r="AH33" s="408">
        <f t="shared" si="54"/>
        <v>0.66446915693490693</v>
      </c>
      <c r="AI33" s="408">
        <f t="shared" si="54"/>
        <v>0.53258316280379225</v>
      </c>
      <c r="AJ33" s="408">
        <f t="shared" si="54"/>
        <v>0.43618333918089258</v>
      </c>
    </row>
    <row r="34" spans="1:36" ht="13">
      <c r="A34" s="391" t="s">
        <v>33</v>
      </c>
      <c r="B34" s="392"/>
      <c r="C34" s="392"/>
      <c r="D34" s="392"/>
      <c r="E34" s="392"/>
      <c r="F34" s="392"/>
      <c r="G34" s="397"/>
      <c r="H34" s="392"/>
      <c r="I34" s="373"/>
      <c r="K34" s="383" t="s">
        <v>369</v>
      </c>
      <c r="L34" s="408">
        <f t="shared" ref="L34:R40" si="55">L9/L$7</f>
        <v>9.7340381217393829E-3</v>
      </c>
      <c r="M34" s="408">
        <f t="shared" si="55"/>
        <v>9.7340381217393829E-3</v>
      </c>
      <c r="N34" s="408">
        <f t="shared" si="55"/>
        <v>4.2326657461970191E-3</v>
      </c>
      <c r="O34" s="408">
        <f t="shared" si="55"/>
        <v>7.876150566941697E-5</v>
      </c>
      <c r="P34" s="408">
        <f t="shared" si="55"/>
        <v>7.6490227405411201E-5</v>
      </c>
      <c r="Q34" s="408">
        <f t="shared" si="55"/>
        <v>9.6031000890501163E-5</v>
      </c>
      <c r="R34" s="408">
        <f t="shared" si="55"/>
        <v>8.7554647481448877E-5</v>
      </c>
      <c r="T34" s="383" t="s">
        <v>369</v>
      </c>
      <c r="U34" s="408">
        <f t="shared" ref="U34:AA40" si="56">U9/U$7</f>
        <v>1.0253748103039214E-2</v>
      </c>
      <c r="V34" s="408">
        <f t="shared" si="56"/>
        <v>1.0253748103039214E-2</v>
      </c>
      <c r="W34" s="408">
        <f t="shared" si="56"/>
        <v>4.2142003254392758E-3</v>
      </c>
      <c r="X34" s="408">
        <f t="shared" si="56"/>
        <v>2.5742187468613476E-3</v>
      </c>
      <c r="Y34" s="408">
        <f t="shared" si="56"/>
        <v>2.5084649971647611E-3</v>
      </c>
      <c r="Z34" s="408">
        <f t="shared" si="56"/>
        <v>2.5825939951084997E-3</v>
      </c>
      <c r="AA34" s="408">
        <f t="shared" si="56"/>
        <v>2.0578277923052899E-3</v>
      </c>
      <c r="AC34" s="383" t="s">
        <v>369</v>
      </c>
      <c r="AD34" s="408">
        <f t="shared" ref="AD34:AJ40" si="57">AD9/AD$7</f>
        <v>1.0253748103039214E-2</v>
      </c>
      <c r="AE34" s="408">
        <f t="shared" si="57"/>
        <v>1.0253748103039214E-2</v>
      </c>
      <c r="AF34" s="408">
        <f t="shared" si="57"/>
        <v>4.2142003254392758E-3</v>
      </c>
      <c r="AG34" s="408">
        <f t="shared" si="57"/>
        <v>2.5742187468613476E-3</v>
      </c>
      <c r="AH34" s="408">
        <f t="shared" si="57"/>
        <v>2.5084649971647611E-3</v>
      </c>
      <c r="AI34" s="408">
        <f t="shared" si="57"/>
        <v>2.5946556910813888E-4</v>
      </c>
      <c r="AJ34" s="408">
        <f t="shared" si="57"/>
        <v>2.0659052189393138E-4</v>
      </c>
    </row>
    <row r="35" spans="1:36" ht="13">
      <c r="A35" s="393" t="s">
        <v>26</v>
      </c>
      <c r="B35" s="394"/>
      <c r="C35" s="394"/>
      <c r="D35" s="394"/>
      <c r="E35" s="394"/>
      <c r="F35" s="394"/>
      <c r="G35" s="398"/>
      <c r="H35" s="394"/>
      <c r="I35" s="373"/>
      <c r="K35" s="383" t="s">
        <v>370</v>
      </c>
      <c r="L35" s="408">
        <f t="shared" si="55"/>
        <v>2.6378500253568554E-2</v>
      </c>
      <c r="M35" s="408">
        <f t="shared" si="55"/>
        <v>2.6378500253568554E-2</v>
      </c>
      <c r="N35" s="408">
        <f t="shared" si="55"/>
        <v>1.9292343715637674E-2</v>
      </c>
      <c r="O35" s="408">
        <f t="shared" si="55"/>
        <v>3.2666245839321192E-2</v>
      </c>
      <c r="P35" s="408">
        <f t="shared" si="55"/>
        <v>3.1643939694641146E-2</v>
      </c>
      <c r="Q35" s="408">
        <f t="shared" si="55"/>
        <v>5.6976031256540639E-2</v>
      </c>
      <c r="R35" s="408">
        <f t="shared" si="55"/>
        <v>5.2062740758483661E-2</v>
      </c>
      <c r="T35" s="383" t="s">
        <v>370</v>
      </c>
      <c r="U35" s="408">
        <f t="shared" si="56"/>
        <v>4.0949078402655603E-2</v>
      </c>
      <c r="V35" s="408">
        <f t="shared" si="56"/>
        <v>4.0949078402655603E-2</v>
      </c>
      <c r="W35" s="408">
        <f t="shared" si="56"/>
        <v>2.8306790058192678E-2</v>
      </c>
      <c r="X35" s="408">
        <f t="shared" si="56"/>
        <v>4.3964655471828006E-2</v>
      </c>
      <c r="Y35" s="408">
        <f t="shared" si="56"/>
        <v>4.2352285343238538E-2</v>
      </c>
      <c r="Z35" s="408">
        <f t="shared" si="56"/>
        <v>7.4215030380836391E-2</v>
      </c>
      <c r="AA35" s="408">
        <f t="shared" si="56"/>
        <v>6.0826908492681707E-2</v>
      </c>
      <c r="AC35" s="383" t="s">
        <v>370</v>
      </c>
      <c r="AD35" s="408">
        <f t="shared" si="57"/>
        <v>4.0949078402655603E-2</v>
      </c>
      <c r="AE35" s="408">
        <f t="shared" si="57"/>
        <v>4.0949078402655603E-2</v>
      </c>
      <c r="AF35" s="408">
        <f t="shared" si="57"/>
        <v>2.8306790058192678E-2</v>
      </c>
      <c r="AG35" s="408">
        <f t="shared" si="57"/>
        <v>4.3964655471828006E-2</v>
      </c>
      <c r="AH35" s="408">
        <f t="shared" si="57"/>
        <v>4.2352285343238538E-2</v>
      </c>
      <c r="AI35" s="408">
        <f t="shared" si="57"/>
        <v>7.4561642792530927E-2</v>
      </c>
      <c r="AJ35" s="408">
        <f t="shared" si="57"/>
        <v>6.1065667485324965E-2</v>
      </c>
    </row>
    <row r="36" spans="1:36" ht="13">
      <c r="A36" s="391" t="s">
        <v>371</v>
      </c>
      <c r="B36" s="392"/>
      <c r="C36" s="392"/>
      <c r="D36" s="392"/>
      <c r="E36" s="392"/>
      <c r="F36" s="392"/>
      <c r="G36" s="397"/>
      <c r="H36" s="392"/>
      <c r="I36" s="373"/>
      <c r="K36" s="383" t="s">
        <v>372</v>
      </c>
      <c r="L36" s="408">
        <f t="shared" si="55"/>
        <v>3.8787541217923334E-2</v>
      </c>
      <c r="M36" s="408">
        <f t="shared" si="55"/>
        <v>3.8787541217923334E-2</v>
      </c>
      <c r="N36" s="408">
        <f t="shared" si="55"/>
        <v>2.2236456333889452E-2</v>
      </c>
      <c r="O36" s="408">
        <f t="shared" si="55"/>
        <v>2.031681143665098E-2</v>
      </c>
      <c r="P36" s="408">
        <f t="shared" si="55"/>
        <v>1.9731692005991473E-2</v>
      </c>
      <c r="Q36" s="408">
        <f t="shared" si="55"/>
        <v>9.6031000890501163E-5</v>
      </c>
      <c r="R36" s="408">
        <f t="shared" si="55"/>
        <v>8.7554647481448883E-7</v>
      </c>
      <c r="T36" s="383" t="s">
        <v>372</v>
      </c>
      <c r="U36" s="408">
        <f t="shared" si="56"/>
        <v>4.0858446639591373E-2</v>
      </c>
      <c r="V36" s="408">
        <f t="shared" si="56"/>
        <v>4.0858446639591373E-2</v>
      </c>
      <c r="W36" s="408">
        <f t="shared" si="56"/>
        <v>2.2139447605351092E-2</v>
      </c>
      <c r="X36" s="408">
        <f t="shared" si="56"/>
        <v>1.3403858375557319E-2</v>
      </c>
      <c r="Y36" s="408">
        <f t="shared" si="56"/>
        <v>1.4965019509881976E-2</v>
      </c>
      <c r="Z36" s="408">
        <f t="shared" si="56"/>
        <v>2.5825939951084997E-3</v>
      </c>
      <c r="AA36" s="408">
        <f t="shared" si="56"/>
        <v>2.0578277923052899E-3</v>
      </c>
      <c r="AC36" s="383" t="s">
        <v>372</v>
      </c>
      <c r="AD36" s="408">
        <f t="shared" si="57"/>
        <v>4.0858446639591373E-2</v>
      </c>
      <c r="AE36" s="408">
        <f t="shared" si="57"/>
        <v>4.0858446639591373E-2</v>
      </c>
      <c r="AF36" s="408">
        <f t="shared" si="57"/>
        <v>2.2139447605351092E-2</v>
      </c>
      <c r="AG36" s="408">
        <f t="shared" si="57"/>
        <v>1.3403858375557319E-2</v>
      </c>
      <c r="AH36" s="408">
        <f t="shared" si="57"/>
        <v>1.4965019509881976E-2</v>
      </c>
      <c r="AI36" s="408">
        <f t="shared" si="57"/>
        <v>2.5946556910813888E-4</v>
      </c>
      <c r="AJ36" s="408">
        <f t="shared" si="57"/>
        <v>2.0659052189393138E-4</v>
      </c>
    </row>
    <row r="37" spans="1:36" ht="13">
      <c r="A37" s="375" t="s">
        <v>42</v>
      </c>
      <c r="B37" s="376">
        <f>'Bilan 2006'!$C$46</f>
        <v>7.2</v>
      </c>
      <c r="C37" s="378">
        <f>'Bilan 2010'!$C$46</f>
        <v>7.2</v>
      </c>
      <c r="D37" s="376">
        <f>'Bilan 2015'!$C$46</f>
        <v>5.6188711803771962</v>
      </c>
      <c r="E37" s="376">
        <f>'Bilan 2020 BAU'!$C$46</f>
        <v>3.5653834298241049</v>
      </c>
      <c r="F37" s="376">
        <f>'Bilan 2025'!$C$46</f>
        <v>3.1874504493190567</v>
      </c>
      <c r="G37" s="378">
        <f>'Bilan 2030'!$C$48</f>
        <v>4.296094504131398</v>
      </c>
      <c r="H37" s="376">
        <f>'Bilan 2050'!$C$48</f>
        <v>2.9217059859506862</v>
      </c>
      <c r="I37" s="409">
        <f>G37-'Bilan 2030'!C48</f>
        <v>0</v>
      </c>
      <c r="K37" s="383" t="s">
        <v>310</v>
      </c>
      <c r="L37" s="408">
        <f t="shared" si="55"/>
        <v>2.9777975967759528E-3</v>
      </c>
      <c r="M37" s="408">
        <f t="shared" si="55"/>
        <v>2.9777975967759528E-3</v>
      </c>
      <c r="N37" s="408">
        <f t="shared" si="55"/>
        <v>1.4002941292319935E-2</v>
      </c>
      <c r="O37" s="408">
        <f t="shared" si="55"/>
        <v>2.6411854867646273E-2</v>
      </c>
      <c r="P37" s="408">
        <f t="shared" si="55"/>
        <v>4.2750342058054405E-2</v>
      </c>
      <c r="Q37" s="408">
        <f t="shared" si="55"/>
        <v>7.7617489971686229E-2</v>
      </c>
      <c r="R37" s="408">
        <f t="shared" si="55"/>
        <v>0.12948752679973521</v>
      </c>
      <c r="T37" s="383" t="s">
        <v>310</v>
      </c>
      <c r="U37" s="408">
        <f t="shared" si="56"/>
        <v>8.2546962733871625E-3</v>
      </c>
      <c r="V37" s="408">
        <f t="shared" si="56"/>
        <v>8.2546962733871625E-3</v>
      </c>
      <c r="W37" s="408">
        <f t="shared" si="56"/>
        <v>3.66890844295331E-2</v>
      </c>
      <c r="X37" s="408">
        <f t="shared" si="56"/>
        <v>6.9700063552898067E-2</v>
      </c>
      <c r="Y37" s="408">
        <f t="shared" si="56"/>
        <v>0.10795680577688251</v>
      </c>
      <c r="Z37" s="408">
        <f t="shared" si="56"/>
        <v>0.16610030609044335</v>
      </c>
      <c r="AA37" s="408">
        <f t="shared" si="56"/>
        <v>0.24910067287479173</v>
      </c>
      <c r="AC37" s="383" t="s">
        <v>310</v>
      </c>
      <c r="AD37" s="408">
        <f t="shared" si="57"/>
        <v>8.2546962733871625E-3</v>
      </c>
      <c r="AE37" s="408">
        <f t="shared" si="57"/>
        <v>8.2546962733871625E-3</v>
      </c>
      <c r="AF37" s="408">
        <f t="shared" si="57"/>
        <v>3.66890844295331E-2</v>
      </c>
      <c r="AG37" s="408">
        <f t="shared" si="57"/>
        <v>6.9700063552898067E-2</v>
      </c>
      <c r="AH37" s="408">
        <f t="shared" si="57"/>
        <v>0.10795680577688251</v>
      </c>
      <c r="AI37" s="408">
        <f t="shared" si="57"/>
        <v>0.16687605767852157</v>
      </c>
      <c r="AJ37" s="408">
        <f t="shared" si="57"/>
        <v>0.25007844779704508</v>
      </c>
    </row>
    <row r="38" spans="1:36" ht="13">
      <c r="B38" s="412">
        <f>B2-'Bilan 2006'!C5</f>
        <v>-0.19999999999993179</v>
      </c>
      <c r="C38" s="412">
        <f>C2-'Bilan 2010'!C5</f>
        <v>0</v>
      </c>
      <c r="D38" s="412">
        <f>D2-'Bilan 2015'!C5</f>
        <v>-0.2391490689516047</v>
      </c>
      <c r="E38" s="412">
        <f>E2-'Bilan 2020 BAU'!C5</f>
        <v>-9.2134240642849363E-4</v>
      </c>
      <c r="F38" s="412">
        <f>F2-'Bilan 2025'!C5</f>
        <v>9.1365861419888006E-2</v>
      </c>
      <c r="G38" s="404">
        <f>G2-'Bilan 2030'!C5</f>
        <v>0</v>
      </c>
      <c r="H38" s="412">
        <f>H2-'Bilan 2050'!C5</f>
        <v>0</v>
      </c>
      <c r="K38" s="383" t="s">
        <v>315</v>
      </c>
      <c r="L38" s="408">
        <f t="shared" si="55"/>
        <v>6.7000433332208389E-4</v>
      </c>
      <c r="M38" s="408">
        <f t="shared" si="55"/>
        <v>6.7000433332208389E-4</v>
      </c>
      <c r="N38" s="408">
        <f t="shared" si="55"/>
        <v>4.9109841499131758E-3</v>
      </c>
      <c r="O38" s="408">
        <f t="shared" si="55"/>
        <v>1.0835632766213856E-2</v>
      </c>
      <c r="P38" s="408">
        <f t="shared" si="55"/>
        <v>1.7100136823221763E-2</v>
      </c>
      <c r="Q38" s="408">
        <f t="shared" si="55"/>
        <v>2.4771539352665815E-2</v>
      </c>
      <c r="R38" s="408">
        <f t="shared" si="55"/>
        <v>5.6462584360349656E-2</v>
      </c>
      <c r="T38" s="383" t="s">
        <v>315</v>
      </c>
      <c r="U38" s="408">
        <f t="shared" si="56"/>
        <v>1.8573066615121116E-3</v>
      </c>
      <c r="V38" s="408">
        <f t="shared" si="56"/>
        <v>1.8573066615121116E-3</v>
      </c>
      <c r="W38" s="408">
        <f t="shared" si="56"/>
        <v>1.2867261837845794E-2</v>
      </c>
      <c r="X38" s="408">
        <f t="shared" si="56"/>
        <v>2.8594897867855615E-2</v>
      </c>
      <c r="Y38" s="408">
        <f t="shared" si="56"/>
        <v>4.3182722310753006E-2</v>
      </c>
      <c r="Z38" s="408">
        <f t="shared" si="56"/>
        <v>5.3010735986311702E-2</v>
      </c>
      <c r="AA38" s="408">
        <f t="shared" si="56"/>
        <v>0.10861947945121732</v>
      </c>
      <c r="AC38" s="383" t="s">
        <v>315</v>
      </c>
      <c r="AD38" s="408">
        <f t="shared" si="57"/>
        <v>1.8573066615121116E-3</v>
      </c>
      <c r="AE38" s="408">
        <f t="shared" si="57"/>
        <v>1.8573066615121116E-3</v>
      </c>
      <c r="AF38" s="408">
        <f t="shared" si="57"/>
        <v>1.2867261837845794E-2</v>
      </c>
      <c r="AG38" s="408">
        <f t="shared" si="57"/>
        <v>2.8594897867855615E-2</v>
      </c>
      <c r="AH38" s="408">
        <f t="shared" si="57"/>
        <v>4.3182722310753006E-2</v>
      </c>
      <c r="AI38" s="408">
        <f t="shared" si="57"/>
        <v>5.3258316280379227E-2</v>
      </c>
      <c r="AJ38" s="408">
        <f t="shared" si="57"/>
        <v>0.10904583479522315</v>
      </c>
    </row>
    <row r="39" spans="1:36" ht="13">
      <c r="A39" s="367" t="s">
        <v>373</v>
      </c>
      <c r="D39" s="413"/>
      <c r="G39" s="384"/>
      <c r="H39" s="413"/>
      <c r="K39" s="383" t="s">
        <v>18</v>
      </c>
      <c r="L39" s="408">
        <f t="shared" si="55"/>
        <v>3.7215624888876267E-2</v>
      </c>
      <c r="M39" s="408">
        <f t="shared" si="55"/>
        <v>3.7215624888876267E-2</v>
      </c>
      <c r="N39" s="408">
        <f t="shared" si="55"/>
        <v>3.8956049945932936E-2</v>
      </c>
      <c r="O39" s="408">
        <f t="shared" si="55"/>
        <v>4.1310849921190329E-2</v>
      </c>
      <c r="P39" s="408">
        <f t="shared" si="55"/>
        <v>4.011955177755875E-2</v>
      </c>
      <c r="Q39" s="408">
        <f t="shared" si="55"/>
        <v>6.5231720295353318E-2</v>
      </c>
      <c r="R39" s="408">
        <f t="shared" si="55"/>
        <v>5.9473922192901645E-2</v>
      </c>
      <c r="T39" s="383" t="s">
        <v>18</v>
      </c>
      <c r="U39" s="408">
        <f t="shared" si="56"/>
        <v>9.2848272947954683E-2</v>
      </c>
      <c r="V39" s="408">
        <f t="shared" si="56"/>
        <v>9.2848272947954683E-2</v>
      </c>
      <c r="W39" s="408">
        <f t="shared" si="56"/>
        <v>9.1861816607215388E-2</v>
      </c>
      <c r="X39" s="408">
        <f t="shared" si="56"/>
        <v>0.10901804812119952</v>
      </c>
      <c r="Y39" s="408">
        <f t="shared" si="56"/>
        <v>0.10131331003676668</v>
      </c>
      <c r="Z39" s="408">
        <f t="shared" si="56"/>
        <v>0.13959493809728749</v>
      </c>
      <c r="AA39" s="408">
        <f t="shared" si="56"/>
        <v>0.11441251835528227</v>
      </c>
      <c r="AC39" s="383" t="s">
        <v>18</v>
      </c>
      <c r="AD39" s="408">
        <f t="shared" si="57"/>
        <v>9.2848272947954683E-2</v>
      </c>
      <c r="AE39" s="408">
        <f t="shared" si="57"/>
        <v>9.2848272947954683E-2</v>
      </c>
      <c r="AF39" s="408">
        <f t="shared" si="57"/>
        <v>9.1861816607215388E-2</v>
      </c>
      <c r="AG39" s="408">
        <f t="shared" si="57"/>
        <v>0.10901804812119952</v>
      </c>
      <c r="AH39" s="408">
        <f t="shared" si="57"/>
        <v>0.10131331003676668</v>
      </c>
      <c r="AI39" s="408">
        <f t="shared" si="57"/>
        <v>0.14024689953833197</v>
      </c>
      <c r="AJ39" s="408">
        <f t="shared" si="57"/>
        <v>0.11486161265096841</v>
      </c>
    </row>
    <row r="40" spans="1:36" ht="13">
      <c r="A40" s="367" t="s">
        <v>374</v>
      </c>
      <c r="B40" s="413">
        <f>B2-'Bilan 2006'!$C$43-'Bilan 2006'!$C$45</f>
        <v>257.41929624030638</v>
      </c>
      <c r="C40" s="413"/>
      <c r="D40" s="413">
        <f>D2-'Bilan 2015'!$C$43-'Bilan 2015'!$C$45</f>
        <v>218.70032967301765</v>
      </c>
      <c r="E40" s="413">
        <f>E2-'Bilan 2020 BAU'!$C$43-'Bilan 2020 BAU'!$C$45</f>
        <v>218.7670900558592</v>
      </c>
      <c r="F40" s="413">
        <f>F2-'Bilan 2025'!$C$43-'Bilan 2025'!$C$45</f>
        <v>212.83456448616866</v>
      </c>
      <c r="G40" s="384">
        <f>G2-'Bilan 2030'!$C$44-'Bilan 2030'!$C$46</f>
        <v>196.99189565243125</v>
      </c>
      <c r="H40" s="413">
        <f>H2-'Bilan 2050'!$C$42-'Bilan 2050'!$C$44</f>
        <v>178.93879787011031</v>
      </c>
      <c r="K40" s="383" t="s">
        <v>324</v>
      </c>
      <c r="L40" s="408">
        <f t="shared" si="55"/>
        <v>1.0848622639495799E-2</v>
      </c>
      <c r="M40" s="408">
        <f t="shared" si="55"/>
        <v>1.0848622639495799E-2</v>
      </c>
      <c r="N40" s="408">
        <f t="shared" si="55"/>
        <v>1.6678970475317949E-2</v>
      </c>
      <c r="O40" s="408">
        <f t="shared" si="55"/>
        <v>2.1846033802850516E-2</v>
      </c>
      <c r="P40" s="408">
        <f t="shared" si="55"/>
        <v>2.6307902804956561E-2</v>
      </c>
      <c r="Q40" s="408">
        <f t="shared" si="55"/>
        <v>2.4558449465433094E-2</v>
      </c>
      <c r="R40" s="408">
        <f t="shared" si="55"/>
        <v>1.802983375094137E-2</v>
      </c>
      <c r="T40" s="383" t="s">
        <v>324</v>
      </c>
      <c r="U40" s="408">
        <f t="shared" si="56"/>
        <v>6.0146533669896548E-3</v>
      </c>
      <c r="V40" s="408">
        <f t="shared" si="56"/>
        <v>6.0146533669896548E-3</v>
      </c>
      <c r="W40" s="408">
        <f t="shared" si="56"/>
        <v>8.7401088555909782E-3</v>
      </c>
      <c r="X40" s="408">
        <f t="shared" si="56"/>
        <v>1.7871811167409758E-2</v>
      </c>
      <c r="Y40" s="408">
        <f t="shared" si="56"/>
        <v>2.3252235090405464E-2</v>
      </c>
      <c r="Z40" s="408">
        <f t="shared" si="56"/>
        <v>3.180644159178702E-2</v>
      </c>
      <c r="AA40" s="408">
        <f t="shared" si="56"/>
        <v>2.8446847436547035E-2</v>
      </c>
      <c r="AC40" s="383" t="s">
        <v>324</v>
      </c>
      <c r="AD40" s="408">
        <f t="shared" si="57"/>
        <v>6.0146533669896548E-3</v>
      </c>
      <c r="AE40" s="408">
        <f t="shared" si="57"/>
        <v>6.0146533669896548E-3</v>
      </c>
      <c r="AF40" s="408">
        <f t="shared" si="57"/>
        <v>8.7401088555909782E-3</v>
      </c>
      <c r="AG40" s="408">
        <f t="shared" si="57"/>
        <v>1.7871811167409758E-2</v>
      </c>
      <c r="AH40" s="408">
        <f t="shared" si="57"/>
        <v>2.3252235090405464E-2</v>
      </c>
      <c r="AI40" s="408">
        <f t="shared" si="57"/>
        <v>3.1954989768227533E-2</v>
      </c>
      <c r="AJ40" s="408">
        <f t="shared" si="57"/>
        <v>2.8351917046758018E-2</v>
      </c>
    </row>
    <row r="41" spans="1:36" ht="13">
      <c r="A41" s="367" t="s">
        <v>375</v>
      </c>
      <c r="D41" s="413">
        <f>('Bilan 2015'!C13)</f>
        <v>0</v>
      </c>
      <c r="E41" s="413">
        <f>('Bilan 2020 BAU'!C13)</f>
        <v>0</v>
      </c>
      <c r="F41" s="413">
        <f>('Bilan 2025'!C13)</f>
        <v>0.7</v>
      </c>
      <c r="G41" s="384">
        <f>('Bilan 2025'!C13)</f>
        <v>0.7</v>
      </c>
      <c r="H41" s="413">
        <f>('Bilan 2050'!C13)</f>
        <v>0.55960455273283871</v>
      </c>
      <c r="K41" s="378" t="s">
        <v>330</v>
      </c>
      <c r="L41" s="378"/>
      <c r="M41" s="378"/>
      <c r="N41" s="378"/>
      <c r="O41" s="378"/>
      <c r="P41" s="378"/>
      <c r="Q41" s="378"/>
      <c r="R41" s="378"/>
      <c r="T41" s="378" t="s">
        <v>330</v>
      </c>
      <c r="U41" s="378"/>
      <c r="V41" s="378"/>
      <c r="W41" s="378"/>
      <c r="X41" s="378"/>
      <c r="Y41" s="378"/>
      <c r="Z41" s="378"/>
      <c r="AA41" s="378"/>
      <c r="AC41" s="378" t="s">
        <v>330</v>
      </c>
      <c r="AD41" s="378"/>
      <c r="AE41" s="378"/>
      <c r="AF41" s="378"/>
      <c r="AG41" s="378"/>
      <c r="AH41" s="378"/>
      <c r="AI41" s="378"/>
      <c r="AJ41" s="378"/>
    </row>
    <row r="42" spans="1:36" ht="13">
      <c r="A42" s="367" t="s">
        <v>371</v>
      </c>
      <c r="D42" s="413"/>
      <c r="G42" s="384"/>
      <c r="H42" s="413"/>
      <c r="K42" s="383" t="s">
        <v>335</v>
      </c>
      <c r="L42" s="408">
        <f>L17/L$16</f>
        <v>0.92600050339793594</v>
      </c>
      <c r="M42" s="408">
        <f>M17/M$16</f>
        <v>0.92136238417230132</v>
      </c>
      <c r="N42" s="408">
        <f>N17/N$16</f>
        <v>0.85697888190822802</v>
      </c>
      <c r="O42" s="408">
        <f t="shared" ref="O42:R42" si="58">O17/O$16</f>
        <v>0.69388239853261391</v>
      </c>
      <c r="P42" s="408">
        <f t="shared" si="58"/>
        <v>0.79920325185081587</v>
      </c>
      <c r="Q42" s="408">
        <f t="shared" si="58"/>
        <v>0.6250442119802414</v>
      </c>
      <c r="R42" s="408">
        <f t="shared" si="58"/>
        <v>0.49245223291805756</v>
      </c>
      <c r="T42" s="383" t="s">
        <v>335</v>
      </c>
      <c r="U42" s="408">
        <f>U17/U$16</f>
        <v>0.91950930808135145</v>
      </c>
      <c r="V42" s="408">
        <f>V17/V$16</f>
        <v>0.91950930808135145</v>
      </c>
      <c r="W42" s="408">
        <f>W17/W$16</f>
        <v>0.85536498094144553</v>
      </c>
      <c r="X42" s="408">
        <f t="shared" ref="X42:AA42" si="59">X17/X$16</f>
        <v>0.66868320827408589</v>
      </c>
      <c r="Y42" s="408">
        <f t="shared" si="59"/>
        <v>0.78309073661140349</v>
      </c>
      <c r="Z42" s="408">
        <f t="shared" si="59"/>
        <v>0.63617282426713018</v>
      </c>
      <c r="AA42" s="408">
        <f t="shared" si="59"/>
        <v>0.50565678323848373</v>
      </c>
      <c r="AC42" s="383" t="s">
        <v>335</v>
      </c>
      <c r="AD42" s="408">
        <f>AD17/AD$16</f>
        <v>0.92287069498865737</v>
      </c>
      <c r="AE42" s="408">
        <f>AE17/AE$16</f>
        <v>0.92287069498865737</v>
      </c>
      <c r="AF42" s="408">
        <f>AF17/AF$16</f>
        <v>0.87170566891541679</v>
      </c>
      <c r="AG42" s="408">
        <f t="shared" ref="AG42:AJ42" si="60">AG17/AG$16</f>
        <v>0.68603867521008766</v>
      </c>
      <c r="AH42" s="408">
        <f t="shared" si="60"/>
        <v>0.79768252675949147</v>
      </c>
      <c r="AI42" s="408">
        <f t="shared" si="60"/>
        <v>0.63568583747599627</v>
      </c>
      <c r="AJ42" s="408">
        <f t="shared" si="60"/>
        <v>0.49575943177710696</v>
      </c>
    </row>
    <row r="43" spans="1:36" ht="13">
      <c r="A43" s="367" t="s">
        <v>376</v>
      </c>
      <c r="D43" s="413">
        <f>-'Bilan 2015'!$C26</f>
        <v>0</v>
      </c>
      <c r="E43" s="413">
        <f>-'Bilan 2020 BAU'!$C26</f>
        <v>0</v>
      </c>
      <c r="F43" s="413">
        <f>-'Bilan 2025'!$C26</f>
        <v>0</v>
      </c>
      <c r="G43" s="384">
        <f>-'Bilan 2030'!$C26</f>
        <v>0</v>
      </c>
      <c r="H43" s="413">
        <f>-'Bilan 2050'!$C26</f>
        <v>0</v>
      </c>
      <c r="K43" s="383" t="s">
        <v>340</v>
      </c>
      <c r="L43" s="408">
        <f t="shared" ref="L43:R47" si="61">L18/L$16</f>
        <v>4.0271834885476976E-2</v>
      </c>
      <c r="M43" s="408">
        <f t="shared" si="61"/>
        <v>4.0070122714750821E-2</v>
      </c>
      <c r="N43" s="408">
        <f t="shared" si="61"/>
        <v>9.0161647112319096E-2</v>
      </c>
      <c r="O43" s="408">
        <f t="shared" si="61"/>
        <v>0.24746752600612648</v>
      </c>
      <c r="P43" s="408">
        <f t="shared" si="61"/>
        <v>0.12162016356622489</v>
      </c>
      <c r="Q43" s="408">
        <f t="shared" si="61"/>
        <v>0.17226670579144271</v>
      </c>
      <c r="R43" s="408">
        <f t="shared" si="61"/>
        <v>0.15427511280747727</v>
      </c>
      <c r="T43" s="383" t="s">
        <v>340</v>
      </c>
      <c r="U43" s="408">
        <f t="shared" ref="U43:AA47" si="62">U18/U$16</f>
        <v>4.3043150758635532E-2</v>
      </c>
      <c r="V43" s="408">
        <f t="shared" si="62"/>
        <v>4.3043150758635532E-2</v>
      </c>
      <c r="W43" s="408">
        <f t="shared" si="62"/>
        <v>9.0029160926302282E-2</v>
      </c>
      <c r="X43" s="408">
        <f t="shared" si="62"/>
        <v>0.27242417655976187</v>
      </c>
      <c r="Y43" s="408">
        <f t="shared" si="62"/>
        <v>0.13563802707805289</v>
      </c>
      <c r="Z43" s="408">
        <f t="shared" si="62"/>
        <v>0.16461277695665158</v>
      </c>
      <c r="AA43" s="408">
        <f t="shared" si="62"/>
        <v>0.14424788189285151</v>
      </c>
      <c r="AC43" s="383" t="s">
        <v>340</v>
      </c>
      <c r="AD43" s="408">
        <f t="shared" ref="AD43:AJ47" si="63">AD18/AD$16</f>
        <v>4.1245617653124358E-2</v>
      </c>
      <c r="AE43" s="408">
        <f t="shared" si="63"/>
        <v>4.1245617653124358E-2</v>
      </c>
      <c r="AF43" s="408">
        <f t="shared" si="63"/>
        <v>8.1578780531752118E-2</v>
      </c>
      <c r="AG43" s="408">
        <f t="shared" si="63"/>
        <v>0.25904497029428103</v>
      </c>
      <c r="AH43" s="408">
        <f t="shared" si="63"/>
        <v>0.12721803205159199</v>
      </c>
      <c r="AI43" s="408">
        <f t="shared" si="63"/>
        <v>0.16402408205029861</v>
      </c>
      <c r="AJ43" s="408">
        <f t="shared" si="63"/>
        <v>0.14142448066107297</v>
      </c>
    </row>
    <row r="44" spans="1:36" ht="13">
      <c r="A44" s="367" t="s">
        <v>377</v>
      </c>
      <c r="D44" s="413">
        <f>-'Bilan 2015'!$C16</f>
        <v>0</v>
      </c>
      <c r="E44" s="413">
        <f>-'Bilan 2020 BAU'!$C16</f>
        <v>0</v>
      </c>
      <c r="F44" s="413">
        <f>-'Bilan 2025'!$C16</f>
        <v>0</v>
      </c>
      <c r="G44" s="384">
        <f>-'Bilan 2030'!$C16</f>
        <v>0</v>
      </c>
      <c r="H44" s="413">
        <f>-'Bilan 2050'!$C16</f>
        <v>0</v>
      </c>
      <c r="K44" s="383" t="s">
        <v>345</v>
      </c>
      <c r="L44" s="408">
        <f t="shared" si="61"/>
        <v>0</v>
      </c>
      <c r="M44" s="408">
        <f t="shared" si="61"/>
        <v>5.00876533934385E-3</v>
      </c>
      <c r="N44" s="408">
        <f t="shared" si="61"/>
        <v>7.2899055347762018E-3</v>
      </c>
      <c r="O44" s="408">
        <f t="shared" si="61"/>
        <v>6.6034262560130666E-3</v>
      </c>
      <c r="P44" s="408">
        <f t="shared" si="61"/>
        <v>8.7573371483675132E-3</v>
      </c>
      <c r="Q44" s="408">
        <f t="shared" si="61"/>
        <v>6.2247634536986188E-2</v>
      </c>
      <c r="R44" s="408">
        <f t="shared" si="61"/>
        <v>0.14072970056222331</v>
      </c>
      <c r="T44" s="383" t="s">
        <v>345</v>
      </c>
      <c r="U44" s="408">
        <f t="shared" si="62"/>
        <v>5.3803938448294389E-3</v>
      </c>
      <c r="V44" s="408">
        <f t="shared" si="62"/>
        <v>5.3803938448294389E-3</v>
      </c>
      <c r="W44" s="408">
        <f t="shared" si="62"/>
        <v>2.9446436570355807E-3</v>
      </c>
      <c r="X44" s="408">
        <f t="shared" si="62"/>
        <v>2.317961330658265E-3</v>
      </c>
      <c r="Y44" s="408">
        <f t="shared" si="62"/>
        <v>2.8495553545646595E-3</v>
      </c>
      <c r="Z44" s="408">
        <f t="shared" si="62"/>
        <v>4.8960610431042488E-2</v>
      </c>
      <c r="AA44" s="408">
        <f t="shared" si="62"/>
        <v>0.12289881706453329</v>
      </c>
      <c r="AC44" s="383" t="s">
        <v>345</v>
      </c>
      <c r="AD44" s="408">
        <f t="shared" si="63"/>
        <v>5.1557022066405422E-3</v>
      </c>
      <c r="AE44" s="408">
        <f t="shared" si="63"/>
        <v>5.1557022066405422E-3</v>
      </c>
      <c r="AF44" s="408">
        <f t="shared" si="63"/>
        <v>1.7220093305057914E-4</v>
      </c>
      <c r="AG44" s="408">
        <f t="shared" si="63"/>
        <v>0</v>
      </c>
      <c r="AH44" s="408">
        <f t="shared" si="63"/>
        <v>0</v>
      </c>
      <c r="AI44" s="408">
        <f t="shared" si="63"/>
        <v>5.0573635835952022E-2</v>
      </c>
      <c r="AJ44" s="408">
        <f t="shared" si="63"/>
        <v>0.14006654616944939</v>
      </c>
    </row>
    <row r="45" spans="1:36" ht="13">
      <c r="D45" s="413"/>
      <c r="G45" s="384"/>
      <c r="H45" s="413"/>
      <c r="K45" s="383" t="s">
        <v>350</v>
      </c>
      <c r="L45" s="408">
        <f t="shared" si="61"/>
        <v>1.8625723634533093E-2</v>
      </c>
      <c r="M45" s="408">
        <f t="shared" si="61"/>
        <v>1.8532431755572246E-2</v>
      </c>
      <c r="N45" s="408">
        <f t="shared" si="61"/>
        <v>1.5058898999901817E-2</v>
      </c>
      <c r="O45" s="408">
        <f t="shared" si="61"/>
        <v>1.2529723899656231E-2</v>
      </c>
      <c r="P45" s="408">
        <f t="shared" si="61"/>
        <v>1.5012577968630023E-2</v>
      </c>
      <c r="Q45" s="408">
        <f t="shared" si="61"/>
        <v>2.270031226577568E-2</v>
      </c>
      <c r="R45" s="408">
        <f t="shared" si="61"/>
        <v>2.5399412697882335E-2</v>
      </c>
      <c r="T45" s="383" t="s">
        <v>350</v>
      </c>
      <c r="U45" s="408">
        <f t="shared" si="62"/>
        <v>1.5925965780695137E-2</v>
      </c>
      <c r="V45" s="408">
        <f t="shared" si="62"/>
        <v>1.5925965780695137E-2</v>
      </c>
      <c r="W45" s="408">
        <f>W20/W$16</f>
        <v>1.3290894850449084E-2</v>
      </c>
      <c r="X45" s="408">
        <f t="shared" si="62"/>
        <v>1.2377913505715136E-2</v>
      </c>
      <c r="Y45" s="408">
        <f t="shared" si="62"/>
        <v>1.5216625593375282E-2</v>
      </c>
      <c r="Z45" s="408">
        <f t="shared" si="62"/>
        <v>2.1996122603132402E-2</v>
      </c>
      <c r="AA45" s="408">
        <f t="shared" si="62"/>
        <v>2.4650380722552972E-2</v>
      </c>
      <c r="AC45" s="383" t="s">
        <v>350</v>
      </c>
      <c r="AD45" s="408">
        <f t="shared" si="63"/>
        <v>1.5260878531656004E-2</v>
      </c>
      <c r="AE45" s="408">
        <f t="shared" si="63"/>
        <v>1.5260878531656004E-2</v>
      </c>
      <c r="AF45" s="408">
        <f>AF20/AF$16</f>
        <v>1.0271834841829705E-2</v>
      </c>
      <c r="AG45" s="408">
        <f t="shared" si="63"/>
        <v>1.1770013502049658E-2</v>
      </c>
      <c r="AH45" s="408">
        <f t="shared" si="63"/>
        <v>1.4272023887085287E-2</v>
      </c>
      <c r="AI45" s="408">
        <f t="shared" si="63"/>
        <v>2.1917459175083986E-2</v>
      </c>
      <c r="AJ45" s="408">
        <f t="shared" si="63"/>
        <v>2.4167892422672328E-2</v>
      </c>
    </row>
    <row r="46" spans="1:36" ht="13">
      <c r="A46" s="367" t="s">
        <v>10</v>
      </c>
      <c r="D46" s="413">
        <f>D2</f>
        <v>248.88128643051496</v>
      </c>
      <c r="E46" s="413">
        <f>E2</f>
        <v>248.22517921562658</v>
      </c>
      <c r="F46" s="413">
        <f>F2</f>
        <v>240.83536333297519</v>
      </c>
      <c r="G46" s="384">
        <f>G2</f>
        <v>224.70432925136541</v>
      </c>
      <c r="H46" s="413">
        <f>H2</f>
        <v>199.30905321223156</v>
      </c>
      <c r="K46" s="383" t="s">
        <v>355</v>
      </c>
      <c r="L46" s="408">
        <f t="shared" si="61"/>
        <v>0</v>
      </c>
      <c r="M46" s="408">
        <f t="shared" si="61"/>
        <v>0</v>
      </c>
      <c r="N46" s="408">
        <f t="shared" si="61"/>
        <v>6.0749212789801684E-3</v>
      </c>
      <c r="O46" s="408">
        <f t="shared" si="61"/>
        <v>4.5151389394036947E-3</v>
      </c>
      <c r="P46" s="408">
        <f t="shared" si="61"/>
        <v>6.2552408202625094E-3</v>
      </c>
      <c r="Q46" s="408">
        <f t="shared" si="61"/>
        <v>3.4679904738889162E-3</v>
      </c>
      <c r="R46" s="408">
        <f t="shared" si="61"/>
        <v>1.2710238577744259E-2</v>
      </c>
      <c r="T46" s="383" t="s">
        <v>355</v>
      </c>
      <c r="U46" s="408">
        <f t="shared" si="62"/>
        <v>5.3803938448294389E-3</v>
      </c>
      <c r="V46" s="408">
        <f t="shared" si="62"/>
        <v>5.3803938448294389E-3</v>
      </c>
      <c r="W46" s="408">
        <f t="shared" si="62"/>
        <v>7.3998161145139053E-3</v>
      </c>
      <c r="X46" s="408">
        <f t="shared" si="62"/>
        <v>8.1865634922276553E-3</v>
      </c>
      <c r="Y46" s="408">
        <f t="shared" si="62"/>
        <v>1.3224608615654847E-2</v>
      </c>
      <c r="Z46" s="408">
        <f t="shared" si="62"/>
        <v>1.1305750930390216E-2</v>
      </c>
      <c r="AA46" s="408">
        <f t="shared" si="62"/>
        <v>2.6129210416691372E-2</v>
      </c>
      <c r="AC46" s="383" t="s">
        <v>355</v>
      </c>
      <c r="AD46" s="408">
        <f t="shared" si="63"/>
        <v>5.1557022066405422E-3</v>
      </c>
      <c r="AE46" s="408">
        <f t="shared" si="63"/>
        <v>5.1557022066405422E-3</v>
      </c>
      <c r="AF46" s="408">
        <f t="shared" si="63"/>
        <v>6.141223442190793E-3</v>
      </c>
      <c r="AG46" s="408">
        <f t="shared" si="63"/>
        <v>8.5504361381189137E-3</v>
      </c>
      <c r="AH46" s="408">
        <f t="shared" si="63"/>
        <v>1.3507907391560726E-2</v>
      </c>
      <c r="AI46" s="408">
        <f t="shared" si="63"/>
        <v>1.126531884420429E-2</v>
      </c>
      <c r="AJ46" s="408">
        <f t="shared" si="63"/>
        <v>2.5617776599377605E-2</v>
      </c>
    </row>
    <row r="47" spans="1:36" ht="13">
      <c r="A47" s="367" t="s">
        <v>378</v>
      </c>
      <c r="D47" s="413">
        <f>'Bilan 2015'!$C$5</f>
        <v>249.12043549946657</v>
      </c>
      <c r="E47" s="413">
        <f>'Bilan 2020 BAU'!$C$5</f>
        <v>248.22610055803301</v>
      </c>
      <c r="F47" s="413">
        <f>'Bilan 2025'!$C$5</f>
        <v>240.7439974715553</v>
      </c>
      <c r="G47" s="384">
        <f>'Bilan 2030'!$C$5</f>
        <v>224.70432925136538</v>
      </c>
      <c r="H47" s="413">
        <f>'Bilan 2050'!$C$5</f>
        <v>199.30905321223159</v>
      </c>
      <c r="K47" s="383" t="s">
        <v>358</v>
      </c>
      <c r="L47" s="408">
        <f t="shared" si="61"/>
        <v>1.5101938082053861E-2</v>
      </c>
      <c r="M47" s="408">
        <f t="shared" si="61"/>
        <v>1.5026296018031552E-2</v>
      </c>
      <c r="N47" s="408">
        <f t="shared" si="61"/>
        <v>2.4435745165794612E-2</v>
      </c>
      <c r="O47" s="408">
        <f t="shared" si="61"/>
        <v>3.5001786366186477E-2</v>
      </c>
      <c r="P47" s="408">
        <f t="shared" si="61"/>
        <v>4.9151428645699102E-2</v>
      </c>
      <c r="Q47" s="408">
        <f t="shared" si="61"/>
        <v>0.11427314495166506</v>
      </c>
      <c r="R47" s="408">
        <f t="shared" si="61"/>
        <v>0.17443330243661523</v>
      </c>
      <c r="T47" s="383" t="s">
        <v>358</v>
      </c>
      <c r="U47" s="408">
        <f t="shared" si="62"/>
        <v>1.0760787689658878E-2</v>
      </c>
      <c r="V47" s="408">
        <f t="shared" si="62"/>
        <v>1.0760787689658878E-2</v>
      </c>
      <c r="W47" s="408">
        <f t="shared" si="62"/>
        <v>3.0970503510253627E-2</v>
      </c>
      <c r="X47" s="408">
        <f t="shared" si="62"/>
        <v>3.6010176837551193E-2</v>
      </c>
      <c r="Y47" s="408">
        <f t="shared" si="62"/>
        <v>4.9980446746948591E-2</v>
      </c>
      <c r="Z47" s="408">
        <f t="shared" si="62"/>
        <v>0.11695191481165326</v>
      </c>
      <c r="AA47" s="408">
        <f t="shared" si="62"/>
        <v>0.17641692666488712</v>
      </c>
      <c r="AC47" s="383" t="s">
        <v>358</v>
      </c>
      <c r="AD47" s="408">
        <f t="shared" si="63"/>
        <v>1.0311404413281084E-2</v>
      </c>
      <c r="AE47" s="408">
        <f t="shared" si="63"/>
        <v>1.0311404413281084E-2</v>
      </c>
      <c r="AF47" s="408">
        <f t="shared" si="63"/>
        <v>3.0130291335759986E-2</v>
      </c>
      <c r="AG47" s="408">
        <f t="shared" si="63"/>
        <v>3.4595904855462815E-2</v>
      </c>
      <c r="AH47" s="408">
        <f t="shared" si="63"/>
        <v>4.7319509910270598E-2</v>
      </c>
      <c r="AI47" s="408">
        <f t="shared" si="63"/>
        <v>0.11653366661846486</v>
      </c>
      <c r="AJ47" s="408">
        <f t="shared" si="63"/>
        <v>0.17296387237032068</v>
      </c>
    </row>
    <row r="48" spans="1:36" ht="13">
      <c r="K48" s="378" t="s">
        <v>42</v>
      </c>
      <c r="L48" s="378"/>
      <c r="M48" s="378"/>
      <c r="N48" s="378"/>
      <c r="O48" s="378"/>
      <c r="P48" s="378"/>
      <c r="Q48" s="378"/>
      <c r="R48" s="378"/>
      <c r="T48" s="378" t="s">
        <v>42</v>
      </c>
      <c r="U48" s="378"/>
      <c r="V48" s="378"/>
      <c r="W48" s="378"/>
      <c r="X48" s="378"/>
      <c r="Y48" s="378"/>
      <c r="Z48" s="378"/>
      <c r="AA48" s="378"/>
      <c r="AC48" s="378" t="s">
        <v>42</v>
      </c>
      <c r="AD48" s="378"/>
      <c r="AE48" s="378"/>
      <c r="AF48" s="378"/>
      <c r="AG48" s="378"/>
      <c r="AH48" s="378"/>
      <c r="AI48" s="378"/>
      <c r="AJ48" s="378"/>
    </row>
    <row r="49" spans="1:29">
      <c r="K49" s="367" t="s">
        <v>379</v>
      </c>
      <c r="T49" s="367" t="s">
        <v>379</v>
      </c>
      <c r="AC49" s="367" t="s">
        <v>379</v>
      </c>
    </row>
    <row r="50" spans="1:29">
      <c r="A50" s="367" t="s">
        <v>380</v>
      </c>
      <c r="E50" s="367"/>
      <c r="F50" s="367"/>
      <c r="G50" s="367"/>
    </row>
  </sheetData>
  <mergeCells count="1">
    <mergeCell ref="H1:I1"/>
  </mergeCell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L59"/>
  <sheetViews>
    <sheetView workbookViewId="0"/>
  </sheetViews>
  <sheetFormatPr baseColWidth="10" defaultColWidth="11.453125" defaultRowHeight="14.5"/>
  <cols>
    <col min="1" max="16384" width="11.453125" style="256"/>
  </cols>
  <sheetData>
    <row r="1" spans="1:12">
      <c r="A1" s="256">
        <v>2020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10.3742757878855</v>
      </c>
      <c r="C3" s="256">
        <v>6.1002330193981003</v>
      </c>
      <c r="D3" s="256">
        <v>4.8012381348690996</v>
      </c>
      <c r="F3" s="256">
        <v>4.7207015465331201</v>
      </c>
      <c r="G3" s="256">
        <v>48.617576303646601</v>
      </c>
      <c r="H3" s="256">
        <v>14.4330293124561</v>
      </c>
      <c r="I3" s="256">
        <v>1.18017538663328</v>
      </c>
      <c r="J3" s="256">
        <v>9.1571461976879007</v>
      </c>
      <c r="K3" s="256">
        <v>90.227229491421795</v>
      </c>
      <c r="L3" s="256">
        <v>99.384375689109703</v>
      </c>
    </row>
    <row r="4" spans="1:12">
      <c r="A4" s="256" t="s">
        <v>212</v>
      </c>
      <c r="B4" s="256">
        <v>6.7699876877453198</v>
      </c>
      <c r="C4" s="256">
        <v>2.1378908487616801</v>
      </c>
      <c r="D4" s="256">
        <v>1.2322317177116</v>
      </c>
      <c r="E4" s="256">
        <v>0.89967193568838</v>
      </c>
      <c r="F4" s="256">
        <v>0</v>
      </c>
      <c r="G4" s="256">
        <v>6.2169602451413999</v>
      </c>
      <c r="H4" s="256">
        <v>1.2070758173613001</v>
      </c>
      <c r="I4" s="256">
        <v>2.0992345166062201</v>
      </c>
      <c r="J4" s="256">
        <v>3.2068362731425202</v>
      </c>
      <c r="K4" s="256">
        <v>20.563052769015901</v>
      </c>
      <c r="L4" s="256">
        <v>23.7698890421584</v>
      </c>
    </row>
    <row r="5" spans="1:12">
      <c r="A5" s="256" t="s">
        <v>140</v>
      </c>
      <c r="B5" s="256">
        <v>10.5272361865745</v>
      </c>
      <c r="C5" s="256">
        <v>0</v>
      </c>
      <c r="D5" s="256">
        <v>0</v>
      </c>
      <c r="E5" s="256">
        <v>0</v>
      </c>
      <c r="F5" s="256">
        <v>0</v>
      </c>
      <c r="G5" s="256">
        <v>3.609606004083</v>
      </c>
      <c r="H5" s="256">
        <v>1.1084107534645</v>
      </c>
      <c r="I5" s="256">
        <v>0</v>
      </c>
      <c r="K5" s="256">
        <v>15.245252944122001</v>
      </c>
      <c r="L5" s="256">
        <v>15.245252944122001</v>
      </c>
    </row>
    <row r="6" spans="1:12">
      <c r="A6" s="256" t="s">
        <v>141</v>
      </c>
      <c r="B6" s="256">
        <v>23.389235120450699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23.389235120450699</v>
      </c>
      <c r="L6" s="256">
        <v>23.389235120450699</v>
      </c>
    </row>
    <row r="7" spans="1:12">
      <c r="A7" s="256" t="s">
        <v>213</v>
      </c>
      <c r="B7" s="256">
        <v>46.6814996815285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46.6814996815285</v>
      </c>
      <c r="L7" s="256">
        <v>46.6814996815285</v>
      </c>
    </row>
    <row r="8" spans="1:12">
      <c r="A8" s="256" t="s">
        <v>143</v>
      </c>
      <c r="C8" s="256">
        <v>6.1479590102429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15.215325420320401</v>
      </c>
      <c r="K8" s="256">
        <v>6.1479590102429</v>
      </c>
      <c r="L8" s="256">
        <v>21.363284430563301</v>
      </c>
    </row>
    <row r="9" spans="1:12">
      <c r="A9" s="256" t="s">
        <v>214</v>
      </c>
      <c r="B9" s="256">
        <v>0.22503356683190001</v>
      </c>
      <c r="C9" s="256">
        <v>0</v>
      </c>
      <c r="D9" s="256">
        <v>0</v>
      </c>
      <c r="E9" s="256">
        <v>0.90013426732760005</v>
      </c>
      <c r="F9" s="256">
        <v>0</v>
      </c>
      <c r="G9" s="256">
        <v>2.2363983456957999</v>
      </c>
      <c r="H9" s="256">
        <v>0</v>
      </c>
      <c r="I9" s="256">
        <v>0</v>
      </c>
      <c r="K9" s="256">
        <v>3.3615661798552998</v>
      </c>
      <c r="L9" s="256">
        <v>3.3615661798552998</v>
      </c>
    </row>
    <row r="10" spans="1:12">
      <c r="A10" s="256" t="s">
        <v>215</v>
      </c>
      <c r="B10" s="256">
        <v>97.967268031016403</v>
      </c>
      <c r="C10" s="256">
        <v>14.3860828784027</v>
      </c>
      <c r="D10" s="256">
        <v>6.0334698525806996</v>
      </c>
      <c r="E10" s="256">
        <v>1.79980620301598</v>
      </c>
      <c r="F10" s="256">
        <v>4.7207015465331201</v>
      </c>
      <c r="G10" s="256">
        <v>60.680540898566797</v>
      </c>
      <c r="H10" s="256">
        <v>16.7485158832819</v>
      </c>
      <c r="I10" s="256">
        <v>3.2794099032394999</v>
      </c>
      <c r="J10" s="256">
        <v>27.579307891150801</v>
      </c>
      <c r="K10" s="256">
        <v>205.61579519663701</v>
      </c>
      <c r="L10" s="256">
        <v>233.195103087788</v>
      </c>
    </row>
    <row r="11" spans="1:12">
      <c r="A11" s="256" t="s">
        <v>216</v>
      </c>
      <c r="B11" s="256">
        <v>26.994931226968699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26.994931226968699</v>
      </c>
      <c r="L11" s="256">
        <v>26.994931226968699</v>
      </c>
    </row>
    <row r="12" spans="1:12">
      <c r="A12" s="256" t="s">
        <v>10</v>
      </c>
      <c r="B12" s="256">
        <v>124.96219925798501</v>
      </c>
      <c r="C12" s="256">
        <v>14.3860828784027</v>
      </c>
      <c r="D12" s="256">
        <v>6.0334698525806996</v>
      </c>
      <c r="E12" s="256">
        <v>1.79980620301598</v>
      </c>
      <c r="F12" s="256">
        <v>4.7207015465331201</v>
      </c>
      <c r="G12" s="256">
        <v>60.680540898566797</v>
      </c>
      <c r="H12" s="256">
        <v>16.7485158832819</v>
      </c>
      <c r="I12" s="256">
        <v>3.2794099032394999</v>
      </c>
      <c r="J12" s="256">
        <v>27.579307891150801</v>
      </c>
      <c r="K12" s="256">
        <v>232.610726423606</v>
      </c>
      <c r="L12" s="256">
        <v>260.19003431475699</v>
      </c>
    </row>
    <row r="13" spans="1:12">
      <c r="A13" s="256" t="s">
        <v>217</v>
      </c>
    </row>
    <row r="14" spans="1:12">
      <c r="A14" s="256" t="s">
        <v>218</v>
      </c>
    </row>
    <row r="16" spans="1:12">
      <c r="A16" s="256">
        <v>2025</v>
      </c>
    </row>
    <row r="17" spans="1:12">
      <c r="A17" s="256" t="s">
        <v>128</v>
      </c>
      <c r="B17" s="256" t="s">
        <v>57</v>
      </c>
      <c r="C17" s="256" t="s">
        <v>207</v>
      </c>
      <c r="D17" s="256" t="s">
        <v>105</v>
      </c>
      <c r="E17" s="256" t="s">
        <v>42</v>
      </c>
      <c r="F17" s="256" t="s">
        <v>134</v>
      </c>
      <c r="G17" s="256" t="s">
        <v>54</v>
      </c>
      <c r="H17" s="256" t="s">
        <v>208</v>
      </c>
      <c r="I17" s="256" t="s">
        <v>209</v>
      </c>
      <c r="J17" s="256" t="s">
        <v>210</v>
      </c>
      <c r="K17" s="256" t="s">
        <v>211</v>
      </c>
      <c r="L17" s="256" t="s">
        <v>10</v>
      </c>
    </row>
    <row r="18" spans="1:12">
      <c r="A18" s="256" t="s">
        <v>138</v>
      </c>
      <c r="B18" s="256">
        <v>8.9718125061079999</v>
      </c>
      <c r="C18" s="256">
        <v>7.5244428280336004</v>
      </c>
      <c r="D18" s="256">
        <v>4.1448280467982999</v>
      </c>
      <c r="F18" s="256">
        <v>5.7574771280624804</v>
      </c>
      <c r="G18" s="256">
        <v>39.004453813544799</v>
      </c>
      <c r="H18" s="256">
        <v>8.9939273059531999</v>
      </c>
      <c r="I18" s="256">
        <v>1.4393692820156201</v>
      </c>
      <c r="J18" s="256">
        <v>11.4217194648713</v>
      </c>
      <c r="K18" s="256">
        <v>75.836310910516005</v>
      </c>
      <c r="L18" s="256">
        <v>87.258030375387307</v>
      </c>
    </row>
    <row r="19" spans="1:12">
      <c r="A19" s="256" t="s">
        <v>212</v>
      </c>
      <c r="B19" s="256">
        <v>5.2475986366028398</v>
      </c>
      <c r="C19" s="256">
        <v>3.4983990910685598</v>
      </c>
      <c r="D19" s="256">
        <v>1.1963054104524999</v>
      </c>
      <c r="E19" s="256">
        <v>0.73455761130816</v>
      </c>
      <c r="F19" s="256">
        <v>0</v>
      </c>
      <c r="G19" s="256">
        <v>4.5534877411513</v>
      </c>
      <c r="H19" s="256">
        <v>0.30731067968190001</v>
      </c>
      <c r="I19" s="256">
        <v>2.93823044523264</v>
      </c>
      <c r="J19" s="256">
        <v>5.2475986366028398</v>
      </c>
      <c r="K19" s="256">
        <v>18.475889615497898</v>
      </c>
      <c r="L19" s="256">
        <v>23.723488252100701</v>
      </c>
    </row>
    <row r="20" spans="1:12">
      <c r="A20" s="256" t="s">
        <v>140</v>
      </c>
      <c r="B20" s="256">
        <v>11.2851059106452</v>
      </c>
      <c r="C20" s="256">
        <v>0</v>
      </c>
      <c r="D20" s="256">
        <v>0</v>
      </c>
      <c r="E20" s="256">
        <v>0</v>
      </c>
      <c r="F20" s="256">
        <v>0</v>
      </c>
      <c r="G20" s="256">
        <v>3.0165698263876002</v>
      </c>
      <c r="H20" s="256">
        <v>0.82147656588960005</v>
      </c>
      <c r="I20" s="256">
        <v>0</v>
      </c>
      <c r="K20" s="256">
        <v>15.123152302922399</v>
      </c>
      <c r="L20" s="256">
        <v>15.123152302922399</v>
      </c>
    </row>
    <row r="21" spans="1:12">
      <c r="A21" s="256" t="s">
        <v>141</v>
      </c>
      <c r="B21" s="256">
        <v>19.375331905517701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K21" s="256">
        <v>19.375331905517701</v>
      </c>
      <c r="L21" s="256">
        <v>19.375331905517701</v>
      </c>
    </row>
    <row r="22" spans="1:12">
      <c r="A22" s="256" t="s">
        <v>213</v>
      </c>
      <c r="B22" s="256">
        <v>46.354708094036098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K22" s="256">
        <v>46.354708094036098</v>
      </c>
      <c r="L22" s="256">
        <v>46.354708094036098</v>
      </c>
    </row>
    <row r="23" spans="1:12">
      <c r="A23" s="256" t="s">
        <v>143</v>
      </c>
      <c r="C23" s="256">
        <v>6.0004736135138002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14.8503200092174</v>
      </c>
      <c r="K23" s="256">
        <v>6.0004736135138002</v>
      </c>
      <c r="L23" s="256">
        <v>20.850793622731199</v>
      </c>
    </row>
    <row r="24" spans="1:12">
      <c r="A24" s="256" t="s">
        <v>214</v>
      </c>
      <c r="B24" s="256">
        <v>0.57553934335914003</v>
      </c>
      <c r="D24" s="256">
        <v>0</v>
      </c>
      <c r="E24" s="256">
        <v>0.38369289557275998</v>
      </c>
      <c r="F24" s="256">
        <v>0</v>
      </c>
      <c r="G24" s="256">
        <v>1.9118461767073001</v>
      </c>
      <c r="H24" s="256">
        <v>0</v>
      </c>
      <c r="I24" s="256">
        <v>0</v>
      </c>
      <c r="K24" s="256">
        <v>2.8710784156392002</v>
      </c>
      <c r="L24" s="256">
        <v>2.8710784156392002</v>
      </c>
    </row>
    <row r="25" spans="1:12">
      <c r="A25" s="256" t="s">
        <v>215</v>
      </c>
      <c r="B25" s="256">
        <v>91.810096396269003</v>
      </c>
      <c r="C25" s="256">
        <v>17.023315532616</v>
      </c>
      <c r="D25" s="256">
        <v>5.3411334572508</v>
      </c>
      <c r="E25" s="256">
        <v>1.1182505068809201</v>
      </c>
      <c r="F25" s="256">
        <v>5.7574771280624804</v>
      </c>
      <c r="G25" s="256">
        <v>48.486357557791003</v>
      </c>
      <c r="H25" s="256">
        <v>10.1227145515247</v>
      </c>
      <c r="I25" s="256">
        <v>4.3775997272482599</v>
      </c>
      <c r="J25" s="256">
        <v>31.519638110691499</v>
      </c>
      <c r="K25" s="256">
        <v>184.03694485764299</v>
      </c>
      <c r="L25" s="256">
        <v>215.55658296833499</v>
      </c>
    </row>
    <row r="26" spans="1:12">
      <c r="A26" s="256" t="s">
        <v>216</v>
      </c>
      <c r="B26" s="256">
        <v>26.309910568975301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K26" s="256">
        <v>26.309910568975301</v>
      </c>
      <c r="L26" s="256">
        <v>26.309910568975301</v>
      </c>
    </row>
    <row r="27" spans="1:12">
      <c r="A27" s="256" t="s">
        <v>10</v>
      </c>
      <c r="B27" s="256">
        <v>118.120006965244</v>
      </c>
      <c r="C27" s="256">
        <v>17.023315532616</v>
      </c>
      <c r="D27" s="256">
        <v>5.3411334572508</v>
      </c>
      <c r="E27" s="256">
        <v>1.1182505068809201</v>
      </c>
      <c r="F27" s="256">
        <v>5.7574771280624804</v>
      </c>
      <c r="G27" s="256">
        <v>48.486357557791003</v>
      </c>
      <c r="H27" s="256">
        <v>10.1227145515247</v>
      </c>
      <c r="I27" s="256">
        <v>4.3775997272482599</v>
      </c>
      <c r="J27" s="256">
        <v>31.519638110691499</v>
      </c>
      <c r="K27" s="256">
        <v>210.34685542661799</v>
      </c>
      <c r="L27" s="256">
        <v>241.86649353730999</v>
      </c>
    </row>
    <row r="28" spans="1:12">
      <c r="A28" s="256" t="s">
        <v>217</v>
      </c>
    </row>
    <row r="29" spans="1:12">
      <c r="A29" s="256" t="s">
        <v>218</v>
      </c>
    </row>
    <row r="31" spans="1:12">
      <c r="A31" s="256">
        <v>2030</v>
      </c>
    </row>
    <row r="32" spans="1:12">
      <c r="A32" s="256" t="s">
        <v>128</v>
      </c>
      <c r="B32" s="256" t="s">
        <v>57</v>
      </c>
      <c r="C32" s="256" t="s">
        <v>207</v>
      </c>
      <c r="D32" s="256" t="s">
        <v>105</v>
      </c>
      <c r="E32" s="256" t="s">
        <v>42</v>
      </c>
      <c r="F32" s="256" t="s">
        <v>134</v>
      </c>
      <c r="G32" s="256" t="s">
        <v>54</v>
      </c>
      <c r="H32" s="256" t="s">
        <v>208</v>
      </c>
      <c r="I32" s="256" t="s">
        <v>209</v>
      </c>
      <c r="J32" s="256" t="s">
        <v>210</v>
      </c>
      <c r="K32" s="256" t="s">
        <v>211</v>
      </c>
      <c r="L32" s="256" t="s">
        <v>10</v>
      </c>
    </row>
    <row r="33" spans="1:12">
      <c r="A33" s="256" t="s">
        <v>138</v>
      </c>
      <c r="B33" s="256">
        <v>7.9865806915524002</v>
      </c>
      <c r="C33" s="256">
        <v>9.2211616891774</v>
      </c>
      <c r="D33" s="256">
        <v>4.1797717793542999</v>
      </c>
      <c r="F33" s="256">
        <v>7.0537868434781599</v>
      </c>
      <c r="G33" s="256">
        <v>27.7414380005239</v>
      </c>
      <c r="H33" s="256">
        <v>4.0007689276751002</v>
      </c>
      <c r="I33" s="256">
        <v>1.76344671086954</v>
      </c>
      <c r="J33" s="256">
        <v>14.106786738135799</v>
      </c>
      <c r="K33" s="256">
        <v>61.9469546426308</v>
      </c>
      <c r="L33" s="256">
        <v>76.053741380766596</v>
      </c>
    </row>
    <row r="34" spans="1:12">
      <c r="A34" s="256" t="s">
        <v>212</v>
      </c>
      <c r="B34" s="256">
        <v>4.1300172223687497</v>
      </c>
      <c r="C34" s="256">
        <v>4.1300172223687497</v>
      </c>
      <c r="D34" s="256">
        <v>0.8946934460707</v>
      </c>
      <c r="E34" s="256">
        <v>0</v>
      </c>
      <c r="F34" s="256">
        <v>0</v>
      </c>
      <c r="G34" s="256">
        <v>3.6379629672113998</v>
      </c>
      <c r="H34" s="256">
        <v>0.19343554945649999</v>
      </c>
      <c r="I34" s="256">
        <v>3.7384479607226</v>
      </c>
      <c r="J34" s="256">
        <v>6.1950258335531201</v>
      </c>
      <c r="K34" s="256">
        <v>16.724574368198699</v>
      </c>
      <c r="L34" s="256">
        <v>22.919600201751798</v>
      </c>
    </row>
    <row r="35" spans="1:12">
      <c r="A35" s="256" t="s">
        <v>140</v>
      </c>
      <c r="B35" s="256">
        <v>11.8721780932577</v>
      </c>
      <c r="C35" s="256">
        <v>0</v>
      </c>
      <c r="D35" s="256">
        <v>0</v>
      </c>
      <c r="E35" s="256">
        <v>0</v>
      </c>
      <c r="F35" s="256">
        <v>0</v>
      </c>
      <c r="G35" s="256">
        <v>2.5273881171479</v>
      </c>
      <c r="H35" s="256">
        <v>0.61166542466829998</v>
      </c>
      <c r="I35" s="256">
        <v>0</v>
      </c>
      <c r="K35" s="256">
        <v>15.0112316350739</v>
      </c>
      <c r="L35" s="256">
        <v>15.0112316350739</v>
      </c>
    </row>
    <row r="36" spans="1:12">
      <c r="A36" s="256" t="s">
        <v>141</v>
      </c>
      <c r="B36" s="256">
        <v>15.2848315075233</v>
      </c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K36" s="256">
        <v>15.2848315075233</v>
      </c>
      <c r="L36" s="256">
        <v>15.2848315075233</v>
      </c>
    </row>
    <row r="37" spans="1:12">
      <c r="A37" s="256" t="s">
        <v>213</v>
      </c>
      <c r="B37" s="256">
        <v>45.907009040287299</v>
      </c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K37" s="256">
        <v>45.907009040287299</v>
      </c>
      <c r="L37" s="256">
        <v>45.907009040287299</v>
      </c>
    </row>
    <row r="38" spans="1:12">
      <c r="A38" s="256" t="s">
        <v>143</v>
      </c>
      <c r="C38" s="256">
        <v>6.0856597961760004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J38" s="256">
        <v>18.776315865322498</v>
      </c>
      <c r="K38" s="256">
        <v>6.0856597961760004</v>
      </c>
      <c r="L38" s="256">
        <v>24.861975661498501</v>
      </c>
    </row>
    <row r="39" spans="1:12">
      <c r="A39" s="256" t="s">
        <v>214</v>
      </c>
      <c r="B39" s="256">
        <v>0.81988401876299999</v>
      </c>
      <c r="D39" s="256">
        <v>0</v>
      </c>
      <c r="E39" s="256">
        <v>0</v>
      </c>
      <c r="F39" s="256">
        <v>0</v>
      </c>
      <c r="G39" s="256">
        <v>1.6393711123813</v>
      </c>
      <c r="H39" s="256">
        <v>0</v>
      </c>
      <c r="I39" s="256">
        <v>0</v>
      </c>
      <c r="K39" s="256">
        <v>2.4592551311443001</v>
      </c>
      <c r="L39" s="256">
        <v>2.4592551311443001</v>
      </c>
    </row>
    <row r="40" spans="1:12">
      <c r="A40" s="256" t="s">
        <v>215</v>
      </c>
      <c r="B40" s="256">
        <v>86.000500573752504</v>
      </c>
      <c r="C40" s="256">
        <v>19.436838707722199</v>
      </c>
      <c r="D40" s="256">
        <v>5.0744652254249996</v>
      </c>
      <c r="E40" s="256">
        <v>0</v>
      </c>
      <c r="F40" s="256">
        <v>7.0537868434781599</v>
      </c>
      <c r="G40" s="256">
        <v>35.546160197264498</v>
      </c>
      <c r="H40" s="256">
        <v>4.8058699017999</v>
      </c>
      <c r="I40" s="256">
        <v>5.5018946715921402</v>
      </c>
      <c r="J40" s="256">
        <v>39.078128437011401</v>
      </c>
      <c r="K40" s="256">
        <v>163.41951612103401</v>
      </c>
      <c r="L40" s="256">
        <v>202.49764455804601</v>
      </c>
    </row>
    <row r="41" spans="1:12">
      <c r="A41" s="256" t="s">
        <v>216</v>
      </c>
      <c r="B41" s="256">
        <v>25.624889910981899</v>
      </c>
      <c r="C41" s="256">
        <v>0</v>
      </c>
      <c r="D41" s="256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K41" s="256">
        <v>25.624889910981899</v>
      </c>
      <c r="L41" s="256">
        <v>25.624889910981899</v>
      </c>
    </row>
    <row r="42" spans="1:12">
      <c r="A42" s="256" t="s">
        <v>10</v>
      </c>
      <c r="B42" s="256">
        <v>111.625390484734</v>
      </c>
      <c r="C42" s="256">
        <v>19.436838707722199</v>
      </c>
      <c r="D42" s="256">
        <v>5.0744652254249996</v>
      </c>
      <c r="E42" s="256">
        <v>0</v>
      </c>
      <c r="F42" s="256">
        <v>7.0537868434781599</v>
      </c>
      <c r="G42" s="256">
        <v>35.546160197264498</v>
      </c>
      <c r="H42" s="256">
        <v>4.8058699017999</v>
      </c>
      <c r="I42" s="256">
        <v>5.5018946715921402</v>
      </c>
      <c r="J42" s="256">
        <v>39.078128437011401</v>
      </c>
      <c r="K42" s="256">
        <v>189.04440603201601</v>
      </c>
      <c r="L42" s="256">
        <v>228.12253446902801</v>
      </c>
    </row>
    <row r="43" spans="1:12">
      <c r="A43" s="256" t="s">
        <v>217</v>
      </c>
      <c r="K43" s="256">
        <v>0.93576088486563302</v>
      </c>
    </row>
    <row r="44" spans="1:12">
      <c r="A44" s="256" t="s">
        <v>218</v>
      </c>
    </row>
    <row r="46" spans="1:12">
      <c r="A46" s="256">
        <v>2050</v>
      </c>
    </row>
    <row r="47" spans="1:12">
      <c r="A47" s="256" t="s">
        <v>128</v>
      </c>
      <c r="B47" s="256" t="s">
        <v>57</v>
      </c>
      <c r="C47" s="256" t="s">
        <v>207</v>
      </c>
      <c r="D47" s="256" t="s">
        <v>105</v>
      </c>
      <c r="E47" s="256" t="s">
        <v>42</v>
      </c>
      <c r="F47" s="256" t="s">
        <v>134</v>
      </c>
      <c r="G47" s="256" t="s">
        <v>54</v>
      </c>
      <c r="H47" s="256" t="s">
        <v>208</v>
      </c>
      <c r="I47" s="256" t="s">
        <v>209</v>
      </c>
      <c r="J47" s="256" t="s">
        <v>210</v>
      </c>
      <c r="K47" s="256" t="s">
        <v>211</v>
      </c>
      <c r="L47" s="256" t="s">
        <v>10</v>
      </c>
    </row>
    <row r="48" spans="1:12">
      <c r="A48" s="256" t="s">
        <v>138</v>
      </c>
      <c r="B48" s="256">
        <v>5.8523640541175004</v>
      </c>
      <c r="C48" s="256">
        <v>9.6916384892280991</v>
      </c>
      <c r="D48" s="256">
        <v>12.0940616509414</v>
      </c>
      <c r="F48" s="256">
        <v>5.7376992755080796</v>
      </c>
      <c r="G48" s="256">
        <v>1.6243612661704001</v>
      </c>
      <c r="H48" s="256">
        <v>9.9083878957999996E-3</v>
      </c>
      <c r="I48" s="256">
        <v>1.4344248188770199</v>
      </c>
      <c r="J48" s="256">
        <v>15.069021727073199</v>
      </c>
      <c r="K48" s="256">
        <v>36.444457942738303</v>
      </c>
      <c r="L48" s="256">
        <v>51.513479669811503</v>
      </c>
    </row>
    <row r="49" spans="1:12">
      <c r="A49" s="256" t="s">
        <v>212</v>
      </c>
      <c r="B49" s="256">
        <v>0.11976961531749999</v>
      </c>
      <c r="C49" s="256">
        <v>4.1300172223687497</v>
      </c>
      <c r="D49" s="256">
        <v>0.8946934460707</v>
      </c>
      <c r="E49" s="256">
        <v>0</v>
      </c>
      <c r="F49" s="256">
        <v>0</v>
      </c>
      <c r="G49" s="256">
        <v>1.689494832574</v>
      </c>
      <c r="H49" s="256">
        <v>6.1075926729999997E-3</v>
      </c>
      <c r="I49" s="256">
        <v>3.3230107511964002</v>
      </c>
      <c r="J49" s="256">
        <v>6.1950258335531201</v>
      </c>
      <c r="K49" s="256">
        <v>10.1630934602004</v>
      </c>
      <c r="L49" s="256">
        <v>16.3581192937535</v>
      </c>
    </row>
    <row r="50" spans="1:12">
      <c r="A50" s="256" t="s">
        <v>140</v>
      </c>
      <c r="B50" s="256">
        <v>12.139093722674</v>
      </c>
      <c r="C50" s="256">
        <v>0</v>
      </c>
      <c r="D50" s="256">
        <v>0</v>
      </c>
      <c r="E50" s="256">
        <v>0</v>
      </c>
      <c r="F50" s="256">
        <v>0</v>
      </c>
      <c r="G50" s="256">
        <v>1.3508680727360001</v>
      </c>
      <c r="H50" s="256">
        <v>0.2384320247301</v>
      </c>
      <c r="I50" s="256">
        <v>0</v>
      </c>
      <c r="K50" s="256">
        <v>13.7283938201401</v>
      </c>
      <c r="L50" s="256">
        <v>13.7283938201401</v>
      </c>
    </row>
    <row r="51" spans="1:12">
      <c r="A51" s="256" t="s">
        <v>141</v>
      </c>
      <c r="B51" s="256">
        <v>9.8452476075075008</v>
      </c>
      <c r="C51" s="256">
        <v>0</v>
      </c>
      <c r="D51" s="256">
        <v>0</v>
      </c>
      <c r="E51" s="256">
        <v>0</v>
      </c>
      <c r="F51" s="256">
        <v>0</v>
      </c>
      <c r="G51" s="256">
        <v>0</v>
      </c>
      <c r="H51" s="256">
        <v>0</v>
      </c>
      <c r="I51" s="256">
        <v>0</v>
      </c>
      <c r="K51" s="256">
        <v>9.8452476075075008</v>
      </c>
      <c r="L51" s="256">
        <v>9.8452476075075008</v>
      </c>
    </row>
    <row r="52" spans="1:12">
      <c r="A52" s="256" t="s">
        <v>213</v>
      </c>
      <c r="B52" s="256">
        <v>42.907833391588298</v>
      </c>
      <c r="C52" s="256">
        <v>0</v>
      </c>
      <c r="D52" s="256">
        <v>0</v>
      </c>
      <c r="E52" s="256">
        <v>0</v>
      </c>
      <c r="F52" s="256">
        <v>0</v>
      </c>
      <c r="G52" s="256">
        <v>0</v>
      </c>
      <c r="H52" s="256">
        <v>0</v>
      </c>
      <c r="I52" s="256">
        <v>0</v>
      </c>
      <c r="K52" s="256">
        <v>42.907833391588298</v>
      </c>
      <c r="L52" s="256">
        <v>42.907833391588298</v>
      </c>
    </row>
    <row r="53" spans="1:12">
      <c r="A53" s="256" t="s">
        <v>143</v>
      </c>
      <c r="C53" s="256">
        <v>6.3631434451273003</v>
      </c>
      <c r="D53" s="256">
        <v>0</v>
      </c>
      <c r="E53" s="256">
        <v>0</v>
      </c>
      <c r="F53" s="256">
        <v>0</v>
      </c>
      <c r="G53" s="256">
        <v>0</v>
      </c>
      <c r="H53" s="256">
        <v>0</v>
      </c>
      <c r="I53" s="256">
        <v>0</v>
      </c>
      <c r="K53" s="256">
        <v>6.3631434451273003</v>
      </c>
      <c r="L53" s="256">
        <v>6.4</v>
      </c>
    </row>
    <row r="54" spans="1:12">
      <c r="A54" s="256" t="s">
        <v>214</v>
      </c>
      <c r="B54" s="256">
        <v>0.46133931642010001</v>
      </c>
      <c r="D54" s="256">
        <v>0</v>
      </c>
      <c r="E54" s="256">
        <v>0</v>
      </c>
      <c r="F54" s="256">
        <v>0</v>
      </c>
      <c r="G54" s="256">
        <v>0.95264690516810002</v>
      </c>
      <c r="H54" s="256">
        <v>0</v>
      </c>
      <c r="I54" s="256">
        <v>0</v>
      </c>
      <c r="K54" s="256">
        <v>1.4139862215882</v>
      </c>
      <c r="L54" s="256">
        <v>1.4139862215882</v>
      </c>
    </row>
    <row r="55" spans="1:12">
      <c r="A55" s="256" t="s">
        <v>215</v>
      </c>
      <c r="B55" s="256">
        <v>71.325647707624896</v>
      </c>
      <c r="C55" s="256">
        <v>20.1847991567241</v>
      </c>
      <c r="D55" s="256">
        <v>12.988755097012101</v>
      </c>
      <c r="E55" s="256">
        <v>0</v>
      </c>
      <c r="F55" s="256">
        <v>5.7376992755080796</v>
      </c>
      <c r="G55" s="256">
        <v>5.6173710766485003</v>
      </c>
      <c r="H55" s="256">
        <v>0.25444800529889999</v>
      </c>
      <c r="I55" s="256">
        <v>4.7574355700734197</v>
      </c>
      <c r="J55" s="256">
        <v>44.850389616754001</v>
      </c>
      <c r="K55" s="256">
        <v>120.86615588889001</v>
      </c>
      <c r="L55" s="256">
        <v>165.71654550564401</v>
      </c>
    </row>
    <row r="56" spans="1:12">
      <c r="A56" s="256" t="s">
        <v>216</v>
      </c>
      <c r="B56" s="256">
        <v>23.9431583804922</v>
      </c>
      <c r="C56" s="256">
        <v>0</v>
      </c>
      <c r="D56" s="256">
        <v>0</v>
      </c>
      <c r="E56" s="256">
        <v>0</v>
      </c>
      <c r="F56" s="256">
        <v>0</v>
      </c>
      <c r="G56" s="256">
        <v>0</v>
      </c>
      <c r="H56" s="256">
        <v>0</v>
      </c>
      <c r="I56" s="256">
        <v>0</v>
      </c>
      <c r="K56" s="256">
        <v>23.9431583804922</v>
      </c>
      <c r="L56" s="256">
        <v>23.9431583804922</v>
      </c>
    </row>
    <row r="57" spans="1:12">
      <c r="A57" s="256" t="s">
        <v>10</v>
      </c>
      <c r="B57" s="256">
        <v>95.268806088117103</v>
      </c>
      <c r="C57" s="256">
        <v>20.1847991567241</v>
      </c>
      <c r="D57" s="256">
        <v>12.988755097012101</v>
      </c>
      <c r="E57" s="256">
        <v>0</v>
      </c>
      <c r="F57" s="256">
        <v>5.7376992755080796</v>
      </c>
      <c r="G57" s="256">
        <v>5.6173710766485003</v>
      </c>
      <c r="H57" s="256">
        <v>0.25444800529889999</v>
      </c>
      <c r="I57" s="256">
        <v>4.7574355700734197</v>
      </c>
      <c r="J57" s="256">
        <v>44.850389616754001</v>
      </c>
      <c r="K57" s="256">
        <v>144.80931426938201</v>
      </c>
      <c r="L57" s="256">
        <v>166.11021838488099</v>
      </c>
    </row>
    <row r="58" spans="1:12">
      <c r="A58" s="256" t="s">
        <v>217</v>
      </c>
    </row>
    <row r="59" spans="1:12">
      <c r="A59" s="256" t="s">
        <v>218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L44"/>
  <sheetViews>
    <sheetView workbookViewId="0"/>
  </sheetViews>
  <sheetFormatPr baseColWidth="10" defaultColWidth="11.453125" defaultRowHeight="14.5"/>
  <cols>
    <col min="1" max="16384" width="11.453125" style="256"/>
  </cols>
  <sheetData>
    <row r="1" spans="1:12">
      <c r="A1" s="256">
        <v>2025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8.9718125061079999</v>
      </c>
      <c r="C3" s="256">
        <v>7.5244428280336004</v>
      </c>
      <c r="D3" s="256">
        <v>4.1448280467982999</v>
      </c>
      <c r="F3" s="256">
        <v>5.7574771280624804</v>
      </c>
      <c r="G3" s="256">
        <v>39.004453813544799</v>
      </c>
      <c r="H3" s="256">
        <v>8.9939273059531999</v>
      </c>
      <c r="I3" s="256">
        <v>1.4393692820156201</v>
      </c>
      <c r="J3" s="256">
        <v>11.4217194648713</v>
      </c>
      <c r="K3" s="256">
        <v>75.836310910516005</v>
      </c>
      <c r="L3" s="256">
        <v>87.258030375387307</v>
      </c>
    </row>
    <row r="4" spans="1:12">
      <c r="A4" s="256" t="s">
        <v>212</v>
      </c>
      <c r="B4" s="256">
        <v>5.2475986366028398</v>
      </c>
      <c r="C4" s="256">
        <v>3.4983990910685598</v>
      </c>
      <c r="D4" s="256">
        <v>1.1963054104524999</v>
      </c>
      <c r="E4" s="256">
        <v>0.73455761130816</v>
      </c>
      <c r="F4" s="256">
        <v>0</v>
      </c>
      <c r="G4" s="256">
        <v>4.5534877411513</v>
      </c>
      <c r="H4" s="256">
        <v>0.30731067968190001</v>
      </c>
      <c r="I4" s="256">
        <v>2.93823044523264</v>
      </c>
      <c r="J4" s="256">
        <v>5.2475986366028398</v>
      </c>
      <c r="K4" s="256">
        <v>18.475889615497898</v>
      </c>
      <c r="L4" s="256">
        <v>23.723488252100701</v>
      </c>
    </row>
    <row r="5" spans="1:12">
      <c r="A5" s="256" t="s">
        <v>140</v>
      </c>
      <c r="B5" s="256">
        <v>11.2851059106452</v>
      </c>
      <c r="C5" s="256">
        <v>0</v>
      </c>
      <c r="D5" s="256">
        <v>0</v>
      </c>
      <c r="E5" s="256">
        <v>0</v>
      </c>
      <c r="F5" s="256">
        <v>0</v>
      </c>
      <c r="G5" s="256">
        <v>3.0165698263876002</v>
      </c>
      <c r="H5" s="256">
        <v>0.82147656588960005</v>
      </c>
      <c r="I5" s="256">
        <v>0</v>
      </c>
      <c r="K5" s="256">
        <v>15.123152302922399</v>
      </c>
      <c r="L5" s="256">
        <v>15.123152302922399</v>
      </c>
    </row>
    <row r="6" spans="1:12">
      <c r="A6" s="256" t="s">
        <v>141</v>
      </c>
      <c r="B6" s="256">
        <v>19.375331905517701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19.375331905517701</v>
      </c>
      <c r="L6" s="256">
        <v>19.375331905517701</v>
      </c>
    </row>
    <row r="7" spans="1:12">
      <c r="A7" s="256" t="s">
        <v>213</v>
      </c>
      <c r="B7" s="256">
        <v>46.354708094036098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46.354708094036098</v>
      </c>
      <c r="L7" s="256">
        <v>46.354708094036098</v>
      </c>
    </row>
    <row r="8" spans="1:12">
      <c r="A8" s="256" t="s">
        <v>143</v>
      </c>
      <c r="C8" s="256">
        <v>6.0004736135138002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14.8503200092174</v>
      </c>
      <c r="K8" s="256">
        <v>6.0004736135138002</v>
      </c>
      <c r="L8" s="256">
        <v>20.850793622731199</v>
      </c>
    </row>
    <row r="9" spans="1:12">
      <c r="A9" s="256" t="s">
        <v>214</v>
      </c>
      <c r="B9" s="256">
        <v>0.57553934335914003</v>
      </c>
      <c r="D9" s="256">
        <v>0</v>
      </c>
      <c r="E9" s="256">
        <v>0.38369289557275998</v>
      </c>
      <c r="F9" s="256">
        <v>0</v>
      </c>
      <c r="G9" s="256">
        <v>1.9118461767073001</v>
      </c>
      <c r="H9" s="256">
        <v>0</v>
      </c>
      <c r="I9" s="256">
        <v>0</v>
      </c>
      <c r="K9" s="256">
        <v>2.8710784156392002</v>
      </c>
      <c r="L9" s="256">
        <v>2.8710784156392002</v>
      </c>
    </row>
    <row r="10" spans="1:12">
      <c r="A10" s="256" t="s">
        <v>215</v>
      </c>
      <c r="B10" s="256">
        <v>91.810096396269003</v>
      </c>
      <c r="C10" s="256">
        <v>17.023315532616</v>
      </c>
      <c r="D10" s="256">
        <v>5.3411334572508</v>
      </c>
      <c r="E10" s="256">
        <v>1.1182505068809201</v>
      </c>
      <c r="F10" s="256">
        <v>5.7574771280624804</v>
      </c>
      <c r="G10" s="256">
        <v>48.486357557791003</v>
      </c>
      <c r="H10" s="256">
        <v>10.1227145515247</v>
      </c>
      <c r="I10" s="256">
        <v>4.3775997272482599</v>
      </c>
      <c r="J10" s="256">
        <v>31.519638110691499</v>
      </c>
      <c r="K10" s="256">
        <v>184.03694485764299</v>
      </c>
      <c r="L10" s="256">
        <v>215.55658296833499</v>
      </c>
    </row>
    <row r="11" spans="1:12">
      <c r="A11" s="256" t="s">
        <v>216</v>
      </c>
      <c r="B11" s="256">
        <v>26.309910568975301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26.309910568975301</v>
      </c>
      <c r="L11" s="256">
        <v>26.309910568975301</v>
      </c>
    </row>
    <row r="12" spans="1:12">
      <c r="A12" s="256" t="s">
        <v>10</v>
      </c>
      <c r="B12" s="256">
        <v>118.120006965244</v>
      </c>
      <c r="C12" s="256">
        <v>17.023315532616</v>
      </c>
      <c r="D12" s="256">
        <v>5.3411334572508</v>
      </c>
      <c r="E12" s="256">
        <v>1.1182505068809201</v>
      </c>
      <c r="F12" s="256">
        <v>5.7574771280624804</v>
      </c>
      <c r="G12" s="256">
        <v>48.486357557791003</v>
      </c>
      <c r="H12" s="256">
        <v>10.1227145515247</v>
      </c>
      <c r="I12" s="256">
        <v>4.3775997272482599</v>
      </c>
      <c r="J12" s="256">
        <v>31.519638110691499</v>
      </c>
      <c r="K12" s="256">
        <v>210.34685542661799</v>
      </c>
      <c r="L12" s="256">
        <v>241.86649353730999</v>
      </c>
    </row>
    <row r="13" spans="1:12">
      <c r="A13" s="256" t="s">
        <v>217</v>
      </c>
    </row>
    <row r="14" spans="1:12">
      <c r="A14" s="256" t="s">
        <v>218</v>
      </c>
    </row>
    <row r="16" spans="1:12">
      <c r="A16" s="256">
        <v>2030</v>
      </c>
    </row>
    <row r="17" spans="1:12">
      <c r="A17" s="256" t="s">
        <v>128</v>
      </c>
      <c r="B17" s="256" t="s">
        <v>57</v>
      </c>
      <c r="C17" s="256" t="s">
        <v>207</v>
      </c>
      <c r="D17" s="256" t="s">
        <v>105</v>
      </c>
      <c r="E17" s="256" t="s">
        <v>42</v>
      </c>
      <c r="F17" s="256" t="s">
        <v>134</v>
      </c>
      <c r="G17" s="256" t="s">
        <v>54</v>
      </c>
      <c r="H17" s="256" t="s">
        <v>208</v>
      </c>
      <c r="I17" s="256" t="s">
        <v>209</v>
      </c>
      <c r="J17" s="256" t="s">
        <v>210</v>
      </c>
      <c r="K17" s="256" t="s">
        <v>211</v>
      </c>
      <c r="L17" s="256" t="s">
        <v>10</v>
      </c>
    </row>
    <row r="18" spans="1:12">
      <c r="A18" s="256" t="s">
        <v>138</v>
      </c>
      <c r="B18" s="256">
        <v>7.9865806915524002</v>
      </c>
      <c r="C18" s="256">
        <v>9.2211616891774</v>
      </c>
      <c r="D18" s="256">
        <v>4.1797717793542999</v>
      </c>
      <c r="F18" s="256">
        <v>7.0537868434781599</v>
      </c>
      <c r="G18" s="256">
        <v>27.7414380005239</v>
      </c>
      <c r="H18" s="256">
        <v>4.0007689276751002</v>
      </c>
      <c r="I18" s="256">
        <v>1.76344671086954</v>
      </c>
      <c r="J18" s="256">
        <v>14.106786738135799</v>
      </c>
      <c r="K18" s="256">
        <v>61.9469546426308</v>
      </c>
      <c r="L18" s="256">
        <v>76.053741380766596</v>
      </c>
    </row>
    <row r="19" spans="1:12">
      <c r="A19" s="256" t="s">
        <v>212</v>
      </c>
      <c r="B19" s="256">
        <v>4.1300172223687497</v>
      </c>
      <c r="C19" s="256">
        <v>4.1300172223687497</v>
      </c>
      <c r="D19" s="256">
        <v>0.8946934460707</v>
      </c>
      <c r="E19" s="256">
        <v>0</v>
      </c>
      <c r="F19" s="256">
        <v>0</v>
      </c>
      <c r="G19" s="256">
        <v>3.6379629672113998</v>
      </c>
      <c r="H19" s="256">
        <v>0.19343554945649999</v>
      </c>
      <c r="I19" s="256">
        <v>3.7384479607226</v>
      </c>
      <c r="J19" s="256">
        <v>6.1950258335531201</v>
      </c>
      <c r="K19" s="256">
        <v>16.724574368198699</v>
      </c>
      <c r="L19" s="256">
        <v>22.919600201751798</v>
      </c>
    </row>
    <row r="20" spans="1:12">
      <c r="A20" s="256" t="s">
        <v>140</v>
      </c>
      <c r="B20" s="256">
        <v>11.8721780932577</v>
      </c>
      <c r="C20" s="256">
        <v>0</v>
      </c>
      <c r="D20" s="256">
        <v>0</v>
      </c>
      <c r="E20" s="256">
        <v>0</v>
      </c>
      <c r="F20" s="256">
        <v>0</v>
      </c>
      <c r="G20" s="256">
        <v>2.5273881171479</v>
      </c>
      <c r="H20" s="256">
        <v>0.61166542466829998</v>
      </c>
      <c r="I20" s="256">
        <v>0</v>
      </c>
      <c r="K20" s="256">
        <v>15.0112316350739</v>
      </c>
      <c r="L20" s="256">
        <v>15.0112316350739</v>
      </c>
    </row>
    <row r="21" spans="1:12">
      <c r="A21" s="256" t="s">
        <v>141</v>
      </c>
      <c r="B21" s="256">
        <v>15.2848315075233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K21" s="256">
        <v>15.2848315075233</v>
      </c>
      <c r="L21" s="256">
        <v>15.2848315075233</v>
      </c>
    </row>
    <row r="22" spans="1:12">
      <c r="A22" s="256" t="s">
        <v>213</v>
      </c>
      <c r="B22" s="256">
        <v>45.907009040287299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K22" s="256">
        <v>45.907009040287299</v>
      </c>
      <c r="L22" s="256">
        <v>45.907009040287299</v>
      </c>
    </row>
    <row r="23" spans="1:12">
      <c r="A23" s="256" t="s">
        <v>143</v>
      </c>
      <c r="C23" s="256">
        <v>6.0856597961760004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18.776315865322498</v>
      </c>
      <c r="K23" s="256">
        <v>6.0856597961760004</v>
      </c>
      <c r="L23" s="256">
        <v>24.861975661498501</v>
      </c>
    </row>
    <row r="24" spans="1:12">
      <c r="A24" s="256" t="s">
        <v>214</v>
      </c>
      <c r="B24" s="256">
        <v>0.81988401876299999</v>
      </c>
      <c r="D24" s="256">
        <v>0</v>
      </c>
      <c r="E24" s="256">
        <v>0</v>
      </c>
      <c r="F24" s="256">
        <v>0</v>
      </c>
      <c r="G24" s="256">
        <v>1.6393711123813</v>
      </c>
      <c r="H24" s="256">
        <v>0</v>
      </c>
      <c r="I24" s="256">
        <v>0</v>
      </c>
      <c r="K24" s="256">
        <v>2.4592551311443001</v>
      </c>
      <c r="L24" s="256">
        <v>2.4592551311443001</v>
      </c>
    </row>
    <row r="25" spans="1:12">
      <c r="A25" s="256" t="s">
        <v>215</v>
      </c>
      <c r="B25" s="256">
        <v>86.000500573752504</v>
      </c>
      <c r="C25" s="256">
        <v>19.436838707722199</v>
      </c>
      <c r="D25" s="256">
        <v>5.0744652254249996</v>
      </c>
      <c r="E25" s="256">
        <v>0</v>
      </c>
      <c r="F25" s="256">
        <v>7.0537868434781599</v>
      </c>
      <c r="G25" s="256">
        <v>35.546160197264498</v>
      </c>
      <c r="H25" s="256">
        <v>4.8058699017999</v>
      </c>
      <c r="I25" s="256">
        <v>5.5018946715921402</v>
      </c>
      <c r="J25" s="256">
        <v>39.078128437011401</v>
      </c>
      <c r="K25" s="256">
        <v>163.41951612103401</v>
      </c>
      <c r="L25" s="256">
        <v>202.49764455804601</v>
      </c>
    </row>
    <row r="26" spans="1:12">
      <c r="A26" s="256" t="s">
        <v>216</v>
      </c>
      <c r="B26" s="256">
        <v>25.624889910981899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K26" s="256">
        <v>25.624889910981899</v>
      </c>
      <c r="L26" s="256">
        <v>25.624889910981899</v>
      </c>
    </row>
    <row r="27" spans="1:12">
      <c r="A27" s="256" t="s">
        <v>10</v>
      </c>
      <c r="B27" s="256">
        <v>111.625390484734</v>
      </c>
      <c r="C27" s="256">
        <v>19.436838707722199</v>
      </c>
      <c r="D27" s="256">
        <v>5.0744652254249996</v>
      </c>
      <c r="E27" s="256">
        <v>0</v>
      </c>
      <c r="F27" s="256">
        <v>7.0537868434781599</v>
      </c>
      <c r="G27" s="256">
        <v>35.546160197264498</v>
      </c>
      <c r="H27" s="256">
        <v>4.8058699017999</v>
      </c>
      <c r="I27" s="256">
        <v>5.5018946715921402</v>
      </c>
      <c r="J27" s="256">
        <v>39.078128437011401</v>
      </c>
      <c r="K27" s="256">
        <v>189.04440603201601</v>
      </c>
      <c r="L27" s="256">
        <v>228.12253446902801</v>
      </c>
    </row>
    <row r="28" spans="1:12">
      <c r="A28" s="256" t="s">
        <v>217</v>
      </c>
      <c r="K28" s="256">
        <v>0.93576088486563302</v>
      </c>
    </row>
    <row r="29" spans="1:12">
      <c r="A29" s="256" t="s">
        <v>218</v>
      </c>
    </row>
    <row r="31" spans="1:12">
      <c r="A31" s="256">
        <v>2050</v>
      </c>
    </row>
    <row r="32" spans="1:12">
      <c r="A32" s="256" t="s">
        <v>128</v>
      </c>
      <c r="B32" s="256" t="s">
        <v>57</v>
      </c>
      <c r="C32" s="256" t="s">
        <v>207</v>
      </c>
      <c r="D32" s="256" t="s">
        <v>105</v>
      </c>
      <c r="E32" s="256" t="s">
        <v>42</v>
      </c>
      <c r="F32" s="256" t="s">
        <v>134</v>
      </c>
      <c r="G32" s="256" t="s">
        <v>54</v>
      </c>
      <c r="H32" s="256" t="s">
        <v>208</v>
      </c>
      <c r="I32" s="256" t="s">
        <v>209</v>
      </c>
      <c r="J32" s="256" t="s">
        <v>210</v>
      </c>
      <c r="K32" s="256" t="s">
        <v>211</v>
      </c>
      <c r="L32" s="256" t="s">
        <v>10</v>
      </c>
    </row>
    <row r="33" spans="1:12">
      <c r="A33" s="256" t="s">
        <v>138</v>
      </c>
      <c r="B33" s="256">
        <v>5.8523640541175004</v>
      </c>
      <c r="C33" s="256">
        <v>9.6916384892280991</v>
      </c>
      <c r="D33" s="256">
        <v>12.0940616509414</v>
      </c>
      <c r="F33" s="256">
        <v>5.7376992755080796</v>
      </c>
      <c r="G33" s="256">
        <v>1.6243612661704001</v>
      </c>
      <c r="H33" s="256">
        <v>9.9083878957999996E-3</v>
      </c>
      <c r="I33" s="256">
        <v>1.4344248188770199</v>
      </c>
      <c r="J33" s="256">
        <v>15.069021727073199</v>
      </c>
      <c r="K33" s="256">
        <v>36.444457942738303</v>
      </c>
      <c r="L33" s="256">
        <v>51.513479669811503</v>
      </c>
    </row>
    <row r="34" spans="1:12">
      <c r="A34" s="256" t="s">
        <v>212</v>
      </c>
      <c r="B34" s="256">
        <v>0.11976961531749999</v>
      </c>
      <c r="C34" s="256">
        <v>4.1300172223687497</v>
      </c>
      <c r="D34" s="256">
        <v>0.8946934460707</v>
      </c>
      <c r="E34" s="256">
        <v>0</v>
      </c>
      <c r="F34" s="256">
        <v>0</v>
      </c>
      <c r="G34" s="256">
        <v>1.689494832574</v>
      </c>
      <c r="H34" s="256">
        <v>6.1075926729999997E-3</v>
      </c>
      <c r="I34" s="256">
        <v>3.3230107511964002</v>
      </c>
      <c r="J34" s="256">
        <v>6.1950258335531201</v>
      </c>
      <c r="K34" s="256">
        <v>10.1630934602004</v>
      </c>
      <c r="L34" s="256">
        <v>16.3581192937535</v>
      </c>
    </row>
    <row r="35" spans="1:12">
      <c r="A35" s="256" t="s">
        <v>140</v>
      </c>
      <c r="B35" s="256">
        <v>12.139093722674</v>
      </c>
      <c r="C35" s="256">
        <v>0</v>
      </c>
      <c r="D35" s="256">
        <v>0</v>
      </c>
      <c r="E35" s="256">
        <v>0</v>
      </c>
      <c r="F35" s="256">
        <v>0</v>
      </c>
      <c r="G35" s="256">
        <v>1.3508680727360001</v>
      </c>
      <c r="H35" s="256">
        <v>0.2384320247301</v>
      </c>
      <c r="I35" s="256">
        <v>0</v>
      </c>
      <c r="K35" s="256">
        <v>13.7283938201401</v>
      </c>
      <c r="L35" s="256">
        <v>13.7283938201401</v>
      </c>
    </row>
    <row r="36" spans="1:12">
      <c r="A36" s="256" t="s">
        <v>141</v>
      </c>
      <c r="B36" s="256">
        <v>9.8452476075075008</v>
      </c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K36" s="256">
        <v>9.8452476075075008</v>
      </c>
      <c r="L36" s="256">
        <v>9.8452476075075008</v>
      </c>
    </row>
    <row r="37" spans="1:12">
      <c r="A37" s="256" t="s">
        <v>213</v>
      </c>
      <c r="B37" s="256">
        <v>42.907833391588298</v>
      </c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K37" s="256">
        <v>42.907833391588298</v>
      </c>
      <c r="L37" s="256">
        <v>42.907833391588298</v>
      </c>
    </row>
    <row r="38" spans="1:12">
      <c r="A38" s="256" t="s">
        <v>143</v>
      </c>
      <c r="C38" s="256">
        <v>6.3631434451273003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K38" s="256">
        <v>6.3631434451273003</v>
      </c>
      <c r="L38" s="256">
        <v>6.4</v>
      </c>
    </row>
    <row r="39" spans="1:12">
      <c r="A39" s="256" t="s">
        <v>214</v>
      </c>
      <c r="B39" s="256">
        <v>0.46133931642010001</v>
      </c>
      <c r="D39" s="256">
        <v>0</v>
      </c>
      <c r="E39" s="256">
        <v>0</v>
      </c>
      <c r="F39" s="256">
        <v>0</v>
      </c>
      <c r="G39" s="256">
        <v>0.95264690516810002</v>
      </c>
      <c r="H39" s="256">
        <v>0</v>
      </c>
      <c r="I39" s="256">
        <v>0</v>
      </c>
      <c r="K39" s="256">
        <v>1.4139862215882</v>
      </c>
      <c r="L39" s="256">
        <v>1.4139862215882</v>
      </c>
    </row>
    <row r="40" spans="1:12">
      <c r="A40" s="256" t="s">
        <v>215</v>
      </c>
      <c r="B40" s="256">
        <v>71.325647707624896</v>
      </c>
      <c r="C40" s="256">
        <v>20.1847991567241</v>
      </c>
      <c r="D40" s="256">
        <v>12.988755097012101</v>
      </c>
      <c r="E40" s="256">
        <v>0</v>
      </c>
      <c r="F40" s="256">
        <v>5.7376992755080796</v>
      </c>
      <c r="G40" s="256">
        <v>5.6173710766485003</v>
      </c>
      <c r="H40" s="256">
        <v>0.25444800529889999</v>
      </c>
      <c r="I40" s="256">
        <v>4.7574355700734197</v>
      </c>
      <c r="J40" s="256">
        <v>44.850389616754001</v>
      </c>
      <c r="K40" s="256">
        <v>120.86615588889001</v>
      </c>
      <c r="L40" s="256">
        <v>165.71654550564401</v>
      </c>
    </row>
    <row r="41" spans="1:12">
      <c r="A41" s="256" t="s">
        <v>216</v>
      </c>
      <c r="B41" s="256">
        <v>23.9431583804922</v>
      </c>
      <c r="C41" s="256">
        <v>0</v>
      </c>
      <c r="D41" s="256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K41" s="256">
        <v>23.9431583804922</v>
      </c>
      <c r="L41" s="256">
        <v>23.9431583804922</v>
      </c>
    </row>
    <row r="42" spans="1:12">
      <c r="A42" s="256" t="s">
        <v>10</v>
      </c>
      <c r="B42" s="256">
        <v>95.268806088117103</v>
      </c>
      <c r="C42" s="256">
        <v>20.1847991567241</v>
      </c>
      <c r="D42" s="256">
        <v>12.988755097012101</v>
      </c>
      <c r="E42" s="256">
        <v>0</v>
      </c>
      <c r="F42" s="256">
        <v>5.7376992755080796</v>
      </c>
      <c r="G42" s="256">
        <v>5.6173710766485003</v>
      </c>
      <c r="H42" s="256">
        <v>0.25444800529889999</v>
      </c>
      <c r="I42" s="256">
        <v>4.7574355700734197</v>
      </c>
      <c r="J42" s="256">
        <v>44.850389616754001</v>
      </c>
      <c r="K42" s="256">
        <v>144.80931426938201</v>
      </c>
      <c r="L42" s="256">
        <v>166.11021838488099</v>
      </c>
    </row>
    <row r="43" spans="1:12">
      <c r="A43" s="256" t="s">
        <v>217</v>
      </c>
    </row>
    <row r="44" spans="1:12">
      <c r="A44" s="256" t="s">
        <v>218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L29"/>
  <sheetViews>
    <sheetView workbookViewId="0"/>
  </sheetViews>
  <sheetFormatPr baseColWidth="10" defaultColWidth="11.453125" defaultRowHeight="14.5"/>
  <cols>
    <col min="1" max="16384" width="11.453125" style="256"/>
  </cols>
  <sheetData>
    <row r="1" spans="1:12">
      <c r="A1" s="256">
        <v>2030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7.9865806915524002</v>
      </c>
      <c r="C3" s="256">
        <v>9.2211616891774</v>
      </c>
      <c r="D3" s="256">
        <v>4.1797717793542999</v>
      </c>
      <c r="F3" s="256">
        <v>7.0537868434781599</v>
      </c>
      <c r="G3" s="256">
        <v>27.7414380005239</v>
      </c>
      <c r="H3" s="256">
        <v>4.0007689276751002</v>
      </c>
      <c r="I3" s="256">
        <v>1.76344671086954</v>
      </c>
      <c r="J3" s="256">
        <v>14.106786738135799</v>
      </c>
      <c r="K3" s="256">
        <v>61.9469546426308</v>
      </c>
      <c r="L3" s="256">
        <v>76.053741380766596</v>
      </c>
    </row>
    <row r="4" spans="1:12">
      <c r="A4" s="256" t="s">
        <v>212</v>
      </c>
      <c r="B4" s="256">
        <v>4.1300172223687497</v>
      </c>
      <c r="C4" s="256">
        <v>4.1300172223687497</v>
      </c>
      <c r="D4" s="256">
        <v>0.8946934460707</v>
      </c>
      <c r="E4" s="256">
        <v>0</v>
      </c>
      <c r="F4" s="256">
        <v>0</v>
      </c>
      <c r="G4" s="256">
        <v>3.6379629672113998</v>
      </c>
      <c r="H4" s="256">
        <v>0.19343554945649999</v>
      </c>
      <c r="I4" s="256">
        <v>3.7384479607226</v>
      </c>
      <c r="J4" s="256">
        <v>6.1950258335531201</v>
      </c>
      <c r="K4" s="256">
        <v>16.724574368198699</v>
      </c>
      <c r="L4" s="256">
        <v>22.919600201751798</v>
      </c>
    </row>
    <row r="5" spans="1:12">
      <c r="A5" s="256" t="s">
        <v>140</v>
      </c>
      <c r="B5" s="256">
        <v>11.8721780932577</v>
      </c>
      <c r="C5" s="256">
        <v>0</v>
      </c>
      <c r="D5" s="256">
        <v>0</v>
      </c>
      <c r="E5" s="256">
        <v>0</v>
      </c>
      <c r="F5" s="256">
        <v>0</v>
      </c>
      <c r="G5" s="256">
        <v>2.5273881171479</v>
      </c>
      <c r="H5" s="256">
        <v>0.61166542466829998</v>
      </c>
      <c r="I5" s="256">
        <v>0</v>
      </c>
      <c r="K5" s="256">
        <v>15.0112316350739</v>
      </c>
      <c r="L5" s="256">
        <v>15.0112316350739</v>
      </c>
    </row>
    <row r="6" spans="1:12">
      <c r="A6" s="256" t="s">
        <v>141</v>
      </c>
      <c r="B6" s="256">
        <v>15.2848315075233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15.2848315075233</v>
      </c>
      <c r="L6" s="256">
        <v>15.2848315075233</v>
      </c>
    </row>
    <row r="7" spans="1:12">
      <c r="A7" s="256" t="s">
        <v>213</v>
      </c>
      <c r="B7" s="256">
        <v>45.907009040287299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45.907009040287299</v>
      </c>
      <c r="L7" s="256">
        <v>45.907009040287299</v>
      </c>
    </row>
    <row r="8" spans="1:12">
      <c r="A8" s="256" t="s">
        <v>143</v>
      </c>
      <c r="C8" s="256">
        <v>6.0856597961760004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18.776315865322498</v>
      </c>
      <c r="K8" s="256">
        <v>6.0856597961760004</v>
      </c>
      <c r="L8" s="256">
        <v>24.861975661498501</v>
      </c>
    </row>
    <row r="9" spans="1:12">
      <c r="A9" s="256" t="s">
        <v>214</v>
      </c>
      <c r="B9" s="256">
        <v>0.81988401876299999</v>
      </c>
      <c r="D9" s="256">
        <v>0</v>
      </c>
      <c r="E9" s="256">
        <v>0</v>
      </c>
      <c r="F9" s="256">
        <v>0</v>
      </c>
      <c r="G9" s="256">
        <v>1.6393711123813</v>
      </c>
      <c r="H9" s="256">
        <v>0</v>
      </c>
      <c r="I9" s="256">
        <v>0</v>
      </c>
      <c r="K9" s="256">
        <v>2.4592551311443001</v>
      </c>
      <c r="L9" s="256">
        <v>2.4592551311443001</v>
      </c>
    </row>
    <row r="10" spans="1:12">
      <c r="A10" s="256" t="s">
        <v>215</v>
      </c>
      <c r="B10" s="256">
        <v>86.000500573752504</v>
      </c>
      <c r="C10" s="256">
        <v>19.436838707722199</v>
      </c>
      <c r="D10" s="256">
        <v>5.0744652254249996</v>
      </c>
      <c r="E10" s="256">
        <v>0</v>
      </c>
      <c r="F10" s="256">
        <v>7.0537868434781599</v>
      </c>
      <c r="G10" s="256">
        <v>35.546160197264498</v>
      </c>
      <c r="H10" s="256">
        <v>4.8058699017999</v>
      </c>
      <c r="I10" s="256">
        <v>5.5018946715921402</v>
      </c>
      <c r="J10" s="256">
        <v>39.078128437011401</v>
      </c>
      <c r="K10" s="256">
        <v>163.41951612103401</v>
      </c>
      <c r="L10" s="256">
        <v>202.49764455804601</v>
      </c>
    </row>
    <row r="11" spans="1:12">
      <c r="A11" s="256" t="s">
        <v>216</v>
      </c>
      <c r="B11" s="256">
        <v>25.624889910981899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25.624889910981899</v>
      </c>
      <c r="L11" s="256">
        <v>25.624889910981899</v>
      </c>
    </row>
    <row r="12" spans="1:12">
      <c r="A12" s="256" t="s">
        <v>10</v>
      </c>
      <c r="B12" s="256">
        <v>111.625390484734</v>
      </c>
      <c r="C12" s="256">
        <v>19.436838707722199</v>
      </c>
      <c r="D12" s="256">
        <v>5.0744652254249996</v>
      </c>
      <c r="E12" s="256">
        <v>0</v>
      </c>
      <c r="F12" s="256">
        <v>7.0537868434781599</v>
      </c>
      <c r="G12" s="256">
        <v>35.546160197264498</v>
      </c>
      <c r="H12" s="256">
        <v>4.8058699017999</v>
      </c>
      <c r="I12" s="256">
        <v>5.5018946715921402</v>
      </c>
      <c r="J12" s="256">
        <v>39.078128437011401</v>
      </c>
      <c r="K12" s="256">
        <v>189.04440603201601</v>
      </c>
      <c r="L12" s="256">
        <v>228.12253446902801</v>
      </c>
    </row>
    <row r="13" spans="1:12">
      <c r="A13" s="256" t="s">
        <v>217</v>
      </c>
      <c r="K13" s="256">
        <v>0.93576088486563302</v>
      </c>
    </row>
    <row r="14" spans="1:12">
      <c r="A14" s="256" t="s">
        <v>218</v>
      </c>
    </row>
    <row r="16" spans="1:12">
      <c r="A16" s="256">
        <v>2050</v>
      </c>
    </row>
    <row r="17" spans="1:12">
      <c r="A17" s="256" t="s">
        <v>128</v>
      </c>
      <c r="B17" s="256" t="s">
        <v>57</v>
      </c>
      <c r="C17" s="256" t="s">
        <v>207</v>
      </c>
      <c r="D17" s="256" t="s">
        <v>105</v>
      </c>
      <c r="E17" s="256" t="s">
        <v>42</v>
      </c>
      <c r="F17" s="256" t="s">
        <v>134</v>
      </c>
      <c r="G17" s="256" t="s">
        <v>54</v>
      </c>
      <c r="H17" s="256" t="s">
        <v>208</v>
      </c>
      <c r="I17" s="256" t="s">
        <v>209</v>
      </c>
      <c r="J17" s="256" t="s">
        <v>210</v>
      </c>
      <c r="K17" s="256" t="s">
        <v>211</v>
      </c>
      <c r="L17" s="256" t="s">
        <v>10</v>
      </c>
    </row>
    <row r="18" spans="1:12">
      <c r="A18" s="256" t="s">
        <v>138</v>
      </c>
      <c r="B18" s="256">
        <v>5.8523640541175004</v>
      </c>
      <c r="C18" s="256">
        <v>9.6916384892280991</v>
      </c>
      <c r="D18" s="256">
        <v>12.0940616509414</v>
      </c>
      <c r="F18" s="256">
        <v>5.7376992755080796</v>
      </c>
      <c r="G18" s="256">
        <v>1.6243612661704001</v>
      </c>
      <c r="H18" s="256">
        <v>9.9083878957999996E-3</v>
      </c>
      <c r="I18" s="256">
        <v>1.4344248188770199</v>
      </c>
      <c r="J18" s="256">
        <v>15.069021727073199</v>
      </c>
      <c r="K18" s="256">
        <v>36.444457942738303</v>
      </c>
      <c r="L18" s="256">
        <v>51.513479669811503</v>
      </c>
    </row>
    <row r="19" spans="1:12">
      <c r="A19" s="256" t="s">
        <v>212</v>
      </c>
      <c r="B19" s="256">
        <v>0.11976961531749999</v>
      </c>
      <c r="C19" s="256">
        <v>4.1300172223687497</v>
      </c>
      <c r="D19" s="256">
        <v>0.8946934460707</v>
      </c>
      <c r="E19" s="256">
        <v>0</v>
      </c>
      <c r="F19" s="256">
        <v>0</v>
      </c>
      <c r="G19" s="256">
        <v>1.689494832574</v>
      </c>
      <c r="H19" s="256">
        <v>6.1075926729999997E-3</v>
      </c>
      <c r="I19" s="256">
        <v>3.3230107511964002</v>
      </c>
      <c r="J19" s="256">
        <v>6.1950258335531201</v>
      </c>
      <c r="K19" s="256">
        <v>10.1630934602004</v>
      </c>
      <c r="L19" s="256">
        <v>16.3581192937535</v>
      </c>
    </row>
    <row r="20" spans="1:12">
      <c r="A20" s="256" t="s">
        <v>140</v>
      </c>
      <c r="B20" s="256">
        <v>12.139093722674</v>
      </c>
      <c r="C20" s="256">
        <v>0</v>
      </c>
      <c r="D20" s="256">
        <v>0</v>
      </c>
      <c r="E20" s="256">
        <v>0</v>
      </c>
      <c r="F20" s="256">
        <v>0</v>
      </c>
      <c r="G20" s="256">
        <v>1.3508680727360001</v>
      </c>
      <c r="H20" s="256">
        <v>0.2384320247301</v>
      </c>
      <c r="I20" s="256">
        <v>0</v>
      </c>
      <c r="K20" s="256">
        <v>13.7283938201401</v>
      </c>
      <c r="L20" s="256">
        <v>13.7283938201401</v>
      </c>
    </row>
    <row r="21" spans="1:12">
      <c r="A21" s="256" t="s">
        <v>141</v>
      </c>
      <c r="B21" s="256">
        <v>9.8452476075075008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K21" s="256">
        <v>9.8452476075075008</v>
      </c>
      <c r="L21" s="256">
        <v>9.8452476075075008</v>
      </c>
    </row>
    <row r="22" spans="1:12">
      <c r="A22" s="256" t="s">
        <v>213</v>
      </c>
      <c r="B22" s="256">
        <v>42.907833391588298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K22" s="256">
        <v>42.907833391588298</v>
      </c>
      <c r="L22" s="256">
        <v>42.907833391588298</v>
      </c>
    </row>
    <row r="23" spans="1:12">
      <c r="A23" s="256" t="s">
        <v>143</v>
      </c>
      <c r="C23" s="256">
        <v>6.3631434451273003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K23" s="256">
        <v>6.3631434451273003</v>
      </c>
      <c r="L23" s="256">
        <v>6.4</v>
      </c>
    </row>
    <row r="24" spans="1:12">
      <c r="A24" s="256" t="s">
        <v>214</v>
      </c>
      <c r="B24" s="256">
        <v>0.46133931642010001</v>
      </c>
      <c r="D24" s="256">
        <v>0</v>
      </c>
      <c r="E24" s="256">
        <v>0</v>
      </c>
      <c r="F24" s="256">
        <v>0</v>
      </c>
      <c r="G24" s="256">
        <v>0.95264690516810002</v>
      </c>
      <c r="H24" s="256">
        <v>0</v>
      </c>
      <c r="I24" s="256">
        <v>0</v>
      </c>
      <c r="K24" s="256">
        <v>1.4139862215882</v>
      </c>
      <c r="L24" s="256">
        <v>1.4139862215882</v>
      </c>
    </row>
    <row r="25" spans="1:12">
      <c r="A25" s="256" t="s">
        <v>215</v>
      </c>
      <c r="B25" s="256">
        <v>71.325647707624896</v>
      </c>
      <c r="C25" s="256">
        <v>20.1847991567241</v>
      </c>
      <c r="D25" s="256">
        <v>12.988755097012101</v>
      </c>
      <c r="E25" s="256">
        <v>0</v>
      </c>
      <c r="F25" s="256">
        <v>5.7376992755080796</v>
      </c>
      <c r="G25" s="256">
        <v>5.6173710766485003</v>
      </c>
      <c r="H25" s="256">
        <v>0.25444800529889999</v>
      </c>
      <c r="I25" s="256">
        <v>4.7574355700734197</v>
      </c>
      <c r="J25" s="256">
        <v>44.850389616754001</v>
      </c>
      <c r="K25" s="256">
        <v>120.86615588889001</v>
      </c>
      <c r="L25" s="256">
        <v>165.71654550564401</v>
      </c>
    </row>
    <row r="26" spans="1:12">
      <c r="A26" s="256" t="s">
        <v>216</v>
      </c>
      <c r="B26" s="256">
        <v>23.9431583804922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K26" s="256">
        <v>23.9431583804922</v>
      </c>
      <c r="L26" s="256">
        <v>23.9431583804922</v>
      </c>
    </row>
    <row r="27" spans="1:12">
      <c r="A27" s="256" t="s">
        <v>10</v>
      </c>
      <c r="B27" s="256">
        <v>95.268806088117103</v>
      </c>
      <c r="C27" s="256">
        <v>20.1847991567241</v>
      </c>
      <c r="D27" s="256">
        <v>12.988755097012101</v>
      </c>
      <c r="E27" s="256">
        <v>0</v>
      </c>
      <c r="F27" s="256">
        <v>5.7376992755080796</v>
      </c>
      <c r="G27" s="256">
        <v>5.6173710766485003</v>
      </c>
      <c r="H27" s="256">
        <v>0.25444800529889999</v>
      </c>
      <c r="I27" s="256">
        <v>4.7574355700734197</v>
      </c>
      <c r="J27" s="256">
        <v>44.850389616754001</v>
      </c>
      <c r="K27" s="256">
        <v>144.80931426938201</v>
      </c>
      <c r="L27" s="256">
        <v>166.11021838488099</v>
      </c>
    </row>
    <row r="28" spans="1:12">
      <c r="A28" s="256" t="s">
        <v>217</v>
      </c>
    </row>
    <row r="29" spans="1:12">
      <c r="A29" s="256" t="s">
        <v>218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L14"/>
  <sheetViews>
    <sheetView workbookViewId="0"/>
  </sheetViews>
  <sheetFormatPr baseColWidth="10" defaultColWidth="11.453125" defaultRowHeight="14.5"/>
  <cols>
    <col min="1" max="16384" width="11.453125" style="256"/>
  </cols>
  <sheetData>
    <row r="1" spans="1:12">
      <c r="A1" s="256">
        <v>2050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5.8523640541175004</v>
      </c>
      <c r="C3" s="256">
        <v>9.6916384892280991</v>
      </c>
      <c r="D3" s="256">
        <v>12.0940616509414</v>
      </c>
      <c r="F3" s="256">
        <v>5.7376992755080796</v>
      </c>
      <c r="G3" s="256">
        <v>1.6243612661704001</v>
      </c>
      <c r="H3" s="256">
        <v>9.9083878957999996E-3</v>
      </c>
      <c r="I3" s="256">
        <v>1.4344248188770199</v>
      </c>
      <c r="J3" s="256">
        <v>15.069021727073199</v>
      </c>
      <c r="K3" s="256">
        <v>36.444457942738303</v>
      </c>
      <c r="L3" s="256">
        <v>51.513479669811503</v>
      </c>
    </row>
    <row r="4" spans="1:12">
      <c r="A4" s="256" t="s">
        <v>212</v>
      </c>
      <c r="B4" s="256">
        <v>0.11976961531749999</v>
      </c>
      <c r="C4" s="256">
        <v>4.1300172223687497</v>
      </c>
      <c r="D4" s="256">
        <v>0.8946934460707</v>
      </c>
      <c r="E4" s="256">
        <v>0</v>
      </c>
      <c r="F4" s="256">
        <v>0</v>
      </c>
      <c r="G4" s="256">
        <v>1.689494832574</v>
      </c>
      <c r="H4" s="256">
        <v>6.1075926729999997E-3</v>
      </c>
      <c r="I4" s="256">
        <v>3.3230107511964002</v>
      </c>
      <c r="J4" s="256">
        <v>6.1950258335531201</v>
      </c>
      <c r="K4" s="256">
        <v>10.1630934602004</v>
      </c>
      <c r="L4" s="256">
        <v>16.3581192937535</v>
      </c>
    </row>
    <row r="5" spans="1:12">
      <c r="A5" s="256" t="s">
        <v>140</v>
      </c>
      <c r="B5" s="256">
        <v>12.139093722674</v>
      </c>
      <c r="C5" s="256">
        <v>0</v>
      </c>
      <c r="D5" s="256">
        <v>0</v>
      </c>
      <c r="E5" s="256">
        <v>0</v>
      </c>
      <c r="F5" s="256">
        <v>0</v>
      </c>
      <c r="G5" s="256">
        <v>1.3508680727360001</v>
      </c>
      <c r="H5" s="256">
        <v>0.2384320247301</v>
      </c>
      <c r="I5" s="256">
        <v>0</v>
      </c>
      <c r="K5" s="256">
        <v>13.7283938201401</v>
      </c>
      <c r="L5" s="256">
        <v>13.7283938201401</v>
      </c>
    </row>
    <row r="6" spans="1:12">
      <c r="A6" s="256" t="s">
        <v>141</v>
      </c>
      <c r="B6" s="256">
        <v>9.8452476075075008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9.8452476075075008</v>
      </c>
      <c r="L6" s="256">
        <v>9.8452476075075008</v>
      </c>
    </row>
    <row r="7" spans="1:12">
      <c r="A7" s="256" t="s">
        <v>213</v>
      </c>
      <c r="B7" s="256">
        <v>42.907833391588298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42.907833391588298</v>
      </c>
      <c r="L7" s="256">
        <v>42.907833391588298</v>
      </c>
    </row>
    <row r="8" spans="1:12">
      <c r="A8" s="256" t="s">
        <v>143</v>
      </c>
      <c r="C8" s="256">
        <v>6.3631434451273003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K8" s="256">
        <v>6.3631434451273003</v>
      </c>
      <c r="L8" s="256">
        <v>6.4</v>
      </c>
    </row>
    <row r="9" spans="1:12">
      <c r="A9" s="256" t="s">
        <v>214</v>
      </c>
      <c r="B9" s="256">
        <v>0.46133931642010001</v>
      </c>
      <c r="D9" s="256">
        <v>0</v>
      </c>
      <c r="E9" s="256">
        <v>0</v>
      </c>
      <c r="F9" s="256">
        <v>0</v>
      </c>
      <c r="G9" s="256">
        <v>0.95264690516810002</v>
      </c>
      <c r="H9" s="256">
        <v>0</v>
      </c>
      <c r="I9" s="256">
        <v>0</v>
      </c>
      <c r="K9" s="256">
        <v>1.4139862215882</v>
      </c>
      <c r="L9" s="256">
        <v>1.4139862215882</v>
      </c>
    </row>
    <row r="10" spans="1:12">
      <c r="A10" s="256" t="s">
        <v>215</v>
      </c>
      <c r="B10" s="256">
        <v>71.325647707624896</v>
      </c>
      <c r="C10" s="256">
        <v>20.1847991567241</v>
      </c>
      <c r="D10" s="256">
        <v>12.988755097012101</v>
      </c>
      <c r="E10" s="256">
        <v>0</v>
      </c>
      <c r="F10" s="256">
        <v>5.7376992755080796</v>
      </c>
      <c r="G10" s="256">
        <v>5.6173710766485003</v>
      </c>
      <c r="H10" s="256">
        <v>0.25444800529889999</v>
      </c>
      <c r="I10" s="256">
        <v>4.7574355700734197</v>
      </c>
      <c r="J10" s="256">
        <v>44.850389616754001</v>
      </c>
      <c r="K10" s="256">
        <v>120.86615588889001</v>
      </c>
      <c r="L10" s="256">
        <v>165.71654550564401</v>
      </c>
    </row>
    <row r="11" spans="1:12">
      <c r="A11" s="256" t="s">
        <v>216</v>
      </c>
      <c r="B11" s="256">
        <v>23.9431583804922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23.9431583804922</v>
      </c>
      <c r="L11" s="256">
        <v>23.9431583804922</v>
      </c>
    </row>
    <row r="12" spans="1:12">
      <c r="A12" s="256" t="s">
        <v>10</v>
      </c>
      <c r="B12" s="256">
        <v>95.268806088117103</v>
      </c>
      <c r="C12" s="256">
        <v>20.1847991567241</v>
      </c>
      <c r="D12" s="256">
        <v>12.988755097012101</v>
      </c>
      <c r="E12" s="256">
        <v>0</v>
      </c>
      <c r="F12" s="256">
        <v>5.7376992755080796</v>
      </c>
      <c r="G12" s="256">
        <v>5.6173710766485003</v>
      </c>
      <c r="H12" s="256">
        <v>0.25444800529889999</v>
      </c>
      <c r="I12" s="256">
        <v>4.7574355700734197</v>
      </c>
      <c r="J12" s="256">
        <v>44.850389616754001</v>
      </c>
      <c r="K12" s="256">
        <v>144.80931426938201</v>
      </c>
      <c r="L12" s="256">
        <v>166.11021838488099</v>
      </c>
    </row>
    <row r="13" spans="1:12">
      <c r="A13" s="256" t="s">
        <v>217</v>
      </c>
    </row>
    <row r="14" spans="1:12">
      <c r="A14" s="256" t="s">
        <v>218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K50"/>
  <sheetViews>
    <sheetView workbookViewId="0"/>
  </sheetViews>
  <sheetFormatPr baseColWidth="10" defaultRowHeight="14.5"/>
  <sheetData>
    <row r="1" spans="1:11">
      <c r="A1" t="s">
        <v>222</v>
      </c>
    </row>
    <row r="3" spans="1:11">
      <c r="B3" t="s">
        <v>223</v>
      </c>
    </row>
    <row r="4" spans="1:11">
      <c r="C4" t="s">
        <v>54</v>
      </c>
      <c r="D4" t="s">
        <v>224</v>
      </c>
      <c r="E4" t="s">
        <v>225</v>
      </c>
      <c r="F4" t="s">
        <v>226</v>
      </c>
      <c r="G4" t="s">
        <v>134</v>
      </c>
      <c r="H4" t="s">
        <v>227</v>
      </c>
      <c r="I4" t="s">
        <v>10</v>
      </c>
      <c r="J4" t="s">
        <v>228</v>
      </c>
      <c r="K4" t="s">
        <v>229</v>
      </c>
    </row>
    <row r="5" spans="1:11">
      <c r="A5" t="s">
        <v>230</v>
      </c>
      <c r="B5" t="s">
        <v>231</v>
      </c>
      <c r="C5">
        <v>75.943574999999996</v>
      </c>
      <c r="D5">
        <v>59.147292999999998</v>
      </c>
      <c r="E5">
        <v>31.440052000000001</v>
      </c>
      <c r="F5">
        <v>0.71148400000000001</v>
      </c>
      <c r="G5">
        <v>48.420904999999998</v>
      </c>
      <c r="H5">
        <v>0</v>
      </c>
      <c r="I5">
        <v>215.663309</v>
      </c>
      <c r="J5">
        <v>1.422968</v>
      </c>
      <c r="K5">
        <v>217.086277</v>
      </c>
    </row>
    <row r="6" spans="1:11">
      <c r="B6" t="s">
        <v>232</v>
      </c>
      <c r="C6">
        <v>1.4633107999999999</v>
      </c>
      <c r="D6">
        <v>7.4991199999999994E-2</v>
      </c>
      <c r="E6">
        <v>2.9691252000000001</v>
      </c>
      <c r="F6">
        <v>0.53709240000000003</v>
      </c>
      <c r="G6">
        <v>0.22598860000000001</v>
      </c>
      <c r="H6">
        <v>3.7794E-3</v>
      </c>
      <c r="I6">
        <v>5.2742876000000001</v>
      </c>
      <c r="J6">
        <v>1.0741848000000001</v>
      </c>
      <c r="K6">
        <v>6.3484724000000003</v>
      </c>
    </row>
    <row r="7" spans="1:11">
      <c r="B7" t="s">
        <v>233</v>
      </c>
      <c r="C7">
        <v>61.531348000000001</v>
      </c>
      <c r="D7">
        <v>9.4036627999999993</v>
      </c>
      <c r="E7">
        <v>10.650235</v>
      </c>
      <c r="F7">
        <v>0.16498550000000001</v>
      </c>
      <c r="G7">
        <v>0</v>
      </c>
      <c r="H7">
        <v>12.714601999999999</v>
      </c>
      <c r="I7">
        <v>94.464833299999995</v>
      </c>
      <c r="J7">
        <v>0.32997100000000001</v>
      </c>
      <c r="K7">
        <v>94.794804299999996</v>
      </c>
    </row>
    <row r="8" spans="1:11">
      <c r="B8" t="s">
        <v>234</v>
      </c>
      <c r="C8">
        <v>1.8106469999999999</v>
      </c>
      <c r="D8">
        <v>0</v>
      </c>
      <c r="E8">
        <v>0.94022530000000004</v>
      </c>
      <c r="F8">
        <v>0.16561049999999999</v>
      </c>
      <c r="G8">
        <v>2.4927E-3</v>
      </c>
      <c r="H8">
        <v>0.2993596</v>
      </c>
      <c r="I8">
        <v>3.2183351</v>
      </c>
      <c r="J8">
        <v>0.33122099999999999</v>
      </c>
      <c r="K8">
        <v>3.5495561000000002</v>
      </c>
    </row>
    <row r="9" spans="1:11">
      <c r="B9" t="s">
        <v>10</v>
      </c>
      <c r="C9">
        <v>140.74888079999999</v>
      </c>
      <c r="D9">
        <v>68.625946999999996</v>
      </c>
      <c r="E9">
        <v>45.999637499999999</v>
      </c>
      <c r="F9">
        <v>1.5791724</v>
      </c>
      <c r="G9">
        <v>48.649386300000003</v>
      </c>
      <c r="H9">
        <v>13.017740999999999</v>
      </c>
      <c r="I9">
        <v>318.62076500000001</v>
      </c>
      <c r="J9">
        <v>3.1583448000000001</v>
      </c>
      <c r="K9">
        <v>321.77910980000001</v>
      </c>
    </row>
    <row r="11" spans="1:11">
      <c r="A11" t="s">
        <v>235</v>
      </c>
    </row>
    <row r="12" spans="1:11">
      <c r="C12" t="s">
        <v>54</v>
      </c>
      <c r="D12" t="s">
        <v>224</v>
      </c>
      <c r="E12" t="s">
        <v>225</v>
      </c>
      <c r="F12" t="s">
        <v>226</v>
      </c>
      <c r="G12" t="s">
        <v>134</v>
      </c>
      <c r="H12" t="s">
        <v>227</v>
      </c>
      <c r="I12" t="s">
        <v>10</v>
      </c>
      <c r="J12" t="s">
        <v>228</v>
      </c>
      <c r="K12" t="s">
        <v>229</v>
      </c>
    </row>
    <row r="13" spans="1:11">
      <c r="A13" t="s">
        <v>230</v>
      </c>
      <c r="B13" t="s">
        <v>231</v>
      </c>
      <c r="C13">
        <v>70.910274999999999</v>
      </c>
      <c r="D13">
        <v>51.957292000000002</v>
      </c>
      <c r="E13">
        <v>28.546569000000002</v>
      </c>
      <c r="F13">
        <v>1.3306235</v>
      </c>
      <c r="G13">
        <v>48.821179000000001</v>
      </c>
      <c r="H13">
        <v>0</v>
      </c>
      <c r="I13">
        <v>201.56593849999999</v>
      </c>
      <c r="J13">
        <v>2.6612469999999999</v>
      </c>
      <c r="K13">
        <v>204.22718549999999</v>
      </c>
    </row>
    <row r="14" spans="1:11">
      <c r="B14" t="s">
        <v>232</v>
      </c>
      <c r="C14">
        <v>1.8763993000000001</v>
      </c>
      <c r="D14">
        <v>7.4991199999999994E-2</v>
      </c>
      <c r="E14">
        <v>3.0184796</v>
      </c>
      <c r="F14">
        <v>1.0201834000000001</v>
      </c>
      <c r="G14">
        <v>0.58581930000000004</v>
      </c>
      <c r="H14">
        <v>5.1790799999999998E-2</v>
      </c>
      <c r="I14">
        <v>6.6276636</v>
      </c>
      <c r="J14">
        <v>2.0403668000000001</v>
      </c>
      <c r="K14">
        <v>8.6680303999999992</v>
      </c>
    </row>
    <row r="15" spans="1:11">
      <c r="B15" t="s">
        <v>233</v>
      </c>
      <c r="C15">
        <v>57.179420999999998</v>
      </c>
      <c r="D15">
        <v>7.3662149000000001</v>
      </c>
      <c r="E15">
        <v>10.201407</v>
      </c>
      <c r="F15">
        <v>0.27936349999999999</v>
      </c>
      <c r="G15">
        <v>0</v>
      </c>
      <c r="H15">
        <v>13.177293000000001</v>
      </c>
      <c r="I15">
        <v>88.203699400000005</v>
      </c>
      <c r="J15">
        <v>0.55872699999999997</v>
      </c>
      <c r="K15">
        <v>88.762426399999995</v>
      </c>
    </row>
    <row r="16" spans="1:11">
      <c r="B16" t="s">
        <v>234</v>
      </c>
      <c r="C16">
        <v>2.930526</v>
      </c>
      <c r="D16">
        <v>0</v>
      </c>
      <c r="E16">
        <v>1.1283666000000001</v>
      </c>
      <c r="F16">
        <v>0.2126458</v>
      </c>
      <c r="G16">
        <v>5.93565E-2</v>
      </c>
      <c r="H16">
        <v>0.53837970000000002</v>
      </c>
      <c r="I16">
        <v>4.8692745999999998</v>
      </c>
      <c r="J16">
        <v>0.42529159999999999</v>
      </c>
      <c r="K16">
        <v>5.2945662000000002</v>
      </c>
    </row>
    <row r="17" spans="1:11">
      <c r="B17" t="s">
        <v>10</v>
      </c>
      <c r="C17">
        <v>132.89662129999999</v>
      </c>
      <c r="D17">
        <v>59.398498099999998</v>
      </c>
      <c r="E17">
        <v>42.8948222</v>
      </c>
      <c r="F17">
        <v>2.8428162000000001</v>
      </c>
      <c r="G17">
        <v>49.466354799999998</v>
      </c>
      <c r="H17">
        <v>13.7674635</v>
      </c>
      <c r="I17">
        <v>301.26657610000001</v>
      </c>
      <c r="J17">
        <v>5.6856324000000003</v>
      </c>
      <c r="K17">
        <v>306.95220849999998</v>
      </c>
    </row>
    <row r="19" spans="1:11">
      <c r="A19" t="s">
        <v>236</v>
      </c>
    </row>
    <row r="20" spans="1:11">
      <c r="C20" t="s">
        <v>54</v>
      </c>
      <c r="D20" t="s">
        <v>224</v>
      </c>
      <c r="E20" t="s">
        <v>225</v>
      </c>
      <c r="F20" t="s">
        <v>226</v>
      </c>
      <c r="G20" t="s">
        <v>134</v>
      </c>
      <c r="H20" t="s">
        <v>227</v>
      </c>
      <c r="I20" t="s">
        <v>10</v>
      </c>
      <c r="J20" t="s">
        <v>228</v>
      </c>
      <c r="K20" t="s">
        <v>229</v>
      </c>
    </row>
    <row r="21" spans="1:11">
      <c r="A21" t="s">
        <v>230</v>
      </c>
      <c r="B21" t="s">
        <v>231</v>
      </c>
      <c r="C21">
        <v>64.233862999999999</v>
      </c>
      <c r="D21">
        <v>38.044361000000002</v>
      </c>
      <c r="E21">
        <v>26.340436</v>
      </c>
      <c r="F21">
        <v>2.6082527</v>
      </c>
      <c r="G21">
        <v>48.557799000000003</v>
      </c>
      <c r="H21">
        <v>0</v>
      </c>
      <c r="I21">
        <v>179.7847117</v>
      </c>
      <c r="J21">
        <v>5.2165054</v>
      </c>
      <c r="K21">
        <v>185.00121709999999</v>
      </c>
    </row>
    <row r="22" spans="1:11">
      <c r="B22" t="s">
        <v>232</v>
      </c>
      <c r="C22">
        <v>2.0694583</v>
      </c>
      <c r="D22">
        <v>7.4991199999999994E-2</v>
      </c>
      <c r="E22">
        <v>3.0582562000000002</v>
      </c>
      <c r="F22">
        <v>1.5053761999999999</v>
      </c>
      <c r="G22">
        <v>0.93088789999999999</v>
      </c>
      <c r="H22">
        <v>0.21171490000000001</v>
      </c>
      <c r="I22">
        <v>7.8506847000000004</v>
      </c>
      <c r="J22">
        <v>3.0107523999999999</v>
      </c>
      <c r="K22">
        <v>10.8614371</v>
      </c>
    </row>
    <row r="23" spans="1:11">
      <c r="B23" t="s">
        <v>233</v>
      </c>
      <c r="C23">
        <v>46.32461</v>
      </c>
      <c r="D23">
        <v>5.0388058999999998</v>
      </c>
      <c r="E23">
        <v>9.3020040000000002</v>
      </c>
      <c r="F23">
        <v>0.40639150000000002</v>
      </c>
      <c r="G23">
        <v>0</v>
      </c>
      <c r="H23">
        <v>17.500266</v>
      </c>
      <c r="I23">
        <v>78.572077399999998</v>
      </c>
      <c r="J23">
        <v>0.81278300000000003</v>
      </c>
      <c r="K23">
        <v>79.384860399999994</v>
      </c>
    </row>
    <row r="24" spans="1:11">
      <c r="B24" t="s">
        <v>234</v>
      </c>
      <c r="C24">
        <v>3.5608468000000002</v>
      </c>
      <c r="D24">
        <v>0</v>
      </c>
      <c r="E24">
        <v>1.3056243000000001</v>
      </c>
      <c r="F24">
        <v>0.26464929999999998</v>
      </c>
      <c r="G24">
        <v>0.27635880000000002</v>
      </c>
      <c r="H24">
        <v>1.0712090999999999</v>
      </c>
      <c r="I24">
        <v>6.4786883</v>
      </c>
      <c r="J24">
        <v>0.52929859999999995</v>
      </c>
      <c r="K24">
        <v>7.0079868999999997</v>
      </c>
    </row>
    <row r="25" spans="1:11">
      <c r="B25" t="s">
        <v>10</v>
      </c>
      <c r="C25">
        <v>116.18877809999999</v>
      </c>
      <c r="D25">
        <v>43.158158100000001</v>
      </c>
      <c r="E25">
        <v>40.006320500000001</v>
      </c>
      <c r="F25">
        <v>4.7846697000000002</v>
      </c>
      <c r="G25">
        <v>49.765045700000002</v>
      </c>
      <c r="H25">
        <v>18.783190000000001</v>
      </c>
      <c r="I25">
        <v>272.68616209999999</v>
      </c>
      <c r="J25">
        <v>9.5693394000000005</v>
      </c>
      <c r="K25">
        <v>282.25550149999998</v>
      </c>
    </row>
    <row r="27" spans="1:11">
      <c r="A27" t="s">
        <v>237</v>
      </c>
    </row>
    <row r="28" spans="1:11">
      <c r="C28" t="s">
        <v>54</v>
      </c>
      <c r="D28" t="s">
        <v>224</v>
      </c>
      <c r="E28" t="s">
        <v>225</v>
      </c>
      <c r="F28" t="s">
        <v>226</v>
      </c>
      <c r="G28" t="s">
        <v>134</v>
      </c>
      <c r="H28" t="s">
        <v>227</v>
      </c>
      <c r="I28" t="s">
        <v>10</v>
      </c>
      <c r="J28" t="s">
        <v>228</v>
      </c>
      <c r="K28" t="s">
        <v>229</v>
      </c>
    </row>
    <row r="29" spans="1:11">
      <c r="A29" t="s">
        <v>230</v>
      </c>
      <c r="B29" t="s">
        <v>231</v>
      </c>
      <c r="C29">
        <v>57.531471000000003</v>
      </c>
      <c r="D29">
        <v>15.686718000000001</v>
      </c>
      <c r="E29">
        <v>26.169868000000001</v>
      </c>
      <c r="F29">
        <v>4.4080085999999996</v>
      </c>
      <c r="G29">
        <v>51.399140000000003</v>
      </c>
      <c r="H29">
        <v>0</v>
      </c>
      <c r="I29">
        <v>155.19520560000001</v>
      </c>
      <c r="J29">
        <v>8.8160171999999992</v>
      </c>
      <c r="K29">
        <v>164.01122280000001</v>
      </c>
    </row>
    <row r="30" spans="1:11">
      <c r="B30" t="s">
        <v>232</v>
      </c>
      <c r="C30">
        <v>2.1909060999999999</v>
      </c>
      <c r="D30">
        <v>7.4991199999999994E-2</v>
      </c>
      <c r="E30">
        <v>3.0938952</v>
      </c>
      <c r="F30">
        <v>1.9729159999999999</v>
      </c>
      <c r="G30">
        <v>1.1406442000000001</v>
      </c>
      <c r="H30">
        <v>0.4212822</v>
      </c>
      <c r="I30">
        <v>8.8946348999999998</v>
      </c>
      <c r="J30">
        <v>3.9458319999999998</v>
      </c>
      <c r="K30">
        <v>12.840466899999999</v>
      </c>
    </row>
    <row r="31" spans="1:11">
      <c r="B31" t="s">
        <v>233</v>
      </c>
      <c r="C31">
        <v>36.724297999999997</v>
      </c>
      <c r="D31">
        <v>2.6175671</v>
      </c>
      <c r="E31">
        <v>8.4114698000000008</v>
      </c>
      <c r="F31">
        <v>0.57285299999999995</v>
      </c>
      <c r="G31">
        <v>0</v>
      </c>
      <c r="H31">
        <v>21.109458</v>
      </c>
      <c r="I31">
        <v>69.435645899999997</v>
      </c>
      <c r="J31">
        <v>1.1457059999999999</v>
      </c>
      <c r="K31">
        <v>70.581351900000001</v>
      </c>
    </row>
    <row r="32" spans="1:11">
      <c r="B32" t="s">
        <v>234</v>
      </c>
      <c r="C32">
        <v>3.7557597999999999</v>
      </c>
      <c r="D32">
        <v>0</v>
      </c>
      <c r="E32">
        <v>1.4353636999999999</v>
      </c>
      <c r="F32">
        <v>0.34315099999999998</v>
      </c>
      <c r="G32">
        <v>0.55239419999999995</v>
      </c>
      <c r="H32">
        <v>1.9032347999999999</v>
      </c>
      <c r="I32">
        <v>7.9899034999999996</v>
      </c>
      <c r="J32">
        <v>0.68630199999999997</v>
      </c>
      <c r="K32">
        <v>8.6762055</v>
      </c>
    </row>
    <row r="33" spans="1:11">
      <c r="B33" t="s">
        <v>10</v>
      </c>
      <c r="C33">
        <v>100.2024349</v>
      </c>
      <c r="D33">
        <v>18.379276300000001</v>
      </c>
      <c r="E33">
        <v>39.110596700000002</v>
      </c>
      <c r="F33">
        <v>7.2969286000000002</v>
      </c>
      <c r="G33">
        <v>53.092178400000002</v>
      </c>
      <c r="H33">
        <v>23.433975</v>
      </c>
      <c r="I33">
        <v>241.5153899</v>
      </c>
      <c r="J33">
        <v>14.5938572</v>
      </c>
      <c r="K33">
        <v>256.1092471</v>
      </c>
    </row>
    <row r="35" spans="1:11">
      <c r="A35" t="s">
        <v>238</v>
      </c>
    </row>
    <row r="36" spans="1:11">
      <c r="C36" t="s">
        <v>54</v>
      </c>
      <c r="D36" t="s">
        <v>224</v>
      </c>
      <c r="E36" t="s">
        <v>225</v>
      </c>
      <c r="F36" t="s">
        <v>226</v>
      </c>
      <c r="G36" t="s">
        <v>134</v>
      </c>
      <c r="H36" t="s">
        <v>227</v>
      </c>
      <c r="I36" t="s">
        <v>10</v>
      </c>
      <c r="J36" t="s">
        <v>228</v>
      </c>
      <c r="K36" t="s">
        <v>229</v>
      </c>
    </row>
    <row r="37" spans="1:11">
      <c r="A37" t="s">
        <v>230</v>
      </c>
      <c r="B37" t="s">
        <v>231</v>
      </c>
      <c r="C37">
        <v>22.234912999999999</v>
      </c>
      <c r="D37">
        <v>1.5291052999999999</v>
      </c>
      <c r="E37">
        <v>24.232078000000001</v>
      </c>
      <c r="F37">
        <v>8.1830636000000005</v>
      </c>
      <c r="G37">
        <v>45.880267000000003</v>
      </c>
      <c r="H37">
        <v>1.3454208999999999</v>
      </c>
      <c r="I37">
        <v>103.4048478</v>
      </c>
      <c r="J37">
        <v>16.366127200000001</v>
      </c>
      <c r="K37">
        <v>119.77097500000001</v>
      </c>
    </row>
    <row r="38" spans="1:11">
      <c r="B38" t="s">
        <v>232</v>
      </c>
      <c r="C38">
        <v>2.3466241999999999</v>
      </c>
      <c r="D38">
        <v>7.4991199999999994E-2</v>
      </c>
      <c r="E38">
        <v>3.1542509999999999</v>
      </c>
      <c r="F38">
        <v>2.7957477000000002</v>
      </c>
      <c r="G38">
        <v>1.4106574999999999</v>
      </c>
      <c r="H38">
        <v>0.83128880000000005</v>
      </c>
      <c r="I38">
        <v>10.613560400000001</v>
      </c>
      <c r="J38">
        <v>5.5914954000000003</v>
      </c>
      <c r="K38">
        <v>16.2050558</v>
      </c>
    </row>
    <row r="39" spans="1:11">
      <c r="B39" t="s">
        <v>233</v>
      </c>
      <c r="C39">
        <v>25.554660999999999</v>
      </c>
      <c r="D39">
        <v>1.3862036</v>
      </c>
      <c r="E39">
        <v>6.4436308999999996</v>
      </c>
      <c r="F39">
        <v>0.93348260000000005</v>
      </c>
      <c r="G39">
        <v>0</v>
      </c>
      <c r="H39">
        <v>18.185676000000001</v>
      </c>
      <c r="I39">
        <v>52.503654099999999</v>
      </c>
      <c r="J39">
        <v>1.8669652000000001</v>
      </c>
      <c r="K39">
        <v>54.370619300000001</v>
      </c>
    </row>
    <row r="40" spans="1:11">
      <c r="B40" t="s">
        <v>234</v>
      </c>
      <c r="C40">
        <v>3.9274494999999998</v>
      </c>
      <c r="D40">
        <v>0</v>
      </c>
      <c r="E40">
        <v>1.5742809</v>
      </c>
      <c r="F40">
        <v>0.54902759999999995</v>
      </c>
      <c r="G40">
        <v>1.0674633</v>
      </c>
      <c r="H40">
        <v>3.7607020000000002</v>
      </c>
      <c r="I40">
        <v>10.8789233</v>
      </c>
      <c r="J40">
        <v>1.0980551999999999</v>
      </c>
      <c r="K40">
        <v>11.9769785</v>
      </c>
    </row>
    <row r="41" spans="1:11">
      <c r="B41" t="s">
        <v>10</v>
      </c>
      <c r="C41">
        <v>54.063647699999997</v>
      </c>
      <c r="D41">
        <v>2.9903000999999998</v>
      </c>
      <c r="E41">
        <v>35.404240799999997</v>
      </c>
      <c r="F41">
        <v>12.4613215</v>
      </c>
      <c r="G41">
        <v>48.358387800000003</v>
      </c>
      <c r="H41">
        <v>24.123087699999999</v>
      </c>
      <c r="I41">
        <v>177.40098560000001</v>
      </c>
      <c r="J41">
        <v>24.922643000000001</v>
      </c>
      <c r="K41">
        <v>202.32362860000001</v>
      </c>
    </row>
    <row r="43" spans="1:11">
      <c r="B43" t="s">
        <v>239</v>
      </c>
    </row>
    <row r="44" spans="1:11">
      <c r="C44" t="s">
        <v>54</v>
      </c>
      <c r="D44" t="s">
        <v>224</v>
      </c>
      <c r="E44" t="s">
        <v>225</v>
      </c>
      <c r="F44" t="s">
        <v>226</v>
      </c>
      <c r="G44" t="s">
        <v>134</v>
      </c>
      <c r="H44" t="s">
        <v>227</v>
      </c>
      <c r="I44" t="s">
        <v>10</v>
      </c>
      <c r="J44" t="s">
        <v>228</v>
      </c>
      <c r="K44" t="s">
        <v>229</v>
      </c>
    </row>
    <row r="45" spans="1:11">
      <c r="A45" t="s">
        <v>230</v>
      </c>
      <c r="B45" t="s">
        <v>231</v>
      </c>
      <c r="C45">
        <v>3.0888198</v>
      </c>
      <c r="D45">
        <v>1.1872600000000001E-2</v>
      </c>
      <c r="E45">
        <v>19.294653</v>
      </c>
      <c r="F45">
        <v>9.7085719000000008</v>
      </c>
      <c r="G45">
        <v>33.971479000000002</v>
      </c>
      <c r="H45">
        <v>1.666364</v>
      </c>
      <c r="I45">
        <v>67.741760299999996</v>
      </c>
      <c r="J45">
        <v>19.417143800000002</v>
      </c>
      <c r="K45">
        <v>87.158904100000001</v>
      </c>
    </row>
    <row r="46" spans="1:11">
      <c r="B46" t="s">
        <v>232</v>
      </c>
      <c r="C46">
        <v>2.4270782</v>
      </c>
      <c r="D46">
        <v>7.4991199999999994E-2</v>
      </c>
      <c r="E46">
        <v>3.1854347000000001</v>
      </c>
      <c r="F46">
        <v>3.2323195</v>
      </c>
      <c r="G46">
        <v>1.4911114999999999</v>
      </c>
      <c r="H46">
        <v>1.0726507000000001</v>
      </c>
      <c r="I46">
        <v>11.4835858</v>
      </c>
      <c r="J46">
        <v>6.464639</v>
      </c>
      <c r="K46">
        <v>17.948224799999998</v>
      </c>
    </row>
    <row r="47" spans="1:11">
      <c r="B47" t="s">
        <v>233</v>
      </c>
      <c r="C47">
        <v>7.6454529999999998</v>
      </c>
      <c r="D47">
        <v>0.26575090000000001</v>
      </c>
      <c r="E47">
        <v>6.5657907</v>
      </c>
      <c r="F47">
        <v>3.0998155999999999</v>
      </c>
      <c r="G47">
        <v>0</v>
      </c>
      <c r="H47">
        <v>13.403691</v>
      </c>
      <c r="I47">
        <v>30.980501199999999</v>
      </c>
      <c r="J47">
        <v>6.1996311999999998</v>
      </c>
      <c r="K47">
        <v>37.180132399999998</v>
      </c>
    </row>
    <row r="48" spans="1:11">
      <c r="B48" t="s">
        <v>234</v>
      </c>
      <c r="C48">
        <v>4.0471668999999997</v>
      </c>
      <c r="D48">
        <v>0</v>
      </c>
      <c r="E48">
        <v>1.6206830000000001</v>
      </c>
      <c r="F48">
        <v>0.73463590000000001</v>
      </c>
      <c r="G48">
        <v>1.4266155</v>
      </c>
      <c r="H48">
        <v>5.0775933999999996</v>
      </c>
      <c r="I48">
        <v>12.906694699999999</v>
      </c>
      <c r="J48">
        <v>1.4692718</v>
      </c>
      <c r="K48">
        <v>14.375966500000001</v>
      </c>
    </row>
    <row r="49" spans="2:11">
      <c r="B49" t="s">
        <v>10</v>
      </c>
      <c r="C49">
        <v>17.2085179</v>
      </c>
      <c r="D49">
        <v>0.3526147</v>
      </c>
      <c r="E49">
        <v>30.666561399999999</v>
      </c>
      <c r="F49">
        <v>16.775342899999998</v>
      </c>
      <c r="G49">
        <v>36.889206000000001</v>
      </c>
      <c r="H49">
        <v>21.220299099999998</v>
      </c>
      <c r="I49">
        <v>123.112542</v>
      </c>
      <c r="J49">
        <v>33.550685799999997</v>
      </c>
      <c r="K49">
        <v>156.66322779999999</v>
      </c>
    </row>
    <row r="50" spans="2:11">
      <c r="C50">
        <v>0.109844014716515</v>
      </c>
      <c r="D50">
        <v>2.2507815327931099E-3</v>
      </c>
      <c r="E50">
        <v>0.19574830565312801</v>
      </c>
      <c r="F50">
        <v>0.107079007215502</v>
      </c>
      <c r="G50">
        <v>0.23546818559804999</v>
      </c>
      <c r="H50">
        <v>0.13545169085300801</v>
      </c>
      <c r="I50">
        <v>0.78584198556899598</v>
      </c>
      <c r="J50">
        <v>0.21415801443100399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A1:K42"/>
  <sheetViews>
    <sheetView workbookViewId="0"/>
  </sheetViews>
  <sheetFormatPr baseColWidth="10" defaultColWidth="11.453125" defaultRowHeight="14.5"/>
  <cols>
    <col min="1" max="16384" width="11.453125" style="256"/>
  </cols>
  <sheetData>
    <row r="1" spans="1:11">
      <c r="A1" s="256" t="s">
        <v>222</v>
      </c>
    </row>
    <row r="3" spans="1:11">
      <c r="A3" s="256" t="s">
        <v>235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70.910274999999999</v>
      </c>
      <c r="D5" s="256">
        <v>51.957292000000002</v>
      </c>
      <c r="E5" s="256">
        <v>28.546569000000002</v>
      </c>
      <c r="F5" s="256">
        <v>1.3306235</v>
      </c>
      <c r="G5" s="256">
        <v>48.821179000000001</v>
      </c>
      <c r="H5" s="256">
        <v>0</v>
      </c>
      <c r="I5" s="256">
        <v>201.56593849999999</v>
      </c>
      <c r="J5" s="256">
        <v>2.6612469999999999</v>
      </c>
      <c r="K5" s="256">
        <v>204.22718549999999</v>
      </c>
    </row>
    <row r="6" spans="1:11">
      <c r="B6" s="256" t="s">
        <v>232</v>
      </c>
      <c r="C6" s="256">
        <v>1.8763993000000001</v>
      </c>
      <c r="D6" s="256">
        <v>7.4991199999999994E-2</v>
      </c>
      <c r="E6" s="256">
        <v>3.0184796</v>
      </c>
      <c r="F6" s="256">
        <v>1.0201834000000001</v>
      </c>
      <c r="G6" s="256">
        <v>0.58581930000000004</v>
      </c>
      <c r="H6" s="256">
        <v>5.1790799999999998E-2</v>
      </c>
      <c r="I6" s="256">
        <v>6.6276636</v>
      </c>
      <c r="J6" s="256">
        <v>2.0403668000000001</v>
      </c>
      <c r="K6" s="256">
        <v>8.6680303999999992</v>
      </c>
    </row>
    <row r="7" spans="1:11">
      <c r="B7" s="256" t="s">
        <v>233</v>
      </c>
      <c r="C7" s="256">
        <v>57.179420999999998</v>
      </c>
      <c r="D7" s="256">
        <v>7.3662149000000001</v>
      </c>
      <c r="E7" s="256">
        <v>10.201407</v>
      </c>
      <c r="F7" s="256">
        <v>0.27936349999999999</v>
      </c>
      <c r="G7" s="256">
        <v>0</v>
      </c>
      <c r="H7" s="256">
        <v>13.177293000000001</v>
      </c>
      <c r="I7" s="256">
        <v>88.203699400000005</v>
      </c>
      <c r="J7" s="256">
        <v>0.55872699999999997</v>
      </c>
      <c r="K7" s="256">
        <v>88.762426399999995</v>
      </c>
    </row>
    <row r="8" spans="1:11">
      <c r="B8" s="256" t="s">
        <v>234</v>
      </c>
      <c r="C8" s="256">
        <v>2.930526</v>
      </c>
      <c r="D8" s="256">
        <v>0</v>
      </c>
      <c r="E8" s="256">
        <v>1.1283666000000001</v>
      </c>
      <c r="F8" s="256">
        <v>0.2126458</v>
      </c>
      <c r="G8" s="256">
        <v>5.93565E-2</v>
      </c>
      <c r="H8" s="256">
        <v>0.53837970000000002</v>
      </c>
      <c r="I8" s="256">
        <v>4.8692745999999998</v>
      </c>
      <c r="J8" s="256">
        <v>0.42529159999999999</v>
      </c>
      <c r="K8" s="256">
        <v>5.2945662000000002</v>
      </c>
    </row>
    <row r="9" spans="1:11">
      <c r="B9" s="256" t="s">
        <v>10</v>
      </c>
      <c r="C9" s="256">
        <v>132.89662129999999</v>
      </c>
      <c r="D9" s="256">
        <v>59.398498099999998</v>
      </c>
      <c r="E9" s="256">
        <v>42.8948222</v>
      </c>
      <c r="F9" s="256">
        <v>2.8428162000000001</v>
      </c>
      <c r="G9" s="256">
        <v>49.466354799999998</v>
      </c>
      <c r="H9" s="256">
        <v>13.7674635</v>
      </c>
      <c r="I9" s="256">
        <v>301.26657610000001</v>
      </c>
      <c r="J9" s="256">
        <v>5.6856324000000003</v>
      </c>
      <c r="K9" s="256">
        <v>306.95220849999998</v>
      </c>
    </row>
    <row r="11" spans="1:11">
      <c r="A11" s="256" t="s">
        <v>236</v>
      </c>
    </row>
    <row r="12" spans="1:11">
      <c r="C12" s="256" t="s">
        <v>54</v>
      </c>
      <c r="D12" s="256" t="s">
        <v>224</v>
      </c>
      <c r="E12" s="256" t="s">
        <v>225</v>
      </c>
      <c r="F12" s="256" t="s">
        <v>226</v>
      </c>
      <c r="G12" s="256" t="s">
        <v>134</v>
      </c>
      <c r="H12" s="256" t="s">
        <v>227</v>
      </c>
      <c r="I12" s="256" t="s">
        <v>10</v>
      </c>
      <c r="J12" s="256" t="s">
        <v>228</v>
      </c>
      <c r="K12" s="256" t="s">
        <v>229</v>
      </c>
    </row>
    <row r="13" spans="1:11">
      <c r="A13" s="256" t="s">
        <v>230</v>
      </c>
      <c r="B13" s="256" t="s">
        <v>231</v>
      </c>
      <c r="C13" s="256">
        <v>64.233862999999999</v>
      </c>
      <c r="D13" s="256">
        <v>38.044361000000002</v>
      </c>
      <c r="E13" s="256">
        <v>26.340436</v>
      </c>
      <c r="F13" s="256">
        <v>2.6082527</v>
      </c>
      <c r="G13" s="256">
        <v>48.557799000000003</v>
      </c>
      <c r="H13" s="256">
        <v>0</v>
      </c>
      <c r="I13" s="256">
        <v>179.7847117</v>
      </c>
      <c r="J13" s="256">
        <v>5.2165054</v>
      </c>
      <c r="K13" s="256">
        <v>185.00121709999999</v>
      </c>
    </row>
    <row r="14" spans="1:11">
      <c r="B14" s="256" t="s">
        <v>232</v>
      </c>
      <c r="C14" s="256">
        <v>2.0694583</v>
      </c>
      <c r="D14" s="256">
        <v>7.4991199999999994E-2</v>
      </c>
      <c r="E14" s="256">
        <v>3.0582562000000002</v>
      </c>
      <c r="F14" s="256">
        <v>1.5053761999999999</v>
      </c>
      <c r="G14" s="256">
        <v>0.93088789999999999</v>
      </c>
      <c r="H14" s="256">
        <v>0.21171490000000001</v>
      </c>
      <c r="I14" s="256">
        <v>7.8506847000000004</v>
      </c>
      <c r="J14" s="256">
        <v>3.0107523999999999</v>
      </c>
      <c r="K14" s="256">
        <v>10.8614371</v>
      </c>
    </row>
    <row r="15" spans="1:11">
      <c r="B15" s="256" t="s">
        <v>233</v>
      </c>
      <c r="C15" s="256">
        <v>46.32461</v>
      </c>
      <c r="D15" s="256">
        <v>5.0388058999999998</v>
      </c>
      <c r="E15" s="256">
        <v>9.3020040000000002</v>
      </c>
      <c r="F15" s="256">
        <v>0.40639150000000002</v>
      </c>
      <c r="G15" s="256">
        <v>0</v>
      </c>
      <c r="H15" s="256">
        <v>17.500266</v>
      </c>
      <c r="I15" s="256">
        <v>78.572077399999998</v>
      </c>
      <c r="J15" s="256">
        <v>0.81278300000000003</v>
      </c>
      <c r="K15" s="256">
        <v>79.384860399999994</v>
      </c>
    </row>
    <row r="16" spans="1:11">
      <c r="B16" s="256" t="s">
        <v>234</v>
      </c>
      <c r="C16" s="256">
        <v>3.5608468000000002</v>
      </c>
      <c r="D16" s="256">
        <v>0</v>
      </c>
      <c r="E16" s="256">
        <v>1.3056243000000001</v>
      </c>
      <c r="F16" s="256">
        <v>0.26464929999999998</v>
      </c>
      <c r="G16" s="256">
        <v>0.27635880000000002</v>
      </c>
      <c r="H16" s="256">
        <v>1.0712090999999999</v>
      </c>
      <c r="I16" s="256">
        <v>6.4786883</v>
      </c>
      <c r="J16" s="256">
        <v>0.52929859999999995</v>
      </c>
      <c r="K16" s="256">
        <v>7.0079868999999997</v>
      </c>
    </row>
    <row r="17" spans="1:11">
      <c r="B17" s="256" t="s">
        <v>10</v>
      </c>
      <c r="C17" s="256">
        <v>116.18877809999999</v>
      </c>
      <c r="D17" s="256">
        <v>43.158158100000001</v>
      </c>
      <c r="E17" s="256">
        <v>40.006320500000001</v>
      </c>
      <c r="F17" s="256">
        <v>4.7846697000000002</v>
      </c>
      <c r="G17" s="256">
        <v>49.765045700000002</v>
      </c>
      <c r="H17" s="256">
        <v>18.783190000000001</v>
      </c>
      <c r="I17" s="256">
        <v>272.68616209999999</v>
      </c>
      <c r="J17" s="256">
        <v>9.5693394000000005</v>
      </c>
      <c r="K17" s="256">
        <v>282.25550149999998</v>
      </c>
    </row>
    <row r="19" spans="1:11">
      <c r="A19" s="256" t="s">
        <v>237</v>
      </c>
    </row>
    <row r="20" spans="1:11">
      <c r="C20" s="256" t="s">
        <v>54</v>
      </c>
      <c r="D20" s="256" t="s">
        <v>224</v>
      </c>
      <c r="E20" s="256" t="s">
        <v>225</v>
      </c>
      <c r="F20" s="256" t="s">
        <v>226</v>
      </c>
      <c r="G20" s="256" t="s">
        <v>134</v>
      </c>
      <c r="H20" s="256" t="s">
        <v>227</v>
      </c>
      <c r="I20" s="256" t="s">
        <v>10</v>
      </c>
      <c r="J20" s="256" t="s">
        <v>228</v>
      </c>
      <c r="K20" s="256" t="s">
        <v>229</v>
      </c>
    </row>
    <row r="21" spans="1:11">
      <c r="A21" s="256" t="s">
        <v>230</v>
      </c>
      <c r="B21" s="256" t="s">
        <v>231</v>
      </c>
      <c r="C21" s="256">
        <v>57.531471000000003</v>
      </c>
      <c r="D21" s="256">
        <v>15.686718000000001</v>
      </c>
      <c r="E21" s="256">
        <v>26.169868000000001</v>
      </c>
      <c r="F21" s="256">
        <v>4.4080085999999996</v>
      </c>
      <c r="G21" s="256">
        <v>51.399140000000003</v>
      </c>
      <c r="H21" s="256">
        <v>0</v>
      </c>
      <c r="I21" s="256">
        <v>155.19520560000001</v>
      </c>
      <c r="J21" s="256">
        <v>8.8160171999999992</v>
      </c>
      <c r="K21" s="256">
        <v>164.01122280000001</v>
      </c>
    </row>
    <row r="22" spans="1:11">
      <c r="B22" s="256" t="s">
        <v>232</v>
      </c>
      <c r="C22" s="256">
        <v>2.1909060999999999</v>
      </c>
      <c r="D22" s="256">
        <v>7.4991199999999994E-2</v>
      </c>
      <c r="E22" s="256">
        <v>3.0938952</v>
      </c>
      <c r="F22" s="256">
        <v>1.9729159999999999</v>
      </c>
      <c r="G22" s="256">
        <v>1.1406442000000001</v>
      </c>
      <c r="H22" s="256">
        <v>0.4212822</v>
      </c>
      <c r="I22" s="256">
        <v>8.8946348999999998</v>
      </c>
      <c r="J22" s="256">
        <v>3.9458319999999998</v>
      </c>
      <c r="K22" s="256">
        <v>12.840466899999999</v>
      </c>
    </row>
    <row r="23" spans="1:11">
      <c r="B23" s="256" t="s">
        <v>233</v>
      </c>
      <c r="C23" s="256">
        <v>36.724297999999997</v>
      </c>
      <c r="D23" s="256">
        <v>2.6175671</v>
      </c>
      <c r="E23" s="256">
        <v>8.4114698000000008</v>
      </c>
      <c r="F23" s="256">
        <v>0.57285299999999995</v>
      </c>
      <c r="G23" s="256">
        <v>0</v>
      </c>
      <c r="H23" s="256">
        <v>21.109458</v>
      </c>
      <c r="I23" s="256">
        <v>69.435645899999997</v>
      </c>
      <c r="J23" s="256">
        <v>1.1457059999999999</v>
      </c>
      <c r="K23" s="256">
        <v>70.581351900000001</v>
      </c>
    </row>
    <row r="24" spans="1:11">
      <c r="B24" s="256" t="s">
        <v>234</v>
      </c>
      <c r="C24" s="256">
        <v>3.7557597999999999</v>
      </c>
      <c r="D24" s="256">
        <v>0</v>
      </c>
      <c r="E24" s="256">
        <v>1.4353636999999999</v>
      </c>
      <c r="F24" s="256">
        <v>0.34315099999999998</v>
      </c>
      <c r="G24" s="256">
        <v>0.55239419999999995</v>
      </c>
      <c r="H24" s="256">
        <v>1.9032347999999999</v>
      </c>
      <c r="I24" s="256">
        <v>7.9899034999999996</v>
      </c>
      <c r="J24" s="256">
        <v>0.68630199999999997</v>
      </c>
      <c r="K24" s="256">
        <v>8.6762055</v>
      </c>
    </row>
    <row r="25" spans="1:11">
      <c r="B25" s="256" t="s">
        <v>10</v>
      </c>
      <c r="C25" s="256">
        <v>100.2024349</v>
      </c>
      <c r="D25" s="256">
        <v>18.379276300000001</v>
      </c>
      <c r="E25" s="256">
        <v>39.110596700000002</v>
      </c>
      <c r="F25" s="256">
        <v>7.2969286000000002</v>
      </c>
      <c r="G25" s="256">
        <v>53.092178400000002</v>
      </c>
      <c r="H25" s="256">
        <v>23.433975</v>
      </c>
      <c r="I25" s="256">
        <v>241.5153899</v>
      </c>
      <c r="J25" s="256">
        <v>14.5938572</v>
      </c>
      <c r="K25" s="256">
        <v>256.1092471</v>
      </c>
    </row>
    <row r="27" spans="1:11">
      <c r="A27" s="256" t="s">
        <v>238</v>
      </c>
    </row>
    <row r="28" spans="1:11">
      <c r="C28" s="256" t="s">
        <v>54</v>
      </c>
      <c r="D28" s="256" t="s">
        <v>224</v>
      </c>
      <c r="E28" s="256" t="s">
        <v>225</v>
      </c>
      <c r="F28" s="256" t="s">
        <v>226</v>
      </c>
      <c r="G28" s="256" t="s">
        <v>134</v>
      </c>
      <c r="H28" s="256" t="s">
        <v>227</v>
      </c>
      <c r="I28" s="256" t="s">
        <v>10</v>
      </c>
      <c r="J28" s="256" t="s">
        <v>228</v>
      </c>
      <c r="K28" s="256" t="s">
        <v>229</v>
      </c>
    </row>
    <row r="29" spans="1:11">
      <c r="A29" s="256" t="s">
        <v>230</v>
      </c>
      <c r="B29" s="256" t="s">
        <v>231</v>
      </c>
      <c r="C29" s="256">
        <v>22.234912999999999</v>
      </c>
      <c r="D29" s="256">
        <v>1.5291052999999999</v>
      </c>
      <c r="E29" s="256">
        <v>24.232078000000001</v>
      </c>
      <c r="F29" s="256">
        <v>8.1830636000000005</v>
      </c>
      <c r="G29" s="256">
        <v>45.880267000000003</v>
      </c>
      <c r="H29" s="256">
        <v>1.3454208999999999</v>
      </c>
      <c r="I29" s="256">
        <v>103.4048478</v>
      </c>
      <c r="J29" s="256">
        <v>16.366127200000001</v>
      </c>
      <c r="K29" s="256">
        <v>119.77097500000001</v>
      </c>
    </row>
    <row r="30" spans="1:11">
      <c r="B30" s="256" t="s">
        <v>232</v>
      </c>
      <c r="C30" s="256">
        <v>2.3466241999999999</v>
      </c>
      <c r="D30" s="256">
        <v>7.4991199999999994E-2</v>
      </c>
      <c r="E30" s="256">
        <v>3.1542509999999999</v>
      </c>
      <c r="F30" s="256">
        <v>2.7957477000000002</v>
      </c>
      <c r="G30" s="256">
        <v>1.4106574999999999</v>
      </c>
      <c r="H30" s="256">
        <v>0.83128880000000005</v>
      </c>
      <c r="I30" s="256">
        <v>10.613560400000001</v>
      </c>
      <c r="J30" s="256">
        <v>5.5914954000000003</v>
      </c>
      <c r="K30" s="256">
        <v>16.2050558</v>
      </c>
    </row>
    <row r="31" spans="1:11">
      <c r="B31" s="256" t="s">
        <v>233</v>
      </c>
      <c r="C31" s="256">
        <v>25.554660999999999</v>
      </c>
      <c r="D31" s="256">
        <v>1.3862036</v>
      </c>
      <c r="E31" s="256">
        <v>6.4436308999999996</v>
      </c>
      <c r="F31" s="256">
        <v>0.93348260000000005</v>
      </c>
      <c r="G31" s="256">
        <v>0</v>
      </c>
      <c r="H31" s="256">
        <v>18.185676000000001</v>
      </c>
      <c r="I31" s="256">
        <v>52.503654099999999</v>
      </c>
      <c r="J31" s="256">
        <v>1.8669652000000001</v>
      </c>
      <c r="K31" s="256">
        <v>54.370619300000001</v>
      </c>
    </row>
    <row r="32" spans="1:11">
      <c r="B32" s="256" t="s">
        <v>234</v>
      </c>
      <c r="C32" s="256">
        <v>3.9274494999999998</v>
      </c>
      <c r="D32" s="256">
        <v>0</v>
      </c>
      <c r="E32" s="256">
        <v>1.5742809</v>
      </c>
      <c r="F32" s="256">
        <v>0.54902759999999995</v>
      </c>
      <c r="G32" s="256">
        <v>1.0674633</v>
      </c>
      <c r="H32" s="256">
        <v>3.7607020000000002</v>
      </c>
      <c r="I32" s="256">
        <v>10.8789233</v>
      </c>
      <c r="J32" s="256">
        <v>1.0980551999999999</v>
      </c>
      <c r="K32" s="256">
        <v>11.9769785</v>
      </c>
    </row>
    <row r="33" spans="1:11">
      <c r="B33" s="256" t="s">
        <v>10</v>
      </c>
      <c r="C33" s="256">
        <v>54.063647699999997</v>
      </c>
      <c r="D33" s="256">
        <v>2.9903000999999998</v>
      </c>
      <c r="E33" s="256">
        <v>35.404240799999997</v>
      </c>
      <c r="F33" s="256">
        <v>12.4613215</v>
      </c>
      <c r="G33" s="256">
        <v>48.358387800000003</v>
      </c>
      <c r="H33" s="256">
        <v>24.123087699999999</v>
      </c>
      <c r="I33" s="256">
        <v>177.40098560000001</v>
      </c>
      <c r="J33" s="256">
        <v>24.922643000000001</v>
      </c>
      <c r="K33" s="256">
        <v>202.32362860000001</v>
      </c>
    </row>
    <row r="35" spans="1:11">
      <c r="B35" s="256" t="s">
        <v>239</v>
      </c>
    </row>
    <row r="36" spans="1:11">
      <c r="C36" s="256" t="s">
        <v>54</v>
      </c>
      <c r="D36" s="256" t="s">
        <v>224</v>
      </c>
      <c r="E36" s="256" t="s">
        <v>225</v>
      </c>
      <c r="F36" s="256" t="s">
        <v>226</v>
      </c>
      <c r="G36" s="256" t="s">
        <v>134</v>
      </c>
      <c r="H36" s="256" t="s">
        <v>227</v>
      </c>
      <c r="I36" s="256" t="s">
        <v>10</v>
      </c>
      <c r="J36" s="256" t="s">
        <v>228</v>
      </c>
      <c r="K36" s="256" t="s">
        <v>229</v>
      </c>
    </row>
    <row r="37" spans="1:11">
      <c r="A37" s="256" t="s">
        <v>230</v>
      </c>
      <c r="B37" s="256" t="s">
        <v>231</v>
      </c>
      <c r="C37" s="256">
        <v>3.0888198</v>
      </c>
      <c r="D37" s="256">
        <v>1.1872600000000001E-2</v>
      </c>
      <c r="E37" s="256">
        <v>19.294653</v>
      </c>
      <c r="F37" s="256">
        <v>9.7085719000000008</v>
      </c>
      <c r="G37" s="256">
        <v>33.971479000000002</v>
      </c>
      <c r="H37" s="256">
        <v>1.666364</v>
      </c>
      <c r="I37" s="256">
        <v>67.741760299999996</v>
      </c>
      <c r="J37" s="256">
        <v>19.417143800000002</v>
      </c>
      <c r="K37" s="256">
        <v>87.158904100000001</v>
      </c>
    </row>
    <row r="38" spans="1:11">
      <c r="B38" s="256" t="s">
        <v>232</v>
      </c>
      <c r="C38" s="256">
        <v>2.4270782</v>
      </c>
      <c r="D38" s="256">
        <v>7.4991199999999994E-2</v>
      </c>
      <c r="E38" s="256">
        <v>3.1854347000000001</v>
      </c>
      <c r="F38" s="256">
        <v>3.2323195</v>
      </c>
      <c r="G38" s="256">
        <v>1.4911114999999999</v>
      </c>
      <c r="H38" s="256">
        <v>1.0726507000000001</v>
      </c>
      <c r="I38" s="256">
        <v>11.4835858</v>
      </c>
      <c r="J38" s="256">
        <v>6.464639</v>
      </c>
      <c r="K38" s="256">
        <v>17.948224799999998</v>
      </c>
    </row>
    <row r="39" spans="1:11">
      <c r="B39" s="256" t="s">
        <v>233</v>
      </c>
      <c r="C39" s="256">
        <v>7.6454529999999998</v>
      </c>
      <c r="D39" s="256">
        <v>0.26575090000000001</v>
      </c>
      <c r="E39" s="256">
        <v>6.5657907</v>
      </c>
      <c r="F39" s="256">
        <v>3.0998155999999999</v>
      </c>
      <c r="G39" s="256">
        <v>0</v>
      </c>
      <c r="H39" s="256">
        <v>13.403691</v>
      </c>
      <c r="I39" s="256">
        <v>30.980501199999999</v>
      </c>
      <c r="J39" s="256">
        <v>6.1996311999999998</v>
      </c>
      <c r="K39" s="256">
        <v>37.180132399999998</v>
      </c>
    </row>
    <row r="40" spans="1:11">
      <c r="B40" s="256" t="s">
        <v>234</v>
      </c>
      <c r="C40" s="256">
        <v>4.0471668999999997</v>
      </c>
      <c r="D40" s="256">
        <v>0</v>
      </c>
      <c r="E40" s="256">
        <v>1.6206830000000001</v>
      </c>
      <c r="F40" s="256">
        <v>0.73463590000000001</v>
      </c>
      <c r="G40" s="256">
        <v>1.4266155</v>
      </c>
      <c r="H40" s="256">
        <v>5.0775933999999996</v>
      </c>
      <c r="I40" s="256">
        <v>12.906694699999999</v>
      </c>
      <c r="J40" s="256">
        <v>1.4692718</v>
      </c>
      <c r="K40" s="256">
        <v>14.375966500000001</v>
      </c>
    </row>
    <row r="41" spans="1:11">
      <c r="B41" s="256" t="s">
        <v>10</v>
      </c>
      <c r="C41" s="256">
        <v>17.2085179</v>
      </c>
      <c r="D41" s="256">
        <v>0.3526147</v>
      </c>
      <c r="E41" s="256">
        <v>30.666561399999999</v>
      </c>
      <c r="F41" s="256">
        <v>16.775342899999998</v>
      </c>
      <c r="G41" s="256">
        <v>36.889206000000001</v>
      </c>
      <c r="H41" s="256">
        <v>21.220299099999998</v>
      </c>
      <c r="I41" s="256">
        <v>123.112542</v>
      </c>
      <c r="J41" s="256">
        <v>33.550685799999997</v>
      </c>
      <c r="K41" s="256">
        <v>156.66322779999999</v>
      </c>
    </row>
    <row r="42" spans="1:11">
      <c r="C42" s="256">
        <v>0.109844014716515</v>
      </c>
      <c r="D42" s="256">
        <v>2.2507815327931099E-3</v>
      </c>
      <c r="E42" s="256">
        <v>0.19574830565312801</v>
      </c>
      <c r="F42" s="256">
        <v>0.107079007215502</v>
      </c>
      <c r="G42" s="256">
        <v>0.23546818559804999</v>
      </c>
      <c r="H42" s="256">
        <v>0.13545169085300801</v>
      </c>
      <c r="I42" s="256">
        <v>0.78584198556899598</v>
      </c>
      <c r="J42" s="256">
        <v>0.21415801443100399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A1:K34"/>
  <sheetViews>
    <sheetView workbookViewId="0"/>
  </sheetViews>
  <sheetFormatPr baseColWidth="10" defaultColWidth="11.453125" defaultRowHeight="14.5"/>
  <cols>
    <col min="1" max="16384" width="11.453125" style="256"/>
  </cols>
  <sheetData>
    <row r="1" spans="1:11">
      <c r="A1" s="256" t="s">
        <v>222</v>
      </c>
    </row>
    <row r="3" spans="1:11">
      <c r="A3" s="256" t="s">
        <v>236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64.233862999999999</v>
      </c>
      <c r="D5" s="256">
        <v>38.044361000000002</v>
      </c>
      <c r="E5" s="256">
        <v>26.340436</v>
      </c>
      <c r="F5" s="256">
        <v>2.6082527</v>
      </c>
      <c r="G5" s="256">
        <v>48.557799000000003</v>
      </c>
      <c r="H5" s="256">
        <v>0</v>
      </c>
      <c r="I5" s="256">
        <v>179.7847117</v>
      </c>
      <c r="J5" s="256">
        <v>5.2165054</v>
      </c>
      <c r="K5" s="256">
        <v>185.00121709999999</v>
      </c>
    </row>
    <row r="6" spans="1:11">
      <c r="B6" s="256" t="s">
        <v>232</v>
      </c>
      <c r="C6" s="256">
        <v>2.0694583</v>
      </c>
      <c r="D6" s="256">
        <v>7.4991199999999994E-2</v>
      </c>
      <c r="E6" s="256">
        <v>3.0582562000000002</v>
      </c>
      <c r="F6" s="256">
        <v>1.5053761999999999</v>
      </c>
      <c r="G6" s="256">
        <v>0.93088789999999999</v>
      </c>
      <c r="H6" s="256">
        <v>0.21171490000000001</v>
      </c>
      <c r="I6" s="256">
        <v>7.8506847000000004</v>
      </c>
      <c r="J6" s="256">
        <v>3.0107523999999999</v>
      </c>
      <c r="K6" s="256">
        <v>10.8614371</v>
      </c>
    </row>
    <row r="7" spans="1:11">
      <c r="B7" s="256" t="s">
        <v>233</v>
      </c>
      <c r="C7" s="256">
        <v>46.32461</v>
      </c>
      <c r="D7" s="256">
        <v>5.0388058999999998</v>
      </c>
      <c r="E7" s="256">
        <v>9.3020040000000002</v>
      </c>
      <c r="F7" s="256">
        <v>0.40639150000000002</v>
      </c>
      <c r="G7" s="256">
        <v>0</v>
      </c>
      <c r="H7" s="256">
        <v>17.500266</v>
      </c>
      <c r="I7" s="256">
        <v>78.572077399999998</v>
      </c>
      <c r="J7" s="256">
        <v>0.81278300000000003</v>
      </c>
      <c r="K7" s="256">
        <v>79.384860399999994</v>
      </c>
    </row>
    <row r="8" spans="1:11">
      <c r="B8" s="256" t="s">
        <v>234</v>
      </c>
      <c r="C8" s="256">
        <v>3.5608468000000002</v>
      </c>
      <c r="D8" s="256">
        <v>0</v>
      </c>
      <c r="E8" s="256">
        <v>1.3056243000000001</v>
      </c>
      <c r="F8" s="256">
        <v>0.26464929999999998</v>
      </c>
      <c r="G8" s="256">
        <v>0.27635880000000002</v>
      </c>
      <c r="H8" s="256">
        <v>1.0712090999999999</v>
      </c>
      <c r="I8" s="256">
        <v>6.4786883</v>
      </c>
      <c r="J8" s="256">
        <v>0.52929859999999995</v>
      </c>
      <c r="K8" s="256">
        <v>7.0079868999999997</v>
      </c>
    </row>
    <row r="9" spans="1:11">
      <c r="B9" s="256" t="s">
        <v>10</v>
      </c>
      <c r="C9" s="256">
        <v>116.18877809999999</v>
      </c>
      <c r="D9" s="256">
        <v>43.158158100000001</v>
      </c>
      <c r="E9" s="256">
        <v>40.006320500000001</v>
      </c>
      <c r="F9" s="256">
        <v>4.7846697000000002</v>
      </c>
      <c r="G9" s="256">
        <v>49.765045700000002</v>
      </c>
      <c r="H9" s="256">
        <v>18.783190000000001</v>
      </c>
      <c r="I9" s="256">
        <v>272.68616209999999</v>
      </c>
      <c r="J9" s="256">
        <v>9.5693394000000005</v>
      </c>
      <c r="K9" s="256">
        <v>282.25550149999998</v>
      </c>
    </row>
    <row r="11" spans="1:11">
      <c r="A11" s="256" t="s">
        <v>237</v>
      </c>
    </row>
    <row r="12" spans="1:11">
      <c r="C12" s="256" t="s">
        <v>54</v>
      </c>
      <c r="D12" s="256" t="s">
        <v>224</v>
      </c>
      <c r="E12" s="256" t="s">
        <v>225</v>
      </c>
      <c r="F12" s="256" t="s">
        <v>226</v>
      </c>
      <c r="G12" s="256" t="s">
        <v>134</v>
      </c>
      <c r="H12" s="256" t="s">
        <v>227</v>
      </c>
      <c r="I12" s="256" t="s">
        <v>10</v>
      </c>
      <c r="J12" s="256" t="s">
        <v>228</v>
      </c>
      <c r="K12" s="256" t="s">
        <v>229</v>
      </c>
    </row>
    <row r="13" spans="1:11">
      <c r="A13" s="256" t="s">
        <v>230</v>
      </c>
      <c r="B13" s="256" t="s">
        <v>231</v>
      </c>
      <c r="C13" s="256">
        <v>57.531471000000003</v>
      </c>
      <c r="D13" s="256">
        <v>15.686718000000001</v>
      </c>
      <c r="E13" s="256">
        <v>26.169868000000001</v>
      </c>
      <c r="F13" s="256">
        <v>4.4080085999999996</v>
      </c>
      <c r="G13" s="256">
        <v>51.399140000000003</v>
      </c>
      <c r="H13" s="256">
        <v>0</v>
      </c>
      <c r="I13" s="256">
        <v>155.19520560000001</v>
      </c>
      <c r="J13" s="256">
        <v>8.8160171999999992</v>
      </c>
      <c r="K13" s="256">
        <v>164.01122280000001</v>
      </c>
    </row>
    <row r="14" spans="1:11">
      <c r="B14" s="256" t="s">
        <v>232</v>
      </c>
      <c r="C14" s="256">
        <v>2.1909060999999999</v>
      </c>
      <c r="D14" s="256">
        <v>7.4991199999999994E-2</v>
      </c>
      <c r="E14" s="256">
        <v>3.0938952</v>
      </c>
      <c r="F14" s="256">
        <v>1.9729159999999999</v>
      </c>
      <c r="G14" s="256">
        <v>1.1406442000000001</v>
      </c>
      <c r="H14" s="256">
        <v>0.4212822</v>
      </c>
      <c r="I14" s="256">
        <v>8.8946348999999998</v>
      </c>
      <c r="J14" s="256">
        <v>3.9458319999999998</v>
      </c>
      <c r="K14" s="256">
        <v>12.840466899999999</v>
      </c>
    </row>
    <row r="15" spans="1:11">
      <c r="B15" s="256" t="s">
        <v>233</v>
      </c>
      <c r="C15" s="256">
        <v>36.724297999999997</v>
      </c>
      <c r="D15" s="256">
        <v>2.6175671</v>
      </c>
      <c r="E15" s="256">
        <v>8.4114698000000008</v>
      </c>
      <c r="F15" s="256">
        <v>0.57285299999999995</v>
      </c>
      <c r="G15" s="256">
        <v>0</v>
      </c>
      <c r="H15" s="256">
        <v>21.109458</v>
      </c>
      <c r="I15" s="256">
        <v>69.435645899999997</v>
      </c>
      <c r="J15" s="256">
        <v>1.1457059999999999</v>
      </c>
      <c r="K15" s="256">
        <v>70.581351900000001</v>
      </c>
    </row>
    <row r="16" spans="1:11">
      <c r="B16" s="256" t="s">
        <v>234</v>
      </c>
      <c r="C16" s="256">
        <v>3.7557597999999999</v>
      </c>
      <c r="D16" s="256">
        <v>0</v>
      </c>
      <c r="E16" s="256">
        <v>1.4353636999999999</v>
      </c>
      <c r="F16" s="256">
        <v>0.34315099999999998</v>
      </c>
      <c r="G16" s="256">
        <v>0.55239419999999995</v>
      </c>
      <c r="H16" s="256">
        <v>1.9032347999999999</v>
      </c>
      <c r="I16" s="256">
        <v>7.9899034999999996</v>
      </c>
      <c r="J16" s="256">
        <v>0.68630199999999997</v>
      </c>
      <c r="K16" s="256">
        <v>8.6762055</v>
      </c>
    </row>
    <row r="17" spans="1:11">
      <c r="B17" s="256" t="s">
        <v>10</v>
      </c>
      <c r="C17" s="256">
        <v>100.2024349</v>
      </c>
      <c r="D17" s="256">
        <v>18.379276300000001</v>
      </c>
      <c r="E17" s="256">
        <v>39.110596700000002</v>
      </c>
      <c r="F17" s="256">
        <v>7.2969286000000002</v>
      </c>
      <c r="G17" s="256">
        <v>53.092178400000002</v>
      </c>
      <c r="H17" s="256">
        <v>23.433975</v>
      </c>
      <c r="I17" s="256">
        <v>241.5153899</v>
      </c>
      <c r="J17" s="256">
        <v>14.5938572</v>
      </c>
      <c r="K17" s="256">
        <v>256.1092471</v>
      </c>
    </row>
    <row r="19" spans="1:11">
      <c r="A19" s="256" t="s">
        <v>238</v>
      </c>
    </row>
    <row r="20" spans="1:11">
      <c r="C20" s="256" t="s">
        <v>54</v>
      </c>
      <c r="D20" s="256" t="s">
        <v>224</v>
      </c>
      <c r="E20" s="256" t="s">
        <v>225</v>
      </c>
      <c r="F20" s="256" t="s">
        <v>226</v>
      </c>
      <c r="G20" s="256" t="s">
        <v>134</v>
      </c>
      <c r="H20" s="256" t="s">
        <v>227</v>
      </c>
      <c r="I20" s="256" t="s">
        <v>10</v>
      </c>
      <c r="J20" s="256" t="s">
        <v>228</v>
      </c>
      <c r="K20" s="256" t="s">
        <v>229</v>
      </c>
    </row>
    <row r="21" spans="1:11">
      <c r="A21" s="256" t="s">
        <v>230</v>
      </c>
      <c r="B21" s="256" t="s">
        <v>231</v>
      </c>
      <c r="C21" s="256">
        <v>22.234912999999999</v>
      </c>
      <c r="D21" s="256">
        <v>1.5291052999999999</v>
      </c>
      <c r="E21" s="256">
        <v>24.232078000000001</v>
      </c>
      <c r="F21" s="256">
        <v>8.1830636000000005</v>
      </c>
      <c r="G21" s="256">
        <v>45.880267000000003</v>
      </c>
      <c r="H21" s="256">
        <v>1.3454208999999999</v>
      </c>
      <c r="I21" s="256">
        <v>103.4048478</v>
      </c>
      <c r="J21" s="256">
        <v>16.366127200000001</v>
      </c>
      <c r="K21" s="256">
        <v>119.77097500000001</v>
      </c>
    </row>
    <row r="22" spans="1:11">
      <c r="B22" s="256" t="s">
        <v>232</v>
      </c>
      <c r="C22" s="256">
        <v>2.3466241999999999</v>
      </c>
      <c r="D22" s="256">
        <v>7.4991199999999994E-2</v>
      </c>
      <c r="E22" s="256">
        <v>3.1542509999999999</v>
      </c>
      <c r="F22" s="256">
        <v>2.7957477000000002</v>
      </c>
      <c r="G22" s="256">
        <v>1.4106574999999999</v>
      </c>
      <c r="H22" s="256">
        <v>0.83128880000000005</v>
      </c>
      <c r="I22" s="256">
        <v>10.613560400000001</v>
      </c>
      <c r="J22" s="256">
        <v>5.5914954000000003</v>
      </c>
      <c r="K22" s="256">
        <v>16.2050558</v>
      </c>
    </row>
    <row r="23" spans="1:11">
      <c r="B23" s="256" t="s">
        <v>233</v>
      </c>
      <c r="C23" s="256">
        <v>25.554660999999999</v>
      </c>
      <c r="D23" s="256">
        <v>1.3862036</v>
      </c>
      <c r="E23" s="256">
        <v>6.4436308999999996</v>
      </c>
      <c r="F23" s="256">
        <v>0.93348260000000005</v>
      </c>
      <c r="G23" s="256">
        <v>0</v>
      </c>
      <c r="H23" s="256">
        <v>18.185676000000001</v>
      </c>
      <c r="I23" s="256">
        <v>52.503654099999999</v>
      </c>
      <c r="J23" s="256">
        <v>1.8669652000000001</v>
      </c>
      <c r="K23" s="256">
        <v>54.370619300000001</v>
      </c>
    </row>
    <row r="24" spans="1:11">
      <c r="B24" s="256" t="s">
        <v>234</v>
      </c>
      <c r="C24" s="256">
        <v>3.9274494999999998</v>
      </c>
      <c r="D24" s="256">
        <v>0</v>
      </c>
      <c r="E24" s="256">
        <v>1.5742809</v>
      </c>
      <c r="F24" s="256">
        <v>0.54902759999999995</v>
      </c>
      <c r="G24" s="256">
        <v>1.0674633</v>
      </c>
      <c r="H24" s="256">
        <v>3.7607020000000002</v>
      </c>
      <c r="I24" s="256">
        <v>10.8789233</v>
      </c>
      <c r="J24" s="256">
        <v>1.0980551999999999</v>
      </c>
      <c r="K24" s="256">
        <v>11.9769785</v>
      </c>
    </row>
    <row r="25" spans="1:11">
      <c r="B25" s="256" t="s">
        <v>10</v>
      </c>
      <c r="C25" s="256">
        <v>54.063647699999997</v>
      </c>
      <c r="D25" s="256">
        <v>2.9903000999999998</v>
      </c>
      <c r="E25" s="256">
        <v>35.404240799999997</v>
      </c>
      <c r="F25" s="256">
        <v>12.4613215</v>
      </c>
      <c r="G25" s="256">
        <v>48.358387800000003</v>
      </c>
      <c r="H25" s="256">
        <v>24.123087699999999</v>
      </c>
      <c r="I25" s="256">
        <v>177.40098560000001</v>
      </c>
      <c r="J25" s="256">
        <v>24.922643000000001</v>
      </c>
      <c r="K25" s="256">
        <v>202.32362860000001</v>
      </c>
    </row>
    <row r="27" spans="1:11">
      <c r="B27" s="256" t="s">
        <v>239</v>
      </c>
    </row>
    <row r="28" spans="1:11">
      <c r="C28" s="256" t="s">
        <v>54</v>
      </c>
      <c r="D28" s="256" t="s">
        <v>224</v>
      </c>
      <c r="E28" s="256" t="s">
        <v>225</v>
      </c>
      <c r="F28" s="256" t="s">
        <v>226</v>
      </c>
      <c r="G28" s="256" t="s">
        <v>134</v>
      </c>
      <c r="H28" s="256" t="s">
        <v>227</v>
      </c>
      <c r="I28" s="256" t="s">
        <v>10</v>
      </c>
      <c r="J28" s="256" t="s">
        <v>228</v>
      </c>
      <c r="K28" s="256" t="s">
        <v>229</v>
      </c>
    </row>
    <row r="29" spans="1:11">
      <c r="A29" s="256" t="s">
        <v>230</v>
      </c>
      <c r="B29" s="256" t="s">
        <v>231</v>
      </c>
      <c r="C29" s="256">
        <v>3.0888198</v>
      </c>
      <c r="D29" s="256">
        <v>1.1872600000000001E-2</v>
      </c>
      <c r="E29" s="256">
        <v>19.294653</v>
      </c>
      <c r="F29" s="256">
        <v>9.7085719000000008</v>
      </c>
      <c r="G29" s="256">
        <v>33.971479000000002</v>
      </c>
      <c r="H29" s="256">
        <v>1.666364</v>
      </c>
      <c r="I29" s="256">
        <v>67.741760299999996</v>
      </c>
      <c r="J29" s="256">
        <v>19.417143800000002</v>
      </c>
      <c r="K29" s="256">
        <v>87.158904100000001</v>
      </c>
    </row>
    <row r="30" spans="1:11">
      <c r="B30" s="256" t="s">
        <v>232</v>
      </c>
      <c r="C30" s="256">
        <v>2.4270782</v>
      </c>
      <c r="D30" s="256">
        <v>7.4991199999999994E-2</v>
      </c>
      <c r="E30" s="256">
        <v>3.1854347000000001</v>
      </c>
      <c r="F30" s="256">
        <v>3.2323195</v>
      </c>
      <c r="G30" s="256">
        <v>1.4911114999999999</v>
      </c>
      <c r="H30" s="256">
        <v>1.0726507000000001</v>
      </c>
      <c r="I30" s="256">
        <v>11.4835858</v>
      </c>
      <c r="J30" s="256">
        <v>6.464639</v>
      </c>
      <c r="K30" s="256">
        <v>17.948224799999998</v>
      </c>
    </row>
    <row r="31" spans="1:11">
      <c r="B31" s="256" t="s">
        <v>233</v>
      </c>
      <c r="C31" s="256">
        <v>7.6454529999999998</v>
      </c>
      <c r="D31" s="256">
        <v>0.26575090000000001</v>
      </c>
      <c r="E31" s="256">
        <v>6.5657907</v>
      </c>
      <c r="F31" s="256">
        <v>3.0998155999999999</v>
      </c>
      <c r="G31" s="256">
        <v>0</v>
      </c>
      <c r="H31" s="256">
        <v>13.403691</v>
      </c>
      <c r="I31" s="256">
        <v>30.980501199999999</v>
      </c>
      <c r="J31" s="256">
        <v>6.1996311999999998</v>
      </c>
      <c r="K31" s="256">
        <v>37.180132399999998</v>
      </c>
    </row>
    <row r="32" spans="1:11">
      <c r="B32" s="256" t="s">
        <v>234</v>
      </c>
      <c r="C32" s="256">
        <v>4.0471668999999997</v>
      </c>
      <c r="D32" s="256">
        <v>0</v>
      </c>
      <c r="E32" s="256">
        <v>1.6206830000000001</v>
      </c>
      <c r="F32" s="256">
        <v>0.73463590000000001</v>
      </c>
      <c r="G32" s="256">
        <v>1.4266155</v>
      </c>
      <c r="H32" s="256">
        <v>5.0775933999999996</v>
      </c>
      <c r="I32" s="256">
        <v>12.906694699999999</v>
      </c>
      <c r="J32" s="256">
        <v>1.4692718</v>
      </c>
      <c r="K32" s="256">
        <v>14.375966500000001</v>
      </c>
    </row>
    <row r="33" spans="2:11">
      <c r="B33" s="256" t="s">
        <v>10</v>
      </c>
      <c r="C33" s="256">
        <v>17.2085179</v>
      </c>
      <c r="D33" s="256">
        <v>0.3526147</v>
      </c>
      <c r="E33" s="256">
        <v>30.666561399999999</v>
      </c>
      <c r="F33" s="256">
        <v>16.775342899999998</v>
      </c>
      <c r="G33" s="256">
        <v>36.889206000000001</v>
      </c>
      <c r="H33" s="256">
        <v>21.220299099999998</v>
      </c>
      <c r="I33" s="256">
        <v>123.112542</v>
      </c>
      <c r="J33" s="256">
        <v>33.550685799999997</v>
      </c>
      <c r="K33" s="256">
        <v>156.66322779999999</v>
      </c>
    </row>
    <row r="34" spans="2:11">
      <c r="C34" s="256">
        <v>0.109844014716515</v>
      </c>
      <c r="D34" s="256">
        <v>2.2507815327931099E-3</v>
      </c>
      <c r="E34" s="256">
        <v>0.19574830565312801</v>
      </c>
      <c r="F34" s="256">
        <v>0.107079007215502</v>
      </c>
      <c r="G34" s="256">
        <v>0.23546818559804999</v>
      </c>
      <c r="H34" s="256">
        <v>0.13545169085300801</v>
      </c>
      <c r="I34" s="256">
        <v>0.78584198556899598</v>
      </c>
      <c r="J34" s="256">
        <v>0.21415801443100399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/>
  <dimension ref="A1:K26"/>
  <sheetViews>
    <sheetView workbookViewId="0"/>
  </sheetViews>
  <sheetFormatPr baseColWidth="10" defaultColWidth="11.453125" defaultRowHeight="14.5"/>
  <cols>
    <col min="1" max="16384" width="11.453125" style="256"/>
  </cols>
  <sheetData>
    <row r="1" spans="1:11">
      <c r="A1" s="256" t="s">
        <v>222</v>
      </c>
    </row>
    <row r="3" spans="1:11">
      <c r="A3" s="256" t="s">
        <v>237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57.531471000000003</v>
      </c>
      <c r="D5" s="256">
        <v>15.686718000000001</v>
      </c>
      <c r="E5" s="256">
        <v>26.169868000000001</v>
      </c>
      <c r="F5" s="256">
        <v>4.4080085999999996</v>
      </c>
      <c r="G5" s="256">
        <v>51.399140000000003</v>
      </c>
      <c r="H5" s="256">
        <v>0</v>
      </c>
      <c r="I5" s="256">
        <v>155.19520560000001</v>
      </c>
      <c r="J5" s="256">
        <v>8.8160171999999992</v>
      </c>
      <c r="K5" s="256">
        <v>164.01122280000001</v>
      </c>
    </row>
    <row r="6" spans="1:11">
      <c r="B6" s="256" t="s">
        <v>232</v>
      </c>
      <c r="C6" s="256">
        <v>2.1909060999999999</v>
      </c>
      <c r="D6" s="256">
        <v>7.4991199999999994E-2</v>
      </c>
      <c r="E6" s="256">
        <v>3.0938952</v>
      </c>
      <c r="F6" s="256">
        <v>1.9729159999999999</v>
      </c>
      <c r="G6" s="256">
        <v>1.1406442000000001</v>
      </c>
      <c r="H6" s="256">
        <v>0.4212822</v>
      </c>
      <c r="I6" s="256">
        <v>8.8946348999999998</v>
      </c>
      <c r="J6" s="256">
        <v>3.9458319999999998</v>
      </c>
      <c r="K6" s="256">
        <v>12.840466899999999</v>
      </c>
    </row>
    <row r="7" spans="1:11">
      <c r="B7" s="256" t="s">
        <v>233</v>
      </c>
      <c r="C7" s="256">
        <v>36.724297999999997</v>
      </c>
      <c r="D7" s="256">
        <v>2.6175671</v>
      </c>
      <c r="E7" s="256">
        <v>8.4114698000000008</v>
      </c>
      <c r="F7" s="256">
        <v>0.57285299999999995</v>
      </c>
      <c r="G7" s="256">
        <v>0</v>
      </c>
      <c r="H7" s="256">
        <v>21.109458</v>
      </c>
      <c r="I7" s="256">
        <v>69.435645899999997</v>
      </c>
      <c r="J7" s="256">
        <v>1.1457059999999999</v>
      </c>
      <c r="K7" s="256">
        <v>70.581351900000001</v>
      </c>
    </row>
    <row r="8" spans="1:11">
      <c r="B8" s="256" t="s">
        <v>234</v>
      </c>
      <c r="C8" s="256">
        <v>3.7557597999999999</v>
      </c>
      <c r="D8" s="256">
        <v>0</v>
      </c>
      <c r="E8" s="256">
        <v>1.4353636999999999</v>
      </c>
      <c r="F8" s="256">
        <v>0.34315099999999998</v>
      </c>
      <c r="G8" s="256">
        <v>0.55239419999999995</v>
      </c>
      <c r="H8" s="256">
        <v>1.9032347999999999</v>
      </c>
      <c r="I8" s="256">
        <v>7.9899034999999996</v>
      </c>
      <c r="J8" s="256">
        <v>0.68630199999999997</v>
      </c>
      <c r="K8" s="256">
        <v>8.6762055</v>
      </c>
    </row>
    <row r="9" spans="1:11">
      <c r="B9" s="256" t="s">
        <v>10</v>
      </c>
      <c r="C9" s="256">
        <v>100.2024349</v>
      </c>
      <c r="D9" s="256">
        <v>18.379276300000001</v>
      </c>
      <c r="E9" s="256">
        <v>39.110596700000002</v>
      </c>
      <c r="F9" s="256">
        <v>7.2969286000000002</v>
      </c>
      <c r="G9" s="256">
        <v>53.092178400000002</v>
      </c>
      <c r="H9" s="256">
        <v>23.433975</v>
      </c>
      <c r="I9" s="256">
        <v>241.5153899</v>
      </c>
      <c r="J9" s="256">
        <v>14.5938572</v>
      </c>
      <c r="K9" s="256">
        <v>256.1092471</v>
      </c>
    </row>
    <row r="11" spans="1:11">
      <c r="A11" s="256" t="s">
        <v>238</v>
      </c>
    </row>
    <row r="12" spans="1:11">
      <c r="C12" s="256" t="s">
        <v>54</v>
      </c>
      <c r="D12" s="256" t="s">
        <v>224</v>
      </c>
      <c r="E12" s="256" t="s">
        <v>225</v>
      </c>
      <c r="F12" s="256" t="s">
        <v>226</v>
      </c>
      <c r="G12" s="256" t="s">
        <v>134</v>
      </c>
      <c r="H12" s="256" t="s">
        <v>227</v>
      </c>
      <c r="I12" s="256" t="s">
        <v>10</v>
      </c>
      <c r="J12" s="256" t="s">
        <v>228</v>
      </c>
      <c r="K12" s="256" t="s">
        <v>229</v>
      </c>
    </row>
    <row r="13" spans="1:11">
      <c r="A13" s="256" t="s">
        <v>230</v>
      </c>
      <c r="B13" s="256" t="s">
        <v>231</v>
      </c>
      <c r="C13" s="256">
        <v>22.234912999999999</v>
      </c>
      <c r="D13" s="256">
        <v>1.5291052999999999</v>
      </c>
      <c r="E13" s="256">
        <v>24.232078000000001</v>
      </c>
      <c r="F13" s="256">
        <v>8.1830636000000005</v>
      </c>
      <c r="G13" s="256">
        <v>45.880267000000003</v>
      </c>
      <c r="H13" s="256">
        <v>1.3454208999999999</v>
      </c>
      <c r="I13" s="256">
        <v>103.4048478</v>
      </c>
      <c r="J13" s="256">
        <v>16.366127200000001</v>
      </c>
      <c r="K13" s="256">
        <v>119.77097500000001</v>
      </c>
    </row>
    <row r="14" spans="1:11">
      <c r="B14" s="256" t="s">
        <v>232</v>
      </c>
      <c r="C14" s="256">
        <v>2.3466241999999999</v>
      </c>
      <c r="D14" s="256">
        <v>7.4991199999999994E-2</v>
      </c>
      <c r="E14" s="256">
        <v>3.1542509999999999</v>
      </c>
      <c r="F14" s="256">
        <v>2.7957477000000002</v>
      </c>
      <c r="G14" s="256">
        <v>1.4106574999999999</v>
      </c>
      <c r="H14" s="256">
        <v>0.83128880000000005</v>
      </c>
      <c r="I14" s="256">
        <v>10.613560400000001</v>
      </c>
      <c r="J14" s="256">
        <v>5.5914954000000003</v>
      </c>
      <c r="K14" s="256">
        <v>16.2050558</v>
      </c>
    </row>
    <row r="15" spans="1:11">
      <c r="B15" s="256" t="s">
        <v>233</v>
      </c>
      <c r="C15" s="256">
        <v>25.554660999999999</v>
      </c>
      <c r="D15" s="256">
        <v>1.3862036</v>
      </c>
      <c r="E15" s="256">
        <v>6.4436308999999996</v>
      </c>
      <c r="F15" s="256">
        <v>0.93348260000000005</v>
      </c>
      <c r="G15" s="256">
        <v>0</v>
      </c>
      <c r="H15" s="256">
        <v>18.185676000000001</v>
      </c>
      <c r="I15" s="256">
        <v>52.503654099999999</v>
      </c>
      <c r="J15" s="256">
        <v>1.8669652000000001</v>
      </c>
      <c r="K15" s="256">
        <v>54.370619300000001</v>
      </c>
    </row>
    <row r="16" spans="1:11">
      <c r="B16" s="256" t="s">
        <v>234</v>
      </c>
      <c r="C16" s="256">
        <v>3.9274494999999998</v>
      </c>
      <c r="D16" s="256">
        <v>0</v>
      </c>
      <c r="E16" s="256">
        <v>1.5742809</v>
      </c>
      <c r="F16" s="256">
        <v>0.54902759999999995</v>
      </c>
      <c r="G16" s="256">
        <v>1.0674633</v>
      </c>
      <c r="H16" s="256">
        <v>3.7607020000000002</v>
      </c>
      <c r="I16" s="256">
        <v>10.8789233</v>
      </c>
      <c r="J16" s="256">
        <v>1.0980551999999999</v>
      </c>
      <c r="K16" s="256">
        <v>11.9769785</v>
      </c>
    </row>
    <row r="17" spans="1:11">
      <c r="B17" s="256" t="s">
        <v>10</v>
      </c>
      <c r="C17" s="256">
        <v>54.063647699999997</v>
      </c>
      <c r="D17" s="256">
        <v>2.9903000999999998</v>
      </c>
      <c r="E17" s="256">
        <v>35.404240799999997</v>
      </c>
      <c r="F17" s="256">
        <v>12.4613215</v>
      </c>
      <c r="G17" s="256">
        <v>48.358387800000003</v>
      </c>
      <c r="H17" s="256">
        <v>24.123087699999999</v>
      </c>
      <c r="I17" s="256">
        <v>177.40098560000001</v>
      </c>
      <c r="J17" s="256">
        <v>24.922643000000001</v>
      </c>
      <c r="K17" s="256">
        <v>202.32362860000001</v>
      </c>
    </row>
    <row r="19" spans="1:11">
      <c r="B19" s="256" t="s">
        <v>239</v>
      </c>
    </row>
    <row r="20" spans="1:11">
      <c r="C20" s="256" t="s">
        <v>54</v>
      </c>
      <c r="D20" s="256" t="s">
        <v>224</v>
      </c>
      <c r="E20" s="256" t="s">
        <v>225</v>
      </c>
      <c r="F20" s="256" t="s">
        <v>226</v>
      </c>
      <c r="G20" s="256" t="s">
        <v>134</v>
      </c>
      <c r="H20" s="256" t="s">
        <v>227</v>
      </c>
      <c r="I20" s="256" t="s">
        <v>10</v>
      </c>
      <c r="J20" s="256" t="s">
        <v>228</v>
      </c>
      <c r="K20" s="256" t="s">
        <v>229</v>
      </c>
    </row>
    <row r="21" spans="1:11">
      <c r="A21" s="256" t="s">
        <v>230</v>
      </c>
      <c r="B21" s="256" t="s">
        <v>231</v>
      </c>
      <c r="C21" s="256">
        <v>3.0888198</v>
      </c>
      <c r="D21" s="256">
        <v>1.1872600000000001E-2</v>
      </c>
      <c r="E21" s="256">
        <v>19.294653</v>
      </c>
      <c r="F21" s="256">
        <v>9.7085719000000008</v>
      </c>
      <c r="G21" s="256">
        <v>33.971479000000002</v>
      </c>
      <c r="H21" s="256">
        <v>1.666364</v>
      </c>
      <c r="I21" s="256">
        <v>67.741760299999996</v>
      </c>
      <c r="J21" s="256">
        <v>19.417143800000002</v>
      </c>
      <c r="K21" s="256">
        <v>87.158904100000001</v>
      </c>
    </row>
    <row r="22" spans="1:11">
      <c r="B22" s="256" t="s">
        <v>232</v>
      </c>
      <c r="C22" s="256">
        <v>2.4270782</v>
      </c>
      <c r="D22" s="256">
        <v>7.4991199999999994E-2</v>
      </c>
      <c r="E22" s="256">
        <v>3.1854347000000001</v>
      </c>
      <c r="F22" s="256">
        <v>3.2323195</v>
      </c>
      <c r="G22" s="256">
        <v>1.4911114999999999</v>
      </c>
      <c r="H22" s="256">
        <v>1.0726507000000001</v>
      </c>
      <c r="I22" s="256">
        <v>11.4835858</v>
      </c>
      <c r="J22" s="256">
        <v>6.464639</v>
      </c>
      <c r="K22" s="256">
        <v>17.948224799999998</v>
      </c>
    </row>
    <row r="23" spans="1:11">
      <c r="B23" s="256" t="s">
        <v>233</v>
      </c>
      <c r="C23" s="256">
        <v>7.6454529999999998</v>
      </c>
      <c r="D23" s="256">
        <v>0.26575090000000001</v>
      </c>
      <c r="E23" s="256">
        <v>6.5657907</v>
      </c>
      <c r="F23" s="256">
        <v>3.0998155999999999</v>
      </c>
      <c r="G23" s="256">
        <v>0</v>
      </c>
      <c r="H23" s="256">
        <v>13.403691</v>
      </c>
      <c r="I23" s="256">
        <v>30.980501199999999</v>
      </c>
      <c r="J23" s="256">
        <v>6.1996311999999998</v>
      </c>
      <c r="K23" s="256">
        <v>37.180132399999998</v>
      </c>
    </row>
    <row r="24" spans="1:11">
      <c r="B24" s="256" t="s">
        <v>234</v>
      </c>
      <c r="C24" s="256">
        <v>4.0471668999999997</v>
      </c>
      <c r="D24" s="256">
        <v>0</v>
      </c>
      <c r="E24" s="256">
        <v>1.6206830000000001</v>
      </c>
      <c r="F24" s="256">
        <v>0.73463590000000001</v>
      </c>
      <c r="G24" s="256">
        <v>1.4266155</v>
      </c>
      <c r="H24" s="256">
        <v>5.0775933999999996</v>
      </c>
      <c r="I24" s="256">
        <v>12.906694699999999</v>
      </c>
      <c r="J24" s="256">
        <v>1.4692718</v>
      </c>
      <c r="K24" s="256">
        <v>14.375966500000001</v>
      </c>
    </row>
    <row r="25" spans="1:11">
      <c r="B25" s="256" t="s">
        <v>10</v>
      </c>
      <c r="C25" s="256">
        <v>17.2085179</v>
      </c>
      <c r="D25" s="256">
        <v>0.3526147</v>
      </c>
      <c r="E25" s="256">
        <v>30.666561399999999</v>
      </c>
      <c r="F25" s="256">
        <v>16.775342899999998</v>
      </c>
      <c r="G25" s="256">
        <v>36.889206000000001</v>
      </c>
      <c r="H25" s="256">
        <v>21.220299099999998</v>
      </c>
      <c r="I25" s="256">
        <v>123.112542</v>
      </c>
      <c r="J25" s="256">
        <v>33.550685799999997</v>
      </c>
      <c r="K25" s="256">
        <v>156.66322779999999</v>
      </c>
    </row>
    <row r="26" spans="1:11">
      <c r="C26" s="256">
        <v>0.109844014716515</v>
      </c>
      <c r="D26" s="256">
        <v>2.2507815327931099E-3</v>
      </c>
      <c r="E26" s="256">
        <v>0.19574830565312801</v>
      </c>
      <c r="F26" s="256">
        <v>0.107079007215502</v>
      </c>
      <c r="G26" s="256">
        <v>0.23546818559804999</v>
      </c>
      <c r="H26" s="256">
        <v>0.13545169085300801</v>
      </c>
      <c r="I26" s="256">
        <v>0.78584198556899598</v>
      </c>
      <c r="J26" s="256">
        <v>0.21415801443100399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K10"/>
  <sheetViews>
    <sheetView workbookViewId="0"/>
  </sheetViews>
  <sheetFormatPr baseColWidth="10" defaultColWidth="11.453125" defaultRowHeight="14.5"/>
  <cols>
    <col min="1" max="16384" width="11.453125" style="256"/>
  </cols>
  <sheetData>
    <row r="1" spans="1:11">
      <c r="A1" s="256" t="s">
        <v>222</v>
      </c>
    </row>
    <row r="3" spans="1:11">
      <c r="B3" s="256" t="s">
        <v>239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3.0888198</v>
      </c>
      <c r="D5" s="256">
        <v>1.1872600000000001E-2</v>
      </c>
      <c r="E5" s="256">
        <v>19.294653</v>
      </c>
      <c r="F5" s="256">
        <v>9.7085719000000008</v>
      </c>
      <c r="G5" s="256">
        <v>33.971479000000002</v>
      </c>
      <c r="H5" s="256">
        <v>1.666364</v>
      </c>
      <c r="I5" s="256">
        <v>67.741760299999996</v>
      </c>
      <c r="J5" s="256">
        <v>19.417143800000002</v>
      </c>
      <c r="K5" s="256">
        <v>87.158904100000001</v>
      </c>
    </row>
    <row r="6" spans="1:11">
      <c r="B6" s="256" t="s">
        <v>232</v>
      </c>
      <c r="C6" s="256">
        <v>2.4270782</v>
      </c>
      <c r="D6" s="256">
        <v>7.4991199999999994E-2</v>
      </c>
      <c r="E6" s="256">
        <v>3.1854347000000001</v>
      </c>
      <c r="F6" s="256">
        <v>3.2323195</v>
      </c>
      <c r="G6" s="256">
        <v>1.4911114999999999</v>
      </c>
      <c r="H6" s="256">
        <v>1.0726507000000001</v>
      </c>
      <c r="I6" s="256">
        <v>11.4835858</v>
      </c>
      <c r="J6" s="256">
        <v>6.464639</v>
      </c>
      <c r="K6" s="256">
        <v>17.948224799999998</v>
      </c>
    </row>
    <row r="7" spans="1:11">
      <c r="B7" s="256" t="s">
        <v>233</v>
      </c>
      <c r="C7" s="256">
        <v>7.6454529999999998</v>
      </c>
      <c r="D7" s="256">
        <v>0.26575090000000001</v>
      </c>
      <c r="E7" s="256">
        <v>6.5657907</v>
      </c>
      <c r="F7" s="256">
        <v>3.0998155999999999</v>
      </c>
      <c r="G7" s="256">
        <v>0</v>
      </c>
      <c r="H7" s="256">
        <v>13.403691</v>
      </c>
      <c r="I7" s="256">
        <v>30.980501199999999</v>
      </c>
      <c r="J7" s="256">
        <v>6.1996311999999998</v>
      </c>
      <c r="K7" s="256">
        <v>37.180132399999998</v>
      </c>
    </row>
    <row r="8" spans="1:11">
      <c r="B8" s="256" t="s">
        <v>234</v>
      </c>
      <c r="C8" s="256">
        <v>4.0471668999999997</v>
      </c>
      <c r="D8" s="256">
        <v>0</v>
      </c>
      <c r="E8" s="256">
        <v>1.6206830000000001</v>
      </c>
      <c r="F8" s="256">
        <v>0.73463590000000001</v>
      </c>
      <c r="G8" s="256">
        <v>1.4266155</v>
      </c>
      <c r="H8" s="256">
        <v>5.0775933999999996</v>
      </c>
      <c r="I8" s="256">
        <v>12.906694699999999</v>
      </c>
      <c r="J8" s="256">
        <v>1.4692718</v>
      </c>
      <c r="K8" s="256">
        <v>14.375966500000001</v>
      </c>
    </row>
    <row r="9" spans="1:11">
      <c r="B9" s="256" t="s">
        <v>10</v>
      </c>
      <c r="C9" s="256">
        <v>17.2085179</v>
      </c>
      <c r="D9" s="256">
        <v>0.3526147</v>
      </c>
      <c r="E9" s="256">
        <v>30.666561399999999</v>
      </c>
      <c r="F9" s="256">
        <v>16.775342899999998</v>
      </c>
      <c r="G9" s="256">
        <v>36.889206000000001</v>
      </c>
      <c r="H9" s="256">
        <v>21.220299099999998</v>
      </c>
      <c r="I9" s="256">
        <v>123.112542</v>
      </c>
      <c r="J9" s="256">
        <v>33.550685799999997</v>
      </c>
      <c r="K9" s="256">
        <v>156.66322779999999</v>
      </c>
    </row>
    <row r="10" spans="1:11">
      <c r="C10" s="256">
        <v>0.109844014716515</v>
      </c>
      <c r="D10" s="256">
        <v>2.2507815327931099E-3</v>
      </c>
      <c r="E10" s="256">
        <v>0.19574830565312801</v>
      </c>
      <c r="F10" s="256">
        <v>0.107079007215502</v>
      </c>
      <c r="G10" s="256">
        <v>0.23546818559804999</v>
      </c>
      <c r="H10" s="256">
        <v>0.13545169085300801</v>
      </c>
      <c r="I10" s="256">
        <v>0.78584198556899598</v>
      </c>
      <c r="J10" s="256">
        <v>0.21415801443100399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/>
  <dimension ref="A1:G35"/>
  <sheetViews>
    <sheetView workbookViewId="0"/>
  </sheetViews>
  <sheetFormatPr baseColWidth="10" defaultRowHeight="14.5"/>
  <sheetData>
    <row r="1" spans="1:7">
      <c r="A1" t="s">
        <v>240</v>
      </c>
    </row>
    <row r="3" spans="1:7">
      <c r="A3" t="s">
        <v>212</v>
      </c>
    </row>
    <row r="4" spans="1:7">
      <c r="A4" t="s">
        <v>128</v>
      </c>
      <c r="B4">
        <v>2015</v>
      </c>
      <c r="C4">
        <v>2020</v>
      </c>
      <c r="D4">
        <v>2025</v>
      </c>
      <c r="E4">
        <v>2030</v>
      </c>
      <c r="F4">
        <v>2040</v>
      </c>
      <c r="G4">
        <v>2050</v>
      </c>
    </row>
    <row r="5" spans="1:7">
      <c r="A5" t="s">
        <v>104</v>
      </c>
      <c r="B5">
        <v>25.308019668171202</v>
      </c>
      <c r="C5">
        <v>24.344010698547201</v>
      </c>
      <c r="D5">
        <v>22.530538802537901</v>
      </c>
      <c r="E5">
        <v>16.5347505482708</v>
      </c>
      <c r="F5">
        <v>13.312344444513601</v>
      </c>
      <c r="G5">
        <v>2.1146503112217898</v>
      </c>
    </row>
    <row r="6" spans="1:7">
      <c r="A6" t="s">
        <v>54</v>
      </c>
      <c r="B6">
        <v>18.981014751128399</v>
      </c>
      <c r="C6">
        <v>16.9677157901945</v>
      </c>
      <c r="D6">
        <v>14.034981027112799</v>
      </c>
      <c r="E6">
        <v>12.003004101707701</v>
      </c>
      <c r="F6">
        <v>5.9734878917689302</v>
      </c>
      <c r="G6">
        <v>3.7006380446381302</v>
      </c>
    </row>
    <row r="7" spans="1:7">
      <c r="A7" t="s">
        <v>224</v>
      </c>
      <c r="B7">
        <v>4.2180032780285304</v>
      </c>
      <c r="C7">
        <v>2.9087512783190701</v>
      </c>
      <c r="D7">
        <v>0.91309174478370303</v>
      </c>
      <c r="E7">
        <v>0</v>
      </c>
      <c r="F7">
        <v>0</v>
      </c>
      <c r="G7">
        <v>0</v>
      </c>
    </row>
    <row r="8" spans="1:7">
      <c r="A8" t="s">
        <v>135</v>
      </c>
      <c r="B8">
        <v>1.0545008195071299</v>
      </c>
      <c r="C8">
        <v>1.54406781362761</v>
      </c>
      <c r="D8">
        <v>2.01373746957703</v>
      </c>
      <c r="E8">
        <v>2.4430777996853998</v>
      </c>
      <c r="F8">
        <v>3.2696986354945698</v>
      </c>
      <c r="G8">
        <v>4.4518953920458797</v>
      </c>
    </row>
    <row r="9" spans="1:7">
      <c r="A9" t="s">
        <v>241</v>
      </c>
      <c r="B9">
        <v>1.5817512292607001</v>
      </c>
      <c r="C9">
        <v>2.2892949875659299</v>
      </c>
      <c r="D9">
        <v>4.8292407835226996</v>
      </c>
      <c r="E9">
        <v>8.5735743583626398</v>
      </c>
      <c r="F9">
        <v>12.0797199589105</v>
      </c>
      <c r="G9">
        <v>19.736736238070002</v>
      </c>
    </row>
    <row r="10" spans="1:7">
      <c r="A10" t="s">
        <v>242</v>
      </c>
      <c r="B10">
        <v>1.0545008195071299</v>
      </c>
      <c r="C10">
        <v>0.969583759439688</v>
      </c>
      <c r="D10">
        <v>1.3582239703657599</v>
      </c>
      <c r="E10">
        <v>2.14339358959066</v>
      </c>
      <c r="F10">
        <v>3.9823252611792901</v>
      </c>
      <c r="G10">
        <v>3.7006380446381302</v>
      </c>
    </row>
    <row r="11" spans="1:7">
      <c r="A11" t="s">
        <v>243</v>
      </c>
      <c r="B11">
        <v>0.52725040975356696</v>
      </c>
      <c r="C11">
        <v>0.484791879719844</v>
      </c>
      <c r="D11">
        <v>0.45274132345525298</v>
      </c>
      <c r="E11">
        <v>0.857357435836264</v>
      </c>
      <c r="F11">
        <v>1.1946975783537901</v>
      </c>
      <c r="G11">
        <v>1.85031902231906</v>
      </c>
    </row>
    <row r="12" spans="1:7">
      <c r="A12" t="s">
        <v>10</v>
      </c>
      <c r="B12">
        <v>52.725040975356698</v>
      </c>
      <c r="C12">
        <v>49.508216207413902</v>
      </c>
      <c r="D12">
        <v>46.132555121355203</v>
      </c>
      <c r="E12">
        <v>42.555157833453499</v>
      </c>
      <c r="F12">
        <v>39.812273770220699</v>
      </c>
      <c r="G12">
        <v>35.554877052933001</v>
      </c>
    </row>
    <row r="14" spans="1:7">
      <c r="A14" t="s">
        <v>140</v>
      </c>
    </row>
    <row r="15" spans="1:7">
      <c r="A15" t="s">
        <v>244</v>
      </c>
      <c r="B15">
        <v>2015</v>
      </c>
      <c r="C15">
        <v>2020</v>
      </c>
      <c r="D15">
        <v>2025</v>
      </c>
      <c r="E15">
        <v>2030</v>
      </c>
      <c r="F15">
        <v>2040</v>
      </c>
      <c r="G15">
        <v>2050</v>
      </c>
    </row>
    <row r="16" spans="1:7">
      <c r="A16" t="s">
        <v>41</v>
      </c>
      <c r="B16">
        <v>11.0276342788289</v>
      </c>
      <c r="C16">
        <v>9.3829992656699002</v>
      </c>
      <c r="D16">
        <v>7.4799597463327601</v>
      </c>
      <c r="E16">
        <v>6.50801172424993</v>
      </c>
      <c r="F16">
        <v>6.0948723369684901</v>
      </c>
      <c r="G16">
        <v>4.4438696697774303</v>
      </c>
    </row>
    <row r="17" spans="1:7">
      <c r="A17" t="s">
        <v>180</v>
      </c>
      <c r="B17">
        <v>7.1939435732653196</v>
      </c>
      <c r="C17">
        <v>6.3466515714263503</v>
      </c>
      <c r="D17">
        <v>4.8145263292626801</v>
      </c>
      <c r="E17">
        <v>3.2409945700553902</v>
      </c>
      <c r="F17">
        <v>1.6456155309814899</v>
      </c>
      <c r="G17">
        <v>1.6555592887406101</v>
      </c>
    </row>
    <row r="18" spans="1:7">
      <c r="A18" t="s">
        <v>104</v>
      </c>
      <c r="B18">
        <v>13.0631221479058</v>
      </c>
      <c r="C18">
        <v>14.9032163518961</v>
      </c>
      <c r="D18">
        <v>18.727809663392801</v>
      </c>
      <c r="E18">
        <v>20.893769374254902</v>
      </c>
      <c r="F18">
        <v>21.9415404130865</v>
      </c>
      <c r="G18">
        <v>22.306483048294499</v>
      </c>
    </row>
    <row r="19" spans="1:7">
      <c r="A19" t="s">
        <v>10</v>
      </c>
      <c r="B19">
        <v>31.284700000000001</v>
      </c>
      <c r="C19">
        <v>30.6328671889923</v>
      </c>
      <c r="D19">
        <v>31.022295738988198</v>
      </c>
      <c r="E19">
        <v>30.642775668560201</v>
      </c>
      <c r="F19">
        <v>29.682028281036501</v>
      </c>
      <c r="G19">
        <v>28.4059120068125</v>
      </c>
    </row>
    <row r="21" spans="1:7">
      <c r="A21" t="s">
        <v>141</v>
      </c>
    </row>
    <row r="22" spans="1:7">
      <c r="B22">
        <v>2015</v>
      </c>
      <c r="C22">
        <v>2020</v>
      </c>
      <c r="D22">
        <v>2025</v>
      </c>
      <c r="E22">
        <v>2030</v>
      </c>
      <c r="F22">
        <v>2050</v>
      </c>
    </row>
    <row r="23" spans="1:7">
      <c r="A23" t="s">
        <v>245</v>
      </c>
      <c r="B23">
        <v>8.247522</v>
      </c>
      <c r="C23">
        <v>6.914360984</v>
      </c>
      <c r="D23">
        <v>5.4399118480000004</v>
      </c>
      <c r="E23">
        <v>3.8476310444999999</v>
      </c>
      <c r="F23">
        <v>2.7900163349999998</v>
      </c>
    </row>
    <row r="25" spans="1:7">
      <c r="A25" t="s">
        <v>143</v>
      </c>
    </row>
    <row r="27" spans="1:7">
      <c r="A27" t="s">
        <v>128</v>
      </c>
      <c r="B27">
        <v>2015</v>
      </c>
      <c r="C27">
        <v>2020</v>
      </c>
      <c r="D27">
        <v>2025</v>
      </c>
      <c r="E27">
        <v>2030</v>
      </c>
      <c r="F27">
        <v>2050</v>
      </c>
    </row>
    <row r="28" spans="1:7">
      <c r="A28" t="s">
        <v>104</v>
      </c>
      <c r="B28">
        <v>0.565565939792534</v>
      </c>
      <c r="C28">
        <v>0.86061670840319104</v>
      </c>
      <c r="D28">
        <v>1.25109084860822</v>
      </c>
      <c r="E28">
        <v>1.4752842591356601</v>
      </c>
      <c r="F28">
        <v>2.1980218817885699</v>
      </c>
    </row>
    <row r="29" spans="1:7">
      <c r="A29" t="s">
        <v>135</v>
      </c>
      <c r="B29">
        <v>5.9533256820266797E-3</v>
      </c>
      <c r="C29">
        <v>9.1554968979062797E-3</v>
      </c>
      <c r="D29">
        <v>2.8114401092319601E-2</v>
      </c>
      <c r="E29">
        <v>5.39738143586216E-2</v>
      </c>
      <c r="F29">
        <v>0.18316849014904699</v>
      </c>
    </row>
    <row r="30" spans="1:7">
      <c r="A30" t="s">
        <v>246</v>
      </c>
      <c r="B30">
        <v>2.3813302728106701E-2</v>
      </c>
      <c r="C30">
        <v>4.5777484489531402E-2</v>
      </c>
      <c r="D30">
        <v>0.12651480491543801</v>
      </c>
      <c r="E30">
        <v>0.26986907179310798</v>
      </c>
      <c r="F30">
        <v>1.2821794310433301</v>
      </c>
    </row>
    <row r="31" spans="1:7">
      <c r="A31" t="s">
        <v>10</v>
      </c>
      <c r="B31">
        <v>0.595332568202668</v>
      </c>
      <c r="C31">
        <v>0.91554968979062801</v>
      </c>
      <c r="D31">
        <v>1.40572005461598</v>
      </c>
      <c r="E31">
        <v>1.79912714528739</v>
      </c>
      <c r="F31">
        <v>3.6633698029809501</v>
      </c>
    </row>
    <row r="33" spans="1:6">
      <c r="A33" t="s">
        <v>213</v>
      </c>
    </row>
    <row r="34" spans="1:6">
      <c r="A34" t="s">
        <v>128</v>
      </c>
      <c r="B34">
        <v>2015</v>
      </c>
      <c r="C34">
        <v>2020</v>
      </c>
      <c r="D34">
        <v>2025</v>
      </c>
      <c r="E34">
        <v>2030</v>
      </c>
      <c r="F34">
        <v>2050</v>
      </c>
    </row>
    <row r="35" spans="1:6">
      <c r="A35" t="s">
        <v>247</v>
      </c>
      <c r="B35">
        <v>63.628359610598103</v>
      </c>
      <c r="C35">
        <v>60.705245610807602</v>
      </c>
      <c r="D35">
        <v>57.2669859004478</v>
      </c>
      <c r="E35">
        <v>53.588829719739699</v>
      </c>
      <c r="F35">
        <v>49.965433346804502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Z59"/>
  <sheetViews>
    <sheetView topLeftCell="B2" workbookViewId="0">
      <pane xSplit="1" ySplit="3" topLeftCell="H9" activePane="bottomRight" state="frozen"/>
      <selection activeCell="B2" sqref="B2"/>
      <selection pane="topRight" activeCell="C2" sqref="C2"/>
      <selection pane="bottomLeft" activeCell="B5" sqref="B5"/>
      <selection pane="bottomRight" activeCell="B2" sqref="A1:XFD1048576"/>
    </sheetView>
  </sheetViews>
  <sheetFormatPr baseColWidth="10" defaultColWidth="11.453125" defaultRowHeight="14.5"/>
  <cols>
    <col min="1" max="1" width="11.453125" style="256"/>
    <col min="2" max="2" width="25.81640625" style="256" customWidth="1"/>
    <col min="3" max="17" width="11.453125" style="256"/>
    <col min="18" max="23" width="11.453125" style="622"/>
    <col min="24" max="16384" width="11.453125" style="256"/>
  </cols>
  <sheetData>
    <row r="1" spans="1:25">
      <c r="A1" s="605" t="s">
        <v>407</v>
      </c>
      <c r="B1" s="606"/>
      <c r="C1" s="780" t="s">
        <v>0</v>
      </c>
      <c r="D1" s="780"/>
      <c r="E1" s="780"/>
      <c r="F1" s="780"/>
      <c r="G1" s="780"/>
      <c r="H1" s="780"/>
      <c r="I1" s="764"/>
      <c r="J1" s="781" t="s">
        <v>1</v>
      </c>
      <c r="K1" s="781"/>
      <c r="L1" s="781"/>
      <c r="M1" s="781"/>
      <c r="N1" s="781"/>
      <c r="O1" s="781"/>
      <c r="P1" s="781"/>
      <c r="R1" s="607"/>
      <c r="S1" s="607"/>
      <c r="T1" s="607"/>
      <c r="U1" s="607"/>
      <c r="V1" s="607"/>
      <c r="W1" s="607"/>
    </row>
    <row r="2" spans="1:25">
      <c r="A2" s="608" t="s">
        <v>408</v>
      </c>
      <c r="B2" s="606"/>
      <c r="C2" s="782" t="s">
        <v>2</v>
      </c>
      <c r="D2" s="783"/>
      <c r="E2" s="784" t="s">
        <v>3</v>
      </c>
      <c r="F2" s="785"/>
      <c r="G2" s="785"/>
      <c r="H2" s="785"/>
      <c r="I2" s="609"/>
      <c r="J2" s="786" t="s">
        <v>4</v>
      </c>
      <c r="K2" s="787" t="s">
        <v>5</v>
      </c>
      <c r="L2" s="788"/>
      <c r="M2" s="788"/>
      <c r="N2" s="788"/>
      <c r="O2" s="788"/>
      <c r="P2" s="786"/>
      <c r="R2" s="610"/>
      <c r="S2" s="113"/>
      <c r="T2" s="610"/>
      <c r="U2" s="110" t="s">
        <v>90</v>
      </c>
      <c r="V2" s="113"/>
      <c r="W2" s="111"/>
    </row>
    <row r="3" spans="1:25" ht="52">
      <c r="A3" s="611" t="s">
        <v>409</v>
      </c>
      <c r="B3" s="673" t="s">
        <v>410</v>
      </c>
      <c r="C3" s="612"/>
      <c r="D3" s="612"/>
      <c r="E3" s="6" t="s">
        <v>6</v>
      </c>
      <c r="F3" s="613"/>
      <c r="G3" s="789" t="s">
        <v>7</v>
      </c>
      <c r="H3" s="790"/>
      <c r="I3" s="614" t="s">
        <v>75</v>
      </c>
      <c r="J3" s="786"/>
      <c r="K3" s="787"/>
      <c r="L3" s="788"/>
      <c r="M3" s="788"/>
      <c r="N3" s="788"/>
      <c r="O3" s="788"/>
      <c r="P3" s="786"/>
      <c r="R3" s="112"/>
      <c r="S3" s="113"/>
      <c r="T3" s="113"/>
      <c r="U3" s="113"/>
      <c r="V3" s="113"/>
      <c r="W3" s="111"/>
      <c r="Y3" s="256" t="s">
        <v>399</v>
      </c>
    </row>
    <row r="4" spans="1:25">
      <c r="A4" s="615" t="s">
        <v>8</v>
      </c>
      <c r="B4" s="615" t="s">
        <v>9</v>
      </c>
      <c r="C4" s="616"/>
      <c r="D4" s="617" t="s">
        <v>10</v>
      </c>
      <c r="E4" s="12"/>
      <c r="F4" s="618" t="s">
        <v>10</v>
      </c>
      <c r="G4" s="12"/>
      <c r="H4" s="618" t="s">
        <v>10</v>
      </c>
      <c r="I4" s="617"/>
      <c r="J4" s="786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5">
      <c r="A5" s="619"/>
      <c r="B5" s="620"/>
      <c r="C5" s="773">
        <f>SUM(C7:C48)-N23-O23</f>
        <v>224.70432925136538</v>
      </c>
      <c r="D5" s="621">
        <f>[2]Bilan_E_2030_Mtep!B11</f>
        <v>219.7148796784881</v>
      </c>
      <c r="E5" s="20"/>
      <c r="F5" s="674">
        <f>F7+F21+F26+F36</f>
        <v>57.156997759099639</v>
      </c>
      <c r="G5" s="622"/>
      <c r="H5" s="737">
        <f>H7+H21+H26+H36</f>
        <v>174.4294775784316</v>
      </c>
      <c r="I5" s="644">
        <f>I13</f>
        <v>2.590303131256531</v>
      </c>
      <c r="J5" s="623"/>
      <c r="K5" s="25">
        <f>K12+K21+K26</f>
        <v>4.3563821305513084</v>
      </c>
      <c r="L5" s="25">
        <f>L12+L21+L26</f>
        <v>3.7626297783448743</v>
      </c>
      <c r="M5" s="25">
        <f t="shared" ref="M5:O5" si="0">M12+M21+M26</f>
        <v>0.28458344896914067</v>
      </c>
      <c r="N5" s="25">
        <f>N12+N21+N26</f>
        <v>0</v>
      </c>
      <c r="O5" s="25">
        <f t="shared" si="0"/>
        <v>0</v>
      </c>
      <c r="P5" s="26">
        <f>P7+P23+P26+SUM(P36:P48)</f>
        <v>132.5430573792861</v>
      </c>
      <c r="R5" s="624">
        <f>SUM(R13,R23,R26:R32,R43)</f>
        <v>132.32777361637852</v>
      </c>
      <c r="S5" s="624">
        <f>SUM(S7:S48)</f>
        <v>4.0180008871909827</v>
      </c>
      <c r="T5" s="624">
        <f>SUM(T7:T48)</f>
        <v>30.768734982691875</v>
      </c>
      <c r="U5" s="624">
        <f>SUM(U7:U48)</f>
        <v>33.587164295203614</v>
      </c>
      <c r="V5" s="624">
        <f>SUM(V7:V48)</f>
        <v>21.403403739642165</v>
      </c>
      <c r="W5" s="624">
        <f>SUM(W7:W48)</f>
        <v>42.550469711649903</v>
      </c>
      <c r="X5" s="625" t="s">
        <v>400</v>
      </c>
    </row>
    <row r="6" spans="1:25">
      <c r="A6" s="626"/>
      <c r="B6" s="606"/>
      <c r="C6" s="627"/>
      <c r="D6" s="628" t="s">
        <v>401</v>
      </c>
      <c r="E6" s="637"/>
      <c r="F6" s="629"/>
      <c r="G6" s="637"/>
      <c r="H6" s="687">
        <f>-[2]Bilan_E_2030_Mtep!O15-[2]Bilan_E_2030_Mtep!O16</f>
        <v>48.409286328460873</v>
      </c>
      <c r="I6" s="629"/>
      <c r="J6" s="629"/>
      <c r="K6" s="629"/>
      <c r="L6" s="629"/>
      <c r="M6" s="629"/>
      <c r="N6" s="629"/>
      <c r="O6" s="629"/>
      <c r="P6" s="630"/>
      <c r="R6" s="631" t="s">
        <v>402</v>
      </c>
      <c r="S6" s="606"/>
      <c r="T6" s="606"/>
      <c r="U6" s="670"/>
      <c r="V6" s="670"/>
      <c r="W6" s="606"/>
    </row>
    <row r="7" spans="1:25">
      <c r="A7" s="791" t="s">
        <v>15</v>
      </c>
      <c r="B7" s="606" t="s">
        <v>17</v>
      </c>
      <c r="C7" s="738">
        <f>[2]Bilan_E_2030_Mtep!L15</f>
        <v>7.7386070507308675</v>
      </c>
      <c r="D7" s="792">
        <f>SUM(C7:C19)</f>
        <v>104.11303940674789</v>
      </c>
      <c r="E7" s="636">
        <v>0</v>
      </c>
      <c r="F7" s="793">
        <f>SUM(E7:E19)</f>
        <v>55.703753078287015</v>
      </c>
      <c r="G7" s="739">
        <f>C7-E7</f>
        <v>7.7386070507308675</v>
      </c>
      <c r="H7" s="794">
        <f>SUM(G7:G19)</f>
        <v>48.409286328460873</v>
      </c>
      <c r="I7" s="622"/>
      <c r="J7" s="792">
        <f>H7-I13</f>
        <v>45.818983197204339</v>
      </c>
      <c r="K7" s="633"/>
      <c r="L7" s="633"/>
      <c r="M7" s="633"/>
      <c r="N7" s="634"/>
      <c r="O7" s="635"/>
      <c r="P7" s="779">
        <f>J7-K12-L12-M12-N12</f>
        <v>38.520759124121945</v>
      </c>
      <c r="Q7" s="601"/>
      <c r="R7" s="682"/>
      <c r="S7" s="120"/>
      <c r="T7" s="121"/>
      <c r="U7" s="122"/>
      <c r="V7" s="121"/>
      <c r="W7" s="122"/>
    </row>
    <row r="8" spans="1:25">
      <c r="A8" s="791"/>
      <c r="B8" s="606" t="s">
        <v>18</v>
      </c>
      <c r="C8" s="738">
        <f>G8+E8</f>
        <v>6.7927773000859837</v>
      </c>
      <c r="D8" s="792"/>
      <c r="E8" s="636">
        <v>0</v>
      </c>
      <c r="F8" s="793"/>
      <c r="G8" s="740">
        <f>[2]Bilan_E_2030_Mtep!N15-[2]SRER!B12/11.63</f>
        <v>6.7927773000859837</v>
      </c>
      <c r="H8" s="794"/>
      <c r="I8" s="622"/>
      <c r="J8" s="792"/>
      <c r="K8" s="633"/>
      <c r="L8" s="633"/>
      <c r="M8" s="633"/>
      <c r="N8" s="634"/>
      <c r="O8" s="635"/>
      <c r="P8" s="779"/>
      <c r="Q8" s="601"/>
      <c r="R8" s="683"/>
      <c r="S8" s="124"/>
      <c r="T8" s="125"/>
      <c r="U8" s="126"/>
      <c r="V8" s="125"/>
      <c r="W8" s="126"/>
    </row>
    <row r="9" spans="1:25">
      <c r="A9" s="791"/>
      <c r="B9" s="606" t="s">
        <v>19</v>
      </c>
      <c r="C9" s="738">
        <f>[2]Bilan_E_2030_Mtep!M15</f>
        <v>2.5795356835769558</v>
      </c>
      <c r="D9" s="792"/>
      <c r="E9" s="636">
        <v>0</v>
      </c>
      <c r="F9" s="793"/>
      <c r="G9" s="739">
        <f>C9-E9</f>
        <v>2.5795356835769558</v>
      </c>
      <c r="H9" s="794"/>
      <c r="I9" s="622"/>
      <c r="J9" s="792"/>
      <c r="K9" s="633"/>
      <c r="L9" s="633"/>
      <c r="M9" s="633"/>
      <c r="N9" s="634"/>
      <c r="O9" s="635"/>
      <c r="P9" s="779"/>
      <c r="Q9" s="601"/>
      <c r="R9" s="683"/>
      <c r="S9" s="124"/>
      <c r="T9" s="125"/>
      <c r="U9" s="126"/>
      <c r="V9" s="125"/>
      <c r="W9" s="126"/>
    </row>
    <row r="10" spans="1:25">
      <c r="A10" s="791"/>
      <c r="B10" s="606" t="s">
        <v>20</v>
      </c>
      <c r="C10" s="738">
        <f>[2]Bilan_E_2030_Mtep!K15</f>
        <v>78.167747987180476</v>
      </c>
      <c r="D10" s="792"/>
      <c r="E10" s="636">
        <f>C10-G10</f>
        <v>52.372391151410916</v>
      </c>
      <c r="F10" s="793"/>
      <c r="G10" s="741">
        <f>[2]Bilan_E_2030_Mtep!K15*[2]Bilan_E_2030_Mtep!B43</f>
        <v>25.79535683576956</v>
      </c>
      <c r="H10" s="794"/>
      <c r="I10" s="622"/>
      <c r="J10" s="792"/>
      <c r="K10" s="633"/>
      <c r="L10" s="633"/>
      <c r="M10" s="633"/>
      <c r="N10" s="634"/>
      <c r="O10" s="635"/>
      <c r="P10" s="779"/>
      <c r="Q10" s="601"/>
      <c r="R10" s="683"/>
      <c r="S10" s="124"/>
      <c r="T10" s="125"/>
      <c r="U10" s="126"/>
      <c r="V10" s="125"/>
      <c r="W10" s="126"/>
    </row>
    <row r="11" spans="1:25">
      <c r="A11" s="791"/>
      <c r="B11" s="606" t="s">
        <v>21</v>
      </c>
      <c r="C11" s="738">
        <v>0</v>
      </c>
      <c r="D11" s="792"/>
      <c r="E11" s="281"/>
      <c r="F11" s="793"/>
      <c r="G11" s="742">
        <f>C11-E11</f>
        <v>0</v>
      </c>
      <c r="H11" s="794"/>
      <c r="I11" s="622"/>
      <c r="J11" s="792"/>
      <c r="K11" s="633"/>
      <c r="L11" s="633"/>
      <c r="M11" s="633"/>
      <c r="N11" s="634"/>
      <c r="O11" s="635"/>
      <c r="P11" s="779"/>
      <c r="Q11" s="601"/>
      <c r="R11" s="683"/>
      <c r="S11" s="124"/>
      <c r="T11" s="125"/>
      <c r="U11" s="126"/>
      <c r="V11" s="125"/>
      <c r="W11" s="126"/>
    </row>
    <row r="12" spans="1:25">
      <c r="A12" s="791"/>
      <c r="B12" s="606" t="s">
        <v>22</v>
      </c>
      <c r="C12" s="717">
        <f>[2]Bilan_E_2030_Mtep!W15+[2]Bilan_E_2030_Mtep!AG16+[2]Bilan_E_2030_Mtep!AG20/2</f>
        <v>1.1501899866491867</v>
      </c>
      <c r="D12" s="792"/>
      <c r="E12" s="636">
        <f>C12-G12</f>
        <v>0.1872883266759755</v>
      </c>
      <c r="F12" s="793"/>
      <c r="G12" s="740">
        <f>([2]Déchets!F6+[2]Déchets!F10)/1000/11.63</f>
        <v>0.9629016599732112</v>
      </c>
      <c r="H12" s="794"/>
      <c r="I12" s="622"/>
      <c r="J12" s="792"/>
      <c r="K12" s="718">
        <f>[2]Bilan_E_2030_Mtep!O24</f>
        <v>3.3241608457683745</v>
      </c>
      <c r="L12" s="718">
        <f>-[2]Bilan_E_2030_Mtep!O7-[2]Bilan_E_2030_Mtep!O6-[2]Bilan_E_2030_Mtep!O9</f>
        <v>3.6894797783448743</v>
      </c>
      <c r="M12" s="718">
        <f>[2]Bilan_E_2030_Mtep!O18</f>
        <v>0.28458344896914067</v>
      </c>
      <c r="N12" s="719">
        <v>0</v>
      </c>
      <c r="O12" s="720">
        <v>0</v>
      </c>
      <c r="P12" s="779"/>
      <c r="Q12" s="601"/>
      <c r="R12" s="683"/>
      <c r="S12" s="124"/>
      <c r="T12" s="125"/>
      <c r="U12" s="126"/>
      <c r="V12" s="125"/>
      <c r="W12" s="126"/>
    </row>
    <row r="13" spans="1:25">
      <c r="A13" s="791"/>
      <c r="B13" s="606" t="s">
        <v>23</v>
      </c>
      <c r="C13" s="689">
        <f>[2]Bilan_E_2030_Mtep!U15+[2]Bilan_E_2030_Mtep!AE16+[2]Bilan_E_2030_Mtep!AE20/2</f>
        <v>0.54731077144439921</v>
      </c>
      <c r="D13" s="792"/>
      <c r="E13" s="636">
        <f>C13-G13</f>
        <v>4.8475544057335451E-2</v>
      </c>
      <c r="F13" s="793"/>
      <c r="G13" s="740">
        <f>[2]SRER!B9/11.63-'[2]Bilan 2030'!G12</f>
        <v>0.49883522738706376</v>
      </c>
      <c r="H13" s="794"/>
      <c r="I13" s="690">
        <f>[2]Bilan_E_2030_Mtep!O23+[2]Bilan_E_2030_Mtep!O35+[2]Bilan_E_2030_Mtep!O21</f>
        <v>2.590303131256531</v>
      </c>
      <c r="J13" s="792"/>
      <c r="K13" s="691"/>
      <c r="L13" s="691"/>
      <c r="M13" s="691"/>
      <c r="N13" s="692"/>
      <c r="O13" s="693"/>
      <c r="P13" s="779"/>
      <c r="Q13" s="601"/>
      <c r="R13" s="683">
        <f>SUM(S7:W19)</f>
        <v>38.520759124121952</v>
      </c>
      <c r="S13" s="675">
        <f>[2]Bilan_E_2030_Mtep!O31</f>
        <v>0.7196295427235383</v>
      </c>
      <c r="T13" s="676">
        <f>[2]Bilan_E_2030_Mtep!O27</f>
        <v>10.932101566646132</v>
      </c>
      <c r="U13" s="676">
        <f>[2]Bilan_E_2030_Mtep!O28</f>
        <v>12.414750368519954</v>
      </c>
      <c r="V13" s="676">
        <f>[2]Bilan_E_2030_Mtep!O29</f>
        <v>11.481449485039443</v>
      </c>
      <c r="W13" s="676">
        <f>[2]Bilan_E_2030_Mtep!O30</f>
        <v>2.9728281611928842</v>
      </c>
    </row>
    <row r="14" spans="1:25">
      <c r="A14" s="791"/>
      <c r="B14" s="606" t="s">
        <v>24</v>
      </c>
      <c r="C14" s="743">
        <f>[2]Bilan_E_2030_Mtep!Y15</f>
        <v>0.85984522785898532</v>
      </c>
      <c r="D14" s="792"/>
      <c r="E14" s="636">
        <f>C14-G14</f>
        <v>0.7738607050730868</v>
      </c>
      <c r="F14" s="793"/>
      <c r="G14" s="740">
        <f>[2]SRER!B13/11.63</f>
        <v>8.5984522785898534E-2</v>
      </c>
      <c r="H14" s="794"/>
      <c r="I14" s="622"/>
      <c r="J14" s="792"/>
      <c r="K14" s="633"/>
      <c r="L14" s="633"/>
      <c r="M14" s="633"/>
      <c r="N14" s="634"/>
      <c r="O14" s="635"/>
      <c r="P14" s="779"/>
      <c r="Q14" s="601"/>
      <c r="R14" s="683"/>
      <c r="S14" s="124"/>
      <c r="T14" s="125"/>
      <c r="U14" s="126"/>
      <c r="V14" s="125"/>
      <c r="W14" s="126"/>
    </row>
    <row r="15" spans="1:25">
      <c r="A15" s="791"/>
      <c r="B15" s="606" t="s">
        <v>25</v>
      </c>
      <c r="C15" s="738">
        <f>G15+E15</f>
        <v>0.34393809114359414</v>
      </c>
      <c r="D15" s="792"/>
      <c r="E15" s="636">
        <v>0</v>
      </c>
      <c r="F15" s="793"/>
      <c r="G15" s="740">
        <f>[2]SRER!B12/11.63</f>
        <v>0.34393809114359414</v>
      </c>
      <c r="H15" s="794"/>
      <c r="I15" s="622"/>
      <c r="J15" s="792"/>
      <c r="K15" s="633"/>
      <c r="L15" s="633"/>
      <c r="M15" s="633"/>
      <c r="N15" s="634"/>
      <c r="O15" s="635"/>
      <c r="P15" s="779"/>
      <c r="Q15" s="601"/>
      <c r="R15" s="683"/>
      <c r="S15" s="124"/>
      <c r="T15" s="125"/>
      <c r="U15" s="126"/>
      <c r="V15" s="125"/>
      <c r="W15" s="126"/>
    </row>
    <row r="16" spans="1:25">
      <c r="A16" s="791"/>
      <c r="B16" s="606" t="s">
        <v>26</v>
      </c>
      <c r="C16" s="738">
        <f>[2]Bilan_E_2030_Mtep!P15</f>
        <v>0</v>
      </c>
      <c r="D16" s="792"/>
      <c r="E16" s="281"/>
      <c r="F16" s="793"/>
      <c r="G16" s="742"/>
      <c r="H16" s="794"/>
      <c r="I16" s="622"/>
      <c r="J16" s="792"/>
      <c r="K16" s="633"/>
      <c r="L16" s="633"/>
      <c r="M16" s="633"/>
      <c r="N16" s="634"/>
      <c r="O16" s="635"/>
      <c r="P16" s="779"/>
      <c r="Q16" s="601"/>
      <c r="R16" s="683"/>
      <c r="S16" s="124"/>
      <c r="T16" s="125"/>
      <c r="U16" s="126"/>
      <c r="V16" s="125"/>
      <c r="W16" s="126"/>
    </row>
    <row r="17" spans="1:23">
      <c r="A17" s="791"/>
      <c r="B17" s="606" t="s">
        <v>27</v>
      </c>
      <c r="C17" s="738">
        <f>SUM([2]Bilan_E_2030_Mtep!D15:I15)</f>
        <v>0</v>
      </c>
      <c r="D17" s="792"/>
      <c r="E17" s="636">
        <f t="shared" ref="E17:E18" si="1">C17-G17</f>
        <v>0</v>
      </c>
      <c r="F17" s="793"/>
      <c r="G17" s="742">
        <f>0.4*C17</f>
        <v>0</v>
      </c>
      <c r="H17" s="794"/>
      <c r="I17" s="622"/>
      <c r="J17" s="792"/>
      <c r="K17" s="633"/>
      <c r="L17" s="633"/>
      <c r="M17" s="633"/>
      <c r="N17" s="634"/>
      <c r="O17" s="635"/>
      <c r="P17" s="779"/>
      <c r="Q17" s="601"/>
      <c r="R17" s="683"/>
      <c r="S17" s="124"/>
      <c r="T17" s="125"/>
      <c r="U17" s="126"/>
      <c r="V17" s="125"/>
      <c r="W17" s="126"/>
    </row>
    <row r="18" spans="1:23">
      <c r="A18" s="791"/>
      <c r="B18" s="606" t="s">
        <v>28</v>
      </c>
      <c r="C18" s="738">
        <f>[2]Bilan_E_2030_Mtep!C15</f>
        <v>0</v>
      </c>
      <c r="D18" s="792"/>
      <c r="E18" s="636">
        <f t="shared" si="1"/>
        <v>0</v>
      </c>
      <c r="F18" s="793"/>
      <c r="G18" s="742">
        <f>[2]Bilan_E_2030_Mtep!B49*C18</f>
        <v>0</v>
      </c>
      <c r="H18" s="794"/>
      <c r="I18" s="622"/>
      <c r="J18" s="792"/>
      <c r="K18" s="633"/>
      <c r="L18" s="633"/>
      <c r="M18" s="633"/>
      <c r="N18" s="634"/>
      <c r="O18" s="635"/>
      <c r="P18" s="779"/>
      <c r="Q18" s="601"/>
      <c r="R18" s="683"/>
      <c r="S18" s="124"/>
      <c r="T18" s="125"/>
      <c r="U18" s="126"/>
      <c r="V18" s="125"/>
      <c r="W18" s="126"/>
    </row>
    <row r="19" spans="1:23">
      <c r="A19" s="791"/>
      <c r="B19" s="637" t="s">
        <v>262</v>
      </c>
      <c r="C19" s="689">
        <f>[2]Bilan_E_2030_Mtep!S15+[2]Bilan_E_2030_Mtep!T15+[2]Bilan_E_2030_Mtep!AF16+[2]Bilan_E_2030_Mtep!AF20/2</f>
        <v>5.9330873080774467</v>
      </c>
      <c r="D19" s="792"/>
      <c r="E19" s="636">
        <f>C19-G19</f>
        <v>2.3217373510697081</v>
      </c>
      <c r="F19" s="793"/>
      <c r="G19" s="740">
        <f>([2]SRER!B11+[2]SRER!B10)/11.63</f>
        <v>3.6113499570077385</v>
      </c>
      <c r="H19" s="794"/>
      <c r="I19" s="622"/>
      <c r="J19" s="792"/>
      <c r="K19" s="633"/>
      <c r="L19" s="633"/>
      <c r="M19" s="633"/>
      <c r="N19" s="634"/>
      <c r="O19" s="635"/>
      <c r="P19" s="779"/>
      <c r="Q19" s="601"/>
      <c r="R19" s="684"/>
      <c r="S19" s="129"/>
      <c r="T19" s="130"/>
      <c r="U19" s="131"/>
      <c r="V19" s="130"/>
      <c r="W19" s="131"/>
    </row>
    <row r="20" spans="1:23">
      <c r="A20" s="626" t="s">
        <v>403</v>
      </c>
      <c r="B20" s="606"/>
      <c r="C20" s="744"/>
      <c r="D20" s="638"/>
      <c r="E20" s="619"/>
      <c r="F20" s="638"/>
      <c r="G20" s="638"/>
      <c r="H20" s="638">
        <f>H7*11.63</f>
        <v>563</v>
      </c>
      <c r="I20" s="619"/>
      <c r="J20" s="606"/>
      <c r="K20" s="619"/>
      <c r="L20" s="606"/>
      <c r="M20" s="606"/>
      <c r="N20" s="606"/>
      <c r="O20" s="606"/>
      <c r="P20" s="639"/>
      <c r="R20" s="619"/>
      <c r="S20" s="606"/>
      <c r="T20" s="619"/>
      <c r="U20" s="606"/>
      <c r="V20" s="619"/>
      <c r="W20" s="606"/>
    </row>
    <row r="21" spans="1:23">
      <c r="A21" s="802" t="s">
        <v>13</v>
      </c>
      <c r="B21" s="606" t="s">
        <v>21</v>
      </c>
      <c r="C21" s="743">
        <f>([2]Gaz!D13+[2]Gaz!D18+[2]Gaz!D19)/11.63</f>
        <v>3.567665979363714</v>
      </c>
      <c r="D21" s="803">
        <f>SUM(C21:C24)</f>
        <v>39.927941563232373</v>
      </c>
      <c r="E21" s="695">
        <f>C21-G21</f>
        <v>0.72667546327178245</v>
      </c>
      <c r="F21" s="803">
        <f>SUM(E21:E24)</f>
        <v>0.72667546327178245</v>
      </c>
      <c r="G21" s="688">
        <f>([2]Gaz!D6+[2]Gaz!D9+[2]Gaz!D10)/11.63</f>
        <v>2.8409905160919315</v>
      </c>
      <c r="H21" s="804">
        <f>SUM(G21:G24)</f>
        <v>39.201266099960591</v>
      </c>
      <c r="I21" s="619"/>
      <c r="J21" s="805">
        <f>H21-I21-I22-I23-I24</f>
        <v>38.065528866143048</v>
      </c>
      <c r="K21" s="795">
        <f>SUM([2]Bilan_E_2030_Mtep!S24:T24)</f>
        <v>0.57932905566444215</v>
      </c>
      <c r="L21" s="795">
        <f>-[2]Bilan_E_2030_Mtep!T6-[2]Bilan_E_2030_Mtep!T7-[2]Bilan_E_2030_Mtep!S8-[2]Bilan_E_2030_Mtep!T8</f>
        <v>7.3150000000000132E-2</v>
      </c>
      <c r="M21" s="796">
        <v>0</v>
      </c>
      <c r="N21" s="696"/>
      <c r="O21" s="696"/>
      <c r="P21" s="38"/>
      <c r="R21" s="137"/>
      <c r="S21" s="138"/>
      <c r="T21" s="139"/>
      <c r="U21" s="139"/>
      <c r="V21" s="139"/>
      <c r="W21" s="138"/>
    </row>
    <row r="22" spans="1:23">
      <c r="A22" s="802"/>
      <c r="B22" s="697" t="s">
        <v>413</v>
      </c>
      <c r="C22" s="721">
        <f>[2]H2!C27/11.63</f>
        <v>0</v>
      </c>
      <c r="D22" s="803"/>
      <c r="E22" s="698">
        <f>C22-G22</f>
        <v>0</v>
      </c>
      <c r="F22" s="803"/>
      <c r="G22" s="722">
        <f>[2]Gaz!D8/11.63</f>
        <v>0</v>
      </c>
      <c r="H22" s="804"/>
      <c r="I22" s="641"/>
      <c r="J22" s="805"/>
      <c r="K22" s="795"/>
      <c r="L22" s="795"/>
      <c r="M22" s="796"/>
      <c r="N22" s="766"/>
      <c r="O22" s="699"/>
      <c r="P22" s="40"/>
      <c r="R22" s="140"/>
      <c r="S22" s="677"/>
      <c r="T22" s="678"/>
      <c r="U22" s="678"/>
      <c r="V22" s="678"/>
      <c r="W22" s="677"/>
    </row>
    <row r="23" spans="1:23">
      <c r="A23" s="802"/>
      <c r="B23" s="745" t="s">
        <v>31</v>
      </c>
      <c r="C23" s="743">
        <v>0</v>
      </c>
      <c r="D23" s="803"/>
      <c r="E23" s="746">
        <f>C23-G23</f>
        <v>0</v>
      </c>
      <c r="F23" s="803"/>
      <c r="G23" s="743">
        <v>0</v>
      </c>
      <c r="H23" s="804"/>
      <c r="I23" s="679"/>
      <c r="J23" s="805"/>
      <c r="K23" s="795"/>
      <c r="L23" s="795"/>
      <c r="M23" s="796"/>
      <c r="N23" s="765">
        <f>C32</f>
        <v>1.3108818190503486</v>
      </c>
      <c r="O23" s="700">
        <f>C19</f>
        <v>5.9330873080774467</v>
      </c>
      <c r="P23" s="677">
        <f>J21-N23-O23-K21-L21</f>
        <v>30.169080683350806</v>
      </c>
      <c r="Q23" s="601"/>
      <c r="R23" s="680">
        <f>SUM(S23:W23)</f>
        <v>29.953796920443256</v>
      </c>
      <c r="S23" s="774">
        <f>SUM([2]Bilan_E_2030_Mtep!S31:T31)-[2]Gaz!D24/11.63</f>
        <v>0.45045405412646067</v>
      </c>
      <c r="T23" s="681">
        <f>SUM([2]Bilan_E_2030_Mtep!S27:T27)+SUM([2]Bilan_E_2030_Mtep!S33:T33)</f>
        <v>13.581217014833571</v>
      </c>
      <c r="U23" s="681">
        <f>SUM([2]Bilan_E_2030_Mtep!S28:T28)</f>
        <v>10.117508546611896</v>
      </c>
      <c r="V23" s="681">
        <f>SUM([2]Bilan_E_2030_Mtep!S29:T29)</f>
        <v>5.2642100260403408</v>
      </c>
      <c r="W23" s="681">
        <f>SUM([2]Bilan_E_2030_Mtep!S30:T30)</f>
        <v>0.54040727883098749</v>
      </c>
    </row>
    <row r="24" spans="1:23">
      <c r="A24" s="802"/>
      <c r="B24" s="606" t="s">
        <v>32</v>
      </c>
      <c r="C24" s="747">
        <f>[2]Gaz!I6/11.63</f>
        <v>36.360275583868656</v>
      </c>
      <c r="D24" s="803"/>
      <c r="E24" s="695">
        <f>[2]Bilan_E_2030_Mtep!S18</f>
        <v>0</v>
      </c>
      <c r="F24" s="803"/>
      <c r="G24" s="688">
        <f>C24-E24</f>
        <v>36.360275583868656</v>
      </c>
      <c r="H24" s="804"/>
      <c r="I24" s="701">
        <f>E54+E55+SUM([2]Bilan_E_2030_Mtep!S20:S21,[2]Bilan_E_2030_Mtep!S23,[2]Bilan_E_2030_Mtep!T20:T21,[2]Bilan_E_2030_Mtep!T23)</f>
        <v>1.1357372338175424</v>
      </c>
      <c r="J24" s="805"/>
      <c r="K24" s="795"/>
      <c r="L24" s="795"/>
      <c r="M24" s="796"/>
      <c r="N24" s="766"/>
      <c r="O24" s="699"/>
      <c r="P24" s="40"/>
      <c r="R24" s="142"/>
      <c r="S24" s="143"/>
      <c r="T24" s="144"/>
      <c r="U24" s="144"/>
      <c r="V24" s="144"/>
      <c r="W24" s="143"/>
    </row>
    <row r="25" spans="1:23">
      <c r="A25" s="606"/>
      <c r="B25" s="606"/>
      <c r="C25" s="745"/>
      <c r="D25" s="606"/>
      <c r="E25" s="637" t="s">
        <v>404</v>
      </c>
      <c r="F25" s="606"/>
      <c r="G25" s="619"/>
      <c r="H25" s="606"/>
      <c r="I25" s="606"/>
      <c r="J25" s="606"/>
      <c r="K25" s="606"/>
      <c r="L25" s="606"/>
      <c r="M25" s="606"/>
      <c r="N25" s="606"/>
      <c r="O25" s="606"/>
      <c r="P25" s="638"/>
      <c r="T25" s="644"/>
      <c r="U25" s="644"/>
      <c r="V25" s="644"/>
    </row>
    <row r="26" spans="1:23">
      <c r="A26" s="797" t="s">
        <v>14</v>
      </c>
      <c r="B26" s="606" t="s">
        <v>21</v>
      </c>
      <c r="C26" s="748"/>
      <c r="D26" s="800">
        <f>SUM(C26:C34)</f>
        <v>4.2184008569551263</v>
      </c>
      <c r="E26" s="43"/>
      <c r="F26" s="798">
        <v>0.72656921754084269</v>
      </c>
      <c r="G26" s="640"/>
      <c r="H26" s="799">
        <f>SUM(G26:G34)</f>
        <v>3.1300085984522781</v>
      </c>
      <c r="I26" s="606"/>
      <c r="J26" s="800">
        <f>H26</f>
        <v>3.1300085984522781</v>
      </c>
      <c r="K26" s="801">
        <f>[2]Bilan_E_2030_Mtep!P24</f>
        <v>0.4528922291184912</v>
      </c>
      <c r="L26" s="801">
        <f>-[2]Bilan_E_2030_Mtep!P7-[2]Bilan_E_2030_Mtep!P6</f>
        <v>0</v>
      </c>
      <c r="M26" s="801"/>
      <c r="N26" s="769"/>
      <c r="O26" s="772"/>
      <c r="P26" s="808">
        <f>J26-K26-M26-L26</f>
        <v>2.6771163693337869</v>
      </c>
      <c r="R26" s="145"/>
      <c r="S26" s="145"/>
      <c r="T26" s="145"/>
      <c r="U26" s="145"/>
      <c r="V26" s="146"/>
      <c r="W26" s="145"/>
    </row>
    <row r="27" spans="1:23">
      <c r="A27" s="797"/>
      <c r="B27" s="606" t="s">
        <v>22</v>
      </c>
      <c r="C27" s="702">
        <f>[2]RCU!E7/11.63</f>
        <v>0.85984522785898532</v>
      </c>
      <c r="D27" s="800"/>
      <c r="E27" s="43">
        <f>C27-G27</f>
        <v>0</v>
      </c>
      <c r="F27" s="798"/>
      <c r="G27" s="654">
        <f>[2]RCU!C7/11.63</f>
        <v>0.85984522785898532</v>
      </c>
      <c r="H27" s="799"/>
      <c r="I27" s="645"/>
      <c r="J27" s="800"/>
      <c r="K27" s="801"/>
      <c r="L27" s="801"/>
      <c r="M27" s="801"/>
      <c r="N27" s="769"/>
      <c r="O27" s="772"/>
      <c r="P27" s="808"/>
      <c r="R27" s="147"/>
      <c r="S27" s="769"/>
      <c r="T27" s="769"/>
      <c r="U27" s="769"/>
      <c r="V27" s="772"/>
      <c r="W27" s="769"/>
    </row>
    <row r="28" spans="1:23">
      <c r="A28" s="797"/>
      <c r="B28" s="606" t="s">
        <v>26</v>
      </c>
      <c r="C28" s="748">
        <f>[2]RCU!E12/11.63</f>
        <v>4.4024075666380051E-2</v>
      </c>
      <c r="D28" s="800"/>
      <c r="E28" s="43">
        <f t="shared" ref="E28:E29" si="2">C28-G28</f>
        <v>0</v>
      </c>
      <c r="F28" s="798"/>
      <c r="G28" s="654">
        <f>[2]RCU!C12/11.63</f>
        <v>4.4024075666380051E-2</v>
      </c>
      <c r="H28" s="799"/>
      <c r="I28" s="606"/>
      <c r="J28" s="800"/>
      <c r="K28" s="801"/>
      <c r="L28" s="801"/>
      <c r="M28" s="801"/>
      <c r="N28" s="769"/>
      <c r="O28" s="772"/>
      <c r="P28" s="808"/>
      <c r="R28" s="147"/>
      <c r="S28" s="769"/>
      <c r="T28" s="769"/>
      <c r="U28" s="769"/>
      <c r="V28" s="772"/>
      <c r="W28" s="769"/>
    </row>
    <row r="29" spans="1:23">
      <c r="A29" s="797"/>
      <c r="B29" s="606" t="s">
        <v>23</v>
      </c>
      <c r="C29" s="749">
        <f>[2]RCU!E9/11.63+[2]Bilan_E_2030_Mtep!AE17+[2]Bilan_E_2030_Mtep!AE20/2</f>
        <v>1.8273814626683198</v>
      </c>
      <c r="D29" s="800"/>
      <c r="E29" s="43">
        <f t="shared" si="2"/>
        <v>0.91766521159351333</v>
      </c>
      <c r="F29" s="798"/>
      <c r="G29" s="654">
        <f>[2]RCU!C8/11.63</f>
        <v>0.90971625107480647</v>
      </c>
      <c r="H29" s="799"/>
      <c r="I29" s="606" t="s">
        <v>400</v>
      </c>
      <c r="J29" s="800"/>
      <c r="K29" s="801"/>
      <c r="L29" s="801"/>
      <c r="M29" s="801"/>
      <c r="N29" s="769"/>
      <c r="O29" s="772"/>
      <c r="P29" s="808"/>
      <c r="Q29" s="601"/>
      <c r="R29" s="150">
        <f>SUM(S29:W29)</f>
        <v>2.6771163693337878</v>
      </c>
      <c r="S29" s="646">
        <f>[2]Bilan_E_2030_Mtep!P31</f>
        <v>0</v>
      </c>
      <c r="T29" s="646">
        <f>[2]Bilan_E_2030_Mtep!P27-[2]RCU!D83/11.63</f>
        <v>0.24911144296797771</v>
      </c>
      <c r="U29" s="646">
        <f>[2]Bilan_E_2030_Mtep!P28</f>
        <v>1.6777999812523532</v>
      </c>
      <c r="V29" s="646">
        <f>[2]Bilan_E_2030_Mtep!P29</f>
        <v>0.75020494511345692</v>
      </c>
      <c r="W29" s="646">
        <f>[2]Bilan_E_2030_Mtep!P30</f>
        <v>0</v>
      </c>
    </row>
    <row r="30" spans="1:23">
      <c r="A30" s="797"/>
      <c r="B30" s="606" t="s">
        <v>24</v>
      </c>
      <c r="C30" s="748">
        <f>[2]RCU!E11/11.63</f>
        <v>0.17196904557179707</v>
      </c>
      <c r="D30" s="800"/>
      <c r="E30" s="43">
        <f>C30-G30</f>
        <v>0</v>
      </c>
      <c r="F30" s="798"/>
      <c r="G30" s="654">
        <f>[2]RCU!C11/11.63</f>
        <v>0.17196904557179707</v>
      </c>
      <c r="H30" s="799"/>
      <c r="I30" s="606"/>
      <c r="J30" s="800"/>
      <c r="K30" s="801"/>
      <c r="L30" s="801"/>
      <c r="M30" s="801"/>
      <c r="N30" s="769"/>
      <c r="O30" s="772"/>
      <c r="P30" s="808"/>
      <c r="R30" s="147"/>
      <c r="S30" s="769"/>
      <c r="T30" s="769"/>
      <c r="U30" s="769"/>
      <c r="V30" s="772"/>
      <c r="W30" s="769"/>
    </row>
    <row r="31" spans="1:23">
      <c r="A31" s="797"/>
      <c r="B31" s="606" t="s">
        <v>33</v>
      </c>
      <c r="C31" s="748">
        <f>[2]RCU!E14/11.63</f>
        <v>4.2992261392949269E-3</v>
      </c>
      <c r="D31" s="800"/>
      <c r="E31" s="43">
        <f>C31-G31</f>
        <v>0</v>
      </c>
      <c r="F31" s="798"/>
      <c r="G31" s="654">
        <f>[2]RCU!C14/11.63</f>
        <v>4.2992261392949269E-3</v>
      </c>
      <c r="H31" s="799"/>
      <c r="I31" s="606"/>
      <c r="J31" s="800"/>
      <c r="K31" s="801"/>
      <c r="L31" s="801"/>
      <c r="M31" s="801"/>
      <c r="N31" s="769"/>
      <c r="O31" s="772"/>
      <c r="P31" s="808"/>
      <c r="R31" s="147"/>
      <c r="S31" s="769"/>
      <c r="T31" s="769"/>
      <c r="U31" s="769"/>
      <c r="V31" s="772"/>
      <c r="W31" s="769"/>
    </row>
    <row r="32" spans="1:23">
      <c r="A32" s="797"/>
      <c r="B32" s="606" t="s">
        <v>29</v>
      </c>
      <c r="C32" s="702">
        <f>([2]RCU!E17+[2]RCU!E13)/11.63</f>
        <v>1.3108818190503486</v>
      </c>
      <c r="D32" s="800"/>
      <c r="E32" s="43">
        <f>C32-G32</f>
        <v>0.17072704690933405</v>
      </c>
      <c r="F32" s="798"/>
      <c r="G32" s="654">
        <f>([2]RCU!C13+[2]RCU!C17)/11.63</f>
        <v>1.1401547721410146</v>
      </c>
      <c r="H32" s="799"/>
      <c r="I32" s="606"/>
      <c r="J32" s="800"/>
      <c r="K32" s="801"/>
      <c r="L32" s="801"/>
      <c r="M32" s="801"/>
      <c r="N32" s="769"/>
      <c r="O32" s="772"/>
      <c r="P32" s="808"/>
      <c r="R32" s="152"/>
      <c r="S32" s="153"/>
      <c r="T32" s="153"/>
      <c r="U32" s="153"/>
      <c r="V32" s="154"/>
      <c r="W32" s="153"/>
    </row>
    <row r="33" spans="1:26">
      <c r="A33" s="767"/>
      <c r="B33" s="637" t="s">
        <v>27</v>
      </c>
      <c r="C33" s="750"/>
      <c r="D33" s="800"/>
      <c r="E33" s="43"/>
      <c r="F33" s="768"/>
      <c r="G33" s="751"/>
      <c r="H33" s="768"/>
      <c r="I33" s="606"/>
      <c r="J33" s="647"/>
      <c r="K33" s="768"/>
      <c r="L33" s="768"/>
      <c r="M33" s="768"/>
      <c r="N33" s="768"/>
      <c r="O33" s="768"/>
      <c r="P33" s="768"/>
      <c r="R33" s="647"/>
      <c r="S33" s="768"/>
      <c r="T33" s="768"/>
      <c r="U33" s="768"/>
      <c r="V33" s="768"/>
      <c r="W33" s="768"/>
    </row>
    <row r="34" spans="1:26">
      <c r="A34" s="767"/>
      <c r="B34" s="637" t="s">
        <v>28</v>
      </c>
      <c r="C34" s="750"/>
      <c r="D34" s="800"/>
      <c r="E34" s="43"/>
      <c r="F34" s="768"/>
      <c r="G34" s="752"/>
      <c r="H34" s="768"/>
      <c r="I34" s="606"/>
      <c r="J34" s="685"/>
      <c r="K34" s="768"/>
      <c r="L34" s="768"/>
      <c r="M34" s="768"/>
      <c r="N34" s="768"/>
      <c r="O34" s="768"/>
      <c r="P34" s="768"/>
      <c r="R34" s="647"/>
      <c r="S34" s="768"/>
      <c r="T34" s="768"/>
      <c r="U34" s="768"/>
      <c r="V34" s="768"/>
      <c r="W34" s="768"/>
    </row>
    <row r="35" spans="1:26">
      <c r="A35" s="648"/>
      <c r="B35" s="606"/>
      <c r="C35" s="751"/>
      <c r="D35" s="639"/>
      <c r="E35" s="745"/>
      <c r="F35" s="606"/>
      <c r="G35" s="649"/>
      <c r="H35" s="650"/>
      <c r="I35" s="606"/>
      <c r="J35" s="606"/>
      <c r="K35" s="606"/>
      <c r="L35" s="606"/>
      <c r="M35" s="606"/>
      <c r="N35" s="606"/>
      <c r="O35" s="606"/>
      <c r="P35" s="651"/>
      <c r="T35" s="644"/>
      <c r="U35" s="644"/>
      <c r="V35" s="644"/>
    </row>
    <row r="36" spans="1:26">
      <c r="A36" s="809" t="s">
        <v>34</v>
      </c>
      <c r="B36" s="606" t="s">
        <v>21</v>
      </c>
      <c r="C36" s="753">
        <f>[2]Gaz!D7/11.63</f>
        <v>0</v>
      </c>
      <c r="D36" s="807">
        <f>SUM(C36:C48)</f>
        <v>83.688916551557853</v>
      </c>
      <c r="E36" s="292"/>
      <c r="F36" s="806"/>
      <c r="G36" s="688">
        <f>C36</f>
        <v>0</v>
      </c>
      <c r="H36" s="807">
        <f>SUM(G36:G48)</f>
        <v>83.688916551557853</v>
      </c>
      <c r="I36" s="292"/>
      <c r="J36" s="292"/>
      <c r="K36" s="292"/>
      <c r="L36" s="292"/>
      <c r="M36" s="292"/>
      <c r="N36" s="292"/>
      <c r="O36" s="292"/>
      <c r="P36" s="716"/>
      <c r="Q36" s="601"/>
      <c r="R36" s="723"/>
      <c r="S36" s="775">
        <f>[2]Gaz!D7/11.63</f>
        <v>0</v>
      </c>
      <c r="T36" s="655">
        <v>0</v>
      </c>
      <c r="U36" s="652">
        <v>0</v>
      </c>
      <c r="V36" s="724">
        <v>0</v>
      </c>
      <c r="W36" s="776">
        <v>0</v>
      </c>
      <c r="X36" s="601">
        <f>SUM(S36:W36)</f>
        <v>0</v>
      </c>
    </row>
    <row r="37" spans="1:26">
      <c r="A37" s="809"/>
      <c r="B37" s="606" t="s">
        <v>23</v>
      </c>
      <c r="C37" s="750">
        <f>G37+I37+E37</f>
        <v>6.714897185961231</v>
      </c>
      <c r="D37" s="807"/>
      <c r="E37" s="287">
        <f>[2]Bilan_E_2030_Mtep!U23</f>
        <v>0</v>
      </c>
      <c r="F37" s="806"/>
      <c r="G37" s="688">
        <f>SUM([2]Bilan_E_2030_Mtep!U27:U31,[2]Bilan_E_2030_Mtep!U33)</f>
        <v>6.714897185961231</v>
      </c>
      <c r="H37" s="807"/>
      <c r="I37" s="287"/>
      <c r="J37" s="292"/>
      <c r="K37" s="292"/>
      <c r="L37" s="292"/>
      <c r="M37" s="725"/>
      <c r="N37" s="292"/>
      <c r="O37" s="292"/>
      <c r="P37" s="706">
        <f>G37-I37-E58</f>
        <v>6.714897185961231</v>
      </c>
      <c r="Q37" s="601"/>
      <c r="R37" s="771"/>
      <c r="S37" s="726">
        <f>[2]Bilan_E_2030_Mtep!U31</f>
        <v>5.682763481330546E-2</v>
      </c>
      <c r="T37" s="726">
        <f>[2]Bilan_E_2030_Mtep!U27</f>
        <v>1.3915887406197127</v>
      </c>
      <c r="U37" s="726">
        <f>[2]Bilan_E_2030_Mtep!U28</f>
        <v>5.0976630521059159</v>
      </c>
      <c r="V37" s="726">
        <f>[2]Bilan_E_2030_Mtep!U29</f>
        <v>0.16881775842229721</v>
      </c>
      <c r="W37" s="727">
        <v>0</v>
      </c>
      <c r="X37" s="601">
        <f>SUM(S37:W37)</f>
        <v>6.714897185961231</v>
      </c>
      <c r="Y37" s="256" t="s">
        <v>405</v>
      </c>
    </row>
    <row r="38" spans="1:26">
      <c r="A38" s="809"/>
      <c r="B38" s="606" t="s">
        <v>33</v>
      </c>
      <c r="C38" s="753">
        <f>SUM(S38:W38)</f>
        <v>0.10773237289979551</v>
      </c>
      <c r="D38" s="807"/>
      <c r="E38" s="292"/>
      <c r="F38" s="806"/>
      <c r="G38" s="670">
        <f>C38</f>
        <v>0.10773237289979551</v>
      </c>
      <c r="H38" s="807"/>
      <c r="I38" s="292"/>
      <c r="J38" s="292"/>
      <c r="K38" s="292"/>
      <c r="L38" s="292"/>
      <c r="M38" s="292"/>
      <c r="N38" s="292"/>
      <c r="O38" s="292"/>
      <c r="P38" s="706">
        <f t="shared" ref="P38:P43" si="3">G38-I38</f>
        <v>0.10773237289979551</v>
      </c>
      <c r="Q38" s="601"/>
      <c r="R38" s="771"/>
      <c r="S38" s="652">
        <f>[2]Bilan_E_2030_Mtep!X31</f>
        <v>0</v>
      </c>
      <c r="T38" s="655">
        <f>[2]Bilan_E_2030_Mtep!X27</f>
        <v>0</v>
      </c>
      <c r="U38" s="652">
        <f>[2]Bilan_E_2030_Mtep!X28</f>
        <v>9.4404771867981241E-2</v>
      </c>
      <c r="V38" s="724">
        <f>[2]Bilan_E_2030_Mtep!X29</f>
        <v>1.3327601031814273E-2</v>
      </c>
      <c r="W38" s="654">
        <v>0</v>
      </c>
      <c r="X38" s="601">
        <f t="shared" ref="X38:X48" si="4">SUM(S38:W38)</f>
        <v>0.10773237289979551</v>
      </c>
    </row>
    <row r="39" spans="1:26">
      <c r="A39" s="809"/>
      <c r="B39" s="606" t="s">
        <v>35</v>
      </c>
      <c r="C39" s="753">
        <f>[2]Bilan_E_2030_Mtep!Y34</f>
        <v>0.37729599371054234</v>
      </c>
      <c r="D39" s="807"/>
      <c r="E39" s="292"/>
      <c r="F39" s="806"/>
      <c r="G39" s="670">
        <f t="shared" ref="G39:G40" si="5">C39</f>
        <v>0.37729599371054234</v>
      </c>
      <c r="H39" s="807"/>
      <c r="I39" s="292"/>
      <c r="J39" s="292"/>
      <c r="K39" s="292"/>
      <c r="L39" s="292"/>
      <c r="M39" s="292"/>
      <c r="N39" s="292"/>
      <c r="O39" s="292"/>
      <c r="P39" s="706">
        <f t="shared" si="3"/>
        <v>0.37729599371054234</v>
      </c>
      <c r="Q39" s="601"/>
      <c r="R39" s="771"/>
      <c r="S39" s="653">
        <f>[2]Bilan_E_2030_Mtep!Y31</f>
        <v>0</v>
      </c>
      <c r="T39" s="655">
        <f>[2]Bilan_E_2030_Mtep!Y27</f>
        <v>0</v>
      </c>
      <c r="U39" s="653">
        <f>[2]Bilan_E_2030_Mtep!Y28</f>
        <v>0.23913423364325154</v>
      </c>
      <c r="V39" s="656">
        <f>[2]Bilan_E_2030_Mtep!Y29</f>
        <v>0.13816176006729081</v>
      </c>
      <c r="W39" s="654">
        <f>[2]Bilan_E_2030_Mtep!Y30</f>
        <v>0</v>
      </c>
      <c r="X39" s="601">
        <f>SUM(S39:W39)</f>
        <v>0.37729599371054234</v>
      </c>
    </row>
    <row r="40" spans="1:26">
      <c r="A40" s="809"/>
      <c r="B40" s="606" t="s">
        <v>36</v>
      </c>
      <c r="C40" s="753">
        <f>[2]Bilan_E_2030_Mtep!Z11</f>
        <v>3.929442749978119</v>
      </c>
      <c r="D40" s="807"/>
      <c r="E40" s="292"/>
      <c r="F40" s="806"/>
      <c r="G40" s="670">
        <f t="shared" si="5"/>
        <v>3.929442749978119</v>
      </c>
      <c r="H40" s="807"/>
      <c r="I40" s="292"/>
      <c r="J40" s="292"/>
      <c r="K40" s="292"/>
      <c r="L40" s="292"/>
      <c r="M40" s="292"/>
      <c r="N40" s="292"/>
      <c r="O40" s="292"/>
      <c r="P40" s="706">
        <f t="shared" si="3"/>
        <v>3.929442749978119</v>
      </c>
      <c r="Q40" s="601"/>
      <c r="R40" s="771"/>
      <c r="S40" s="653">
        <f>[2]Bilan_E_2030_Mtep!Z31</f>
        <v>0</v>
      </c>
      <c r="T40" s="655">
        <f>[2]Bilan_E_2030_Mtep!Z27</f>
        <v>0</v>
      </c>
      <c r="U40" s="653">
        <f>[2]Bilan_E_2030_Mtep!Z28</f>
        <v>2.2254477091481988</v>
      </c>
      <c r="V40" s="656">
        <f>[2]Bilan_E_2030_Mtep!Z29</f>
        <v>1.7039950408299203</v>
      </c>
      <c r="W40" s="657">
        <v>0</v>
      </c>
      <c r="X40" s="601">
        <f t="shared" si="4"/>
        <v>3.929442749978119</v>
      </c>
    </row>
    <row r="41" spans="1:26">
      <c r="A41" s="809"/>
      <c r="B41" s="754" t="s">
        <v>419</v>
      </c>
      <c r="C41" s="755">
        <f>[2]RCU!D83/11.63</f>
        <v>1.2477514714999642</v>
      </c>
      <c r="D41" s="807"/>
      <c r="E41" s="756"/>
      <c r="F41" s="806"/>
      <c r="G41" s="757">
        <f>C41</f>
        <v>1.2477514714999642</v>
      </c>
      <c r="H41" s="807"/>
      <c r="I41" s="756"/>
      <c r="J41" s="756"/>
      <c r="K41" s="756"/>
      <c r="L41" s="756"/>
      <c r="M41" s="756"/>
      <c r="N41" s="756"/>
      <c r="O41" s="756"/>
      <c r="P41" s="706">
        <f t="shared" si="3"/>
        <v>1.2477514714999642</v>
      </c>
      <c r="Q41" s="758"/>
      <c r="R41" s="770"/>
      <c r="S41" s="759"/>
      <c r="T41" s="655">
        <f>[2]RCU!D83/11.63</f>
        <v>1.2477514714999642</v>
      </c>
      <c r="U41" s="759"/>
      <c r="V41" s="759"/>
      <c r="W41" s="759"/>
      <c r="X41" s="758">
        <f>T41</f>
        <v>1.2477514714999642</v>
      </c>
      <c r="Y41" s="760"/>
      <c r="Z41" s="712" t="s">
        <v>414</v>
      </c>
    </row>
    <row r="42" spans="1:26">
      <c r="A42" s="809"/>
      <c r="B42" s="606" t="s">
        <v>37</v>
      </c>
      <c r="C42" s="642">
        <f>[2]Bilan_E_2030_Mtep!V32</f>
        <v>3.9716168994652796</v>
      </c>
      <c r="D42" s="807"/>
      <c r="E42" s="292"/>
      <c r="F42" s="806"/>
      <c r="G42" s="688">
        <f>C42</f>
        <v>3.9716168994652796</v>
      </c>
      <c r="H42" s="807"/>
      <c r="I42" s="292"/>
      <c r="J42" s="292"/>
      <c r="K42" s="292"/>
      <c r="L42" s="292"/>
      <c r="M42" s="292"/>
      <c r="N42" s="292"/>
      <c r="O42" s="292"/>
      <c r="P42" s="706">
        <f t="shared" si="3"/>
        <v>3.9716168994652796</v>
      </c>
      <c r="Q42" s="601"/>
      <c r="R42" s="723"/>
      <c r="S42" s="655">
        <f>[2]Bilan_E_2030_Mtep!V31</f>
        <v>0</v>
      </c>
      <c r="T42" s="655">
        <f>[2]Bilan_E_2030_Mtep!V27</f>
        <v>0</v>
      </c>
      <c r="U42" s="655">
        <f>[2]Bilan_E_2030_Mtep!V28</f>
        <v>0</v>
      </c>
      <c r="V42" s="655">
        <f>[2]Bilan_E_2030_Mtep!V29</f>
        <v>0</v>
      </c>
      <c r="W42" s="727">
        <f>[2]Bilan_E_2030_Mtep!V30</f>
        <v>3.9716168994652796</v>
      </c>
      <c r="X42" s="722">
        <f t="shared" si="4"/>
        <v>3.9716168994652796</v>
      </c>
    </row>
    <row r="43" spans="1:26">
      <c r="A43" s="809"/>
      <c r="B43" s="606" t="s">
        <v>38</v>
      </c>
      <c r="C43" s="750">
        <f>W43+I43</f>
        <v>35.023625249232886</v>
      </c>
      <c r="D43" s="807"/>
      <c r="E43" s="292"/>
      <c r="F43" s="806"/>
      <c r="G43" s="670">
        <f>C43</f>
        <v>35.023625249232886</v>
      </c>
      <c r="H43" s="807"/>
      <c r="I43" s="287"/>
      <c r="J43" s="292"/>
      <c r="K43" s="292"/>
      <c r="L43" s="292"/>
      <c r="M43" s="292"/>
      <c r="N43" s="292"/>
      <c r="O43" s="292"/>
      <c r="P43" s="706">
        <f t="shared" si="3"/>
        <v>35.023625249232886</v>
      </c>
      <c r="Q43" s="601"/>
      <c r="R43" s="771">
        <f>SUM(S36:W48)</f>
        <v>61.176101202479536</v>
      </c>
      <c r="S43" s="655">
        <f>SUM([2]Bilan_E_2030_Mtep!F31:G31,[2]Bilan_E_2030_Mtep!I31)</f>
        <v>0</v>
      </c>
      <c r="T43" s="655">
        <f>SUM([2]Bilan_E_2030_Mtep!F27:G27,[2]Bilan_E_2030_Mtep!I27)</f>
        <v>0</v>
      </c>
      <c r="U43" s="655">
        <f>SUM([2]Bilan_E_2030_Mtep!F28:G28,[2]Bilan_E_2030_Mtep!I28)</f>
        <v>0</v>
      </c>
      <c r="V43" s="655">
        <f>SUM([2]Bilan_E_2030_Mtep!F29:G29,[2]Bilan_E_2030_Mtep!I29)</f>
        <v>0</v>
      </c>
      <c r="W43" s="657">
        <f>SUM([2]Bilan_E_2030_Mtep!F30:G30,[2]Bilan_E_2030_Mtep!I30)</f>
        <v>35.023625249232886</v>
      </c>
      <c r="X43" s="722">
        <f t="shared" si="4"/>
        <v>35.023625249232886</v>
      </c>
    </row>
    <row r="44" spans="1:26">
      <c r="A44" s="809"/>
      <c r="B44" s="606" t="s">
        <v>39</v>
      </c>
      <c r="C44" s="750">
        <f>-SUM([2]Bilan_E_2030_Mtep!E20:J20)-C43+SUM([2]Bilan_E_2030_Mtep!E6:J6)+SUM([2]Bilan_E_2030_Mtep!E7:J7)+SUM([2]Bilan_E_2030_Mtep!E8:J8)+SUM([2]Bilan_E_2030_Mtep!E9:J9)+SUM([2]Bilan_E_2030_Mtep!E10:J10)</f>
        <v>27.712433598934162</v>
      </c>
      <c r="D44" s="807"/>
      <c r="E44" s="292"/>
      <c r="F44" s="806"/>
      <c r="G44" s="670">
        <f>C44</f>
        <v>27.712433598934162</v>
      </c>
      <c r="H44" s="807"/>
      <c r="I44" s="287">
        <f>SUM([2]Bilan_E_2030_Mtep!E23:J23)</f>
        <v>2.5748907818544646</v>
      </c>
      <c r="J44" s="292"/>
      <c r="K44" s="292"/>
      <c r="L44" s="292"/>
      <c r="M44" s="292"/>
      <c r="N44" s="292"/>
      <c r="O44" s="292"/>
      <c r="P44" s="706">
        <f>G44-E57-I44</f>
        <v>8.7190339406656392</v>
      </c>
      <c r="Q44" s="601"/>
      <c r="R44" s="771"/>
      <c r="S44" s="655">
        <f>SUM([2]Bilan_E_2030_Mtep!E31:J31)-S43</f>
        <v>2.7910896555276778</v>
      </c>
      <c r="T44" s="655">
        <f>SUM([2]Bilan_E_2030_Mtep!E27:J27)-T43</f>
        <v>2.3242515299862858</v>
      </c>
      <c r="U44" s="655">
        <f>SUM([2]Bilan_E_2030_Mtep!E28:J28)-U43</f>
        <v>1.7204556320540634</v>
      </c>
      <c r="V44" s="655">
        <f>SUM([2]Bilan_E_2030_Mtep!E29:J29)-V43</f>
        <v>1.8832371230976035</v>
      </c>
      <c r="W44" s="657">
        <f>SUM([2]Bilan_E_2030_Mtep!E30:J30)-W43</f>
        <v>0</v>
      </c>
      <c r="X44" s="722">
        <f t="shared" si="4"/>
        <v>8.7190339406656321</v>
      </c>
    </row>
    <row r="45" spans="1:26">
      <c r="A45" s="809"/>
      <c r="B45" s="606" t="s">
        <v>40</v>
      </c>
      <c r="C45" s="658">
        <f>[2]Bilan_E_2030_Mtep!W32</f>
        <v>0.2658069513840664</v>
      </c>
      <c r="D45" s="807"/>
      <c r="E45" s="292"/>
      <c r="F45" s="806"/>
      <c r="G45" s="670">
        <f t="shared" ref="G45" si="6">C45-E45</f>
        <v>0.2658069513840664</v>
      </c>
      <c r="H45" s="807"/>
      <c r="I45" s="292"/>
      <c r="J45" s="292"/>
      <c r="K45" s="292"/>
      <c r="L45" s="292"/>
      <c r="M45" s="292"/>
      <c r="N45" s="292"/>
      <c r="O45" s="292"/>
      <c r="P45" s="706">
        <f>G45-I45</f>
        <v>0.2658069513840664</v>
      </c>
      <c r="Q45" s="601"/>
      <c r="R45" s="771"/>
      <c r="S45" s="728"/>
      <c r="T45" s="728">
        <f>[2]Bilan_E_2030_Mtep!W27</f>
        <v>0.2658069513840664</v>
      </c>
      <c r="U45" s="728"/>
      <c r="V45" s="728"/>
      <c r="W45" s="657">
        <v>0</v>
      </c>
      <c r="X45" s="601">
        <f t="shared" si="4"/>
        <v>0.2658069513840664</v>
      </c>
    </row>
    <row r="46" spans="1:26">
      <c r="A46" s="809"/>
      <c r="B46" s="606" t="s">
        <v>41</v>
      </c>
      <c r="C46" s="695">
        <f>E55+E54</f>
        <v>0</v>
      </c>
      <c r="D46" s="807"/>
      <c r="E46" s="292"/>
      <c r="F46" s="806"/>
      <c r="G46" s="694">
        <f>C46-E46</f>
        <v>0</v>
      </c>
      <c r="H46" s="807"/>
      <c r="I46" s="292"/>
      <c r="J46" s="292"/>
      <c r="K46" s="292"/>
      <c r="L46" s="292"/>
      <c r="M46" s="292"/>
      <c r="N46" s="292"/>
      <c r="O46" s="292"/>
      <c r="P46" s="706">
        <f>G46-I46-E54-E55</f>
        <v>0</v>
      </c>
      <c r="Q46" s="601"/>
      <c r="R46" s="771"/>
      <c r="S46" s="652">
        <v>0</v>
      </c>
      <c r="T46" s="655">
        <v>0</v>
      </c>
      <c r="U46" s="652">
        <v>0</v>
      </c>
      <c r="V46" s="729">
        <v>0</v>
      </c>
      <c r="W46" s="657">
        <v>0</v>
      </c>
      <c r="X46" s="601">
        <f t="shared" si="4"/>
        <v>0</v>
      </c>
    </row>
    <row r="47" spans="1:26">
      <c r="A47" s="809"/>
      <c r="B47" s="697" t="s">
        <v>109</v>
      </c>
      <c r="C47" s="703">
        <f>[2]Bilan_E_2030_Mtep!R34</f>
        <v>4.2219574360409351E-2</v>
      </c>
      <c r="D47" s="807"/>
      <c r="E47" s="704"/>
      <c r="F47" s="806"/>
      <c r="G47" s="705">
        <f>C47</f>
        <v>4.2219574360409351E-2</v>
      </c>
      <c r="H47" s="807"/>
      <c r="I47" s="704"/>
      <c r="J47" s="704"/>
      <c r="K47" s="704"/>
      <c r="L47" s="704"/>
      <c r="M47" s="704"/>
      <c r="N47" s="704"/>
      <c r="O47" s="704"/>
      <c r="P47" s="706">
        <f>G47</f>
        <v>4.2219574360409351E-2</v>
      </c>
      <c r="Q47" s="707"/>
      <c r="R47" s="708"/>
      <c r="S47" s="709">
        <f>[2]Bilan_E_2030_Mtep!R31</f>
        <v>0</v>
      </c>
      <c r="T47" s="710">
        <f>[2]Bilan_E_2030_Mtep!R27+[2]Bilan_E_2030_Mtep!R33</f>
        <v>2.274514325439616E-4</v>
      </c>
      <c r="U47" s="709">
        <f>[2]Bilan_E_2030_Mtep!R28</f>
        <v>0</v>
      </c>
      <c r="V47" s="711">
        <f>[2]Bilan_E_2030_Mtep!R29</f>
        <v>0</v>
      </c>
      <c r="W47" s="710">
        <f>[2]Bilan_E_2030_Mtep!R30</f>
        <v>4.1992122927865388E-2</v>
      </c>
      <c r="X47" s="601">
        <f t="shared" si="4"/>
        <v>4.2219574360409351E-2</v>
      </c>
      <c r="Z47" s="712"/>
    </row>
    <row r="48" spans="1:26">
      <c r="A48" s="809"/>
      <c r="B48" s="606" t="s">
        <v>42</v>
      </c>
      <c r="C48" s="667">
        <f>[2]Bilan_E_2030_Mtep!C11-C34-C18</f>
        <v>4.296094504131398</v>
      </c>
      <c r="D48" s="807"/>
      <c r="E48" s="292"/>
      <c r="F48" s="806"/>
      <c r="G48" s="670">
        <f>C48</f>
        <v>4.296094504131398</v>
      </c>
      <c r="H48" s="807"/>
      <c r="I48" s="287">
        <f>[2]Bilan_E_2030_Mtep!C23+[2]Bilan_E_2030_Mtep!C22+[2]Bilan_E_2030_Mtep!C35</f>
        <v>3.2305623209939216</v>
      </c>
      <c r="J48" s="292"/>
      <c r="K48" s="292"/>
      <c r="L48" s="292"/>
      <c r="M48" s="292"/>
      <c r="N48" s="292"/>
      <c r="O48" s="292"/>
      <c r="P48" s="730">
        <f>G48-I48-E53</f>
        <v>0.77667881332162358</v>
      </c>
      <c r="Q48" s="601"/>
      <c r="R48" s="731"/>
      <c r="S48" s="659">
        <f>[2]Bilan_E_2030_Mtep!C31</f>
        <v>0</v>
      </c>
      <c r="T48" s="732">
        <f>[2]Bilan_E_2030_Mtep!C27</f>
        <v>0.7766788133216237</v>
      </c>
      <c r="U48" s="659">
        <f>[2]Bilan_E_2030_Mtep!C28</f>
        <v>0</v>
      </c>
      <c r="V48" s="660">
        <f>[2]Bilan_E_2030_Mtep!C29</f>
        <v>0</v>
      </c>
      <c r="W48" s="661">
        <f>[2]Bilan_E_2030_Mtep!C30</f>
        <v>0</v>
      </c>
      <c r="X48" s="601">
        <f t="shared" si="4"/>
        <v>0.7766788133216237</v>
      </c>
    </row>
    <row r="49" spans="1:25">
      <c r="A49" s="606"/>
      <c r="B49" s="606"/>
      <c r="C49" s="632"/>
      <c r="D49" s="606"/>
      <c r="E49" s="662"/>
      <c r="F49" s="606"/>
      <c r="G49" s="619"/>
      <c r="H49" s="606"/>
      <c r="I49" s="606"/>
      <c r="J49" s="606"/>
      <c r="K49" s="606"/>
      <c r="L49" s="606"/>
      <c r="M49" s="606"/>
      <c r="N49" s="606"/>
      <c r="O49" s="606"/>
      <c r="P49" s="606"/>
      <c r="S49" s="622" t="s">
        <v>406</v>
      </c>
    </row>
    <row r="50" spans="1:25">
      <c r="A50" s="622"/>
      <c r="B50" s="663"/>
      <c r="C50" s="643">
        <f>C37+C29+C13</f>
        <v>9.0895894200739509</v>
      </c>
      <c r="D50" s="606"/>
      <c r="E50" s="662"/>
      <c r="F50" s="606"/>
      <c r="G50" s="606"/>
      <c r="H50" s="606"/>
      <c r="I50" s="664"/>
      <c r="J50" s="664"/>
      <c r="K50" s="664"/>
      <c r="L50" s="622"/>
      <c r="M50" s="606"/>
      <c r="N50" s="606"/>
      <c r="O50" s="606"/>
      <c r="P50" s="665"/>
    </row>
    <row r="51" spans="1:25" s="622" customFormat="1">
      <c r="C51" s="666"/>
      <c r="D51" s="606"/>
      <c r="E51" s="662"/>
      <c r="F51" s="606"/>
      <c r="G51" s="606"/>
      <c r="H51" s="606"/>
      <c r="I51" s="643"/>
      <c r="J51" s="643"/>
      <c r="K51" s="643"/>
      <c r="L51" s="666"/>
      <c r="M51" s="606"/>
      <c r="N51" s="643"/>
      <c r="O51" s="643"/>
      <c r="P51" s="606"/>
      <c r="Q51" s="256"/>
    </row>
    <row r="52" spans="1:25" s="622" customFormat="1">
      <c r="A52" s="622" t="s">
        <v>43</v>
      </c>
      <c r="B52" s="256"/>
      <c r="C52" s="666"/>
      <c r="D52" s="606"/>
      <c r="F52" s="606"/>
      <c r="G52" s="606"/>
      <c r="H52" s="606"/>
      <c r="I52" s="667"/>
      <c r="J52" s="619"/>
      <c r="K52" s="619"/>
      <c r="M52" s="606"/>
      <c r="N52" s="619"/>
      <c r="O52" s="619"/>
      <c r="P52" s="606"/>
      <c r="Q52" s="256"/>
    </row>
    <row r="53" spans="1:25" s="622" customFormat="1">
      <c r="B53" s="606" t="s">
        <v>44</v>
      </c>
      <c r="C53" s="668"/>
      <c r="D53" s="606"/>
      <c r="E53" s="619">
        <f>[2]Bilan_E_2030_Mtep!C33</f>
        <v>0.2888533698158528</v>
      </c>
      <c r="F53" s="669" t="s">
        <v>415</v>
      </c>
      <c r="G53" s="606"/>
      <c r="H53" s="606"/>
      <c r="I53" s="667"/>
      <c r="J53" s="619"/>
      <c r="K53" s="619"/>
      <c r="M53" s="606"/>
      <c r="N53" s="619"/>
      <c r="O53" s="619"/>
      <c r="P53" s="606"/>
      <c r="Q53" s="256"/>
      <c r="R53" s="644">
        <f>SUM(E53:E58)</f>
        <v>16.789047542876514</v>
      </c>
    </row>
    <row r="54" spans="1:25" s="622" customFormat="1">
      <c r="B54" s="606" t="s">
        <v>411</v>
      </c>
      <c r="C54" s="670"/>
      <c r="D54" s="619"/>
      <c r="E54" s="713"/>
      <c r="F54" s="669" t="s">
        <v>416</v>
      </c>
      <c r="G54" s="606"/>
      <c r="H54" s="606"/>
      <c r="I54" s="686" t="s">
        <v>420</v>
      </c>
      <c r="J54" s="619"/>
      <c r="K54" s="619"/>
      <c r="M54" s="606"/>
      <c r="N54" s="619"/>
      <c r="O54" s="619"/>
      <c r="P54" s="606"/>
      <c r="Q54" s="256"/>
    </row>
    <row r="55" spans="1:25" s="622" customFormat="1">
      <c r="B55" s="697" t="s">
        <v>412</v>
      </c>
      <c r="C55" s="705"/>
      <c r="D55" s="733"/>
      <c r="E55" s="734"/>
      <c r="F55" s="735" t="s">
        <v>416</v>
      </c>
      <c r="G55" s="606"/>
      <c r="H55" s="606"/>
      <c r="I55" s="686" t="s">
        <v>420</v>
      </c>
      <c r="J55" s="619"/>
      <c r="K55" s="619"/>
      <c r="M55" s="637"/>
      <c r="O55" s="619"/>
      <c r="P55" s="606"/>
      <c r="Q55" s="256"/>
    </row>
    <row r="56" spans="1:25" s="622" customFormat="1">
      <c r="B56" s="697" t="s">
        <v>109</v>
      </c>
      <c r="C56" s="705"/>
      <c r="D56" s="733"/>
      <c r="E56" s="734">
        <f>SUM([2]Bilan_E_2030_Mtep!R13:R20,[2]Bilan_E_2030_Mtep!R22:R23)-[2]Bilan_E_2030_Mtep!R8</f>
        <v>8.1685296646603608E-2</v>
      </c>
      <c r="F56" s="735" t="s">
        <v>417</v>
      </c>
      <c r="G56" s="606"/>
      <c r="H56" s="606"/>
      <c r="I56" s="667"/>
      <c r="J56" s="619"/>
      <c r="K56" s="619"/>
      <c r="M56" s="637"/>
      <c r="O56" s="619"/>
      <c r="P56" s="606"/>
      <c r="Q56" s="256"/>
    </row>
    <row r="57" spans="1:25" s="622" customFormat="1">
      <c r="B57" s="606" t="s">
        <v>39</v>
      </c>
      <c r="C57" s="670"/>
      <c r="D57" s="619"/>
      <c r="E57" s="671">
        <f>SUM([2]Bilan_E_2030_Mtep!E22:J22,[2]Bilan_E_2030_Mtep!E33:J33)</f>
        <v>16.418508876414059</v>
      </c>
      <c r="F57" s="669" t="s">
        <v>418</v>
      </c>
      <c r="G57" s="606"/>
      <c r="H57" s="606"/>
      <c r="I57" s="667"/>
      <c r="J57" s="619"/>
      <c r="K57" s="619"/>
      <c r="M57" s="714"/>
      <c r="O57" s="619"/>
      <c r="P57" s="606"/>
      <c r="Q57" s="256"/>
    </row>
    <row r="58" spans="1:25" s="622" customFormat="1">
      <c r="A58" s="256"/>
      <c r="B58" s="697" t="s">
        <v>134</v>
      </c>
      <c r="C58" s="736"/>
      <c r="D58" s="736"/>
      <c r="E58" s="707">
        <f>[2]Bilan_E_2030_Mtep!U33</f>
        <v>0</v>
      </c>
      <c r="F58" s="735" t="s">
        <v>418</v>
      </c>
      <c r="G58" s="256"/>
      <c r="H58" s="256"/>
      <c r="I58" s="256"/>
      <c r="J58" s="256"/>
      <c r="K58" s="256"/>
      <c r="L58" s="256"/>
      <c r="M58" s="712"/>
      <c r="O58" s="256"/>
      <c r="P58" s="256"/>
      <c r="Q58" s="256"/>
      <c r="X58" s="256"/>
      <c r="Y58" s="256"/>
    </row>
    <row r="59" spans="1:25">
      <c r="M59" s="712"/>
    </row>
  </sheetData>
  <mergeCells count="34">
    <mergeCell ref="F36:F48"/>
    <mergeCell ref="H36:H48"/>
    <mergeCell ref="P26:P32"/>
    <mergeCell ref="D26:D34"/>
    <mergeCell ref="A36:A48"/>
    <mergeCell ref="D36:D48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L26:L32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/>
  <dimension ref="A1:F35"/>
  <sheetViews>
    <sheetView workbookViewId="0"/>
  </sheetViews>
  <sheetFormatPr baseColWidth="10" defaultColWidth="11.453125" defaultRowHeight="14.5"/>
  <cols>
    <col min="1" max="16384" width="11.453125" style="256"/>
  </cols>
  <sheetData>
    <row r="1" spans="1:6">
      <c r="A1" s="256" t="s">
        <v>240</v>
      </c>
    </row>
    <row r="3" spans="1:6">
      <c r="A3" s="256" t="s">
        <v>212</v>
      </c>
    </row>
    <row r="4" spans="1:6">
      <c r="A4" s="256" t="s">
        <v>128</v>
      </c>
      <c r="B4" s="256">
        <v>2020</v>
      </c>
      <c r="C4" s="256">
        <v>2025</v>
      </c>
      <c r="D4" s="256">
        <v>2030</v>
      </c>
      <c r="E4" s="256">
        <v>2040</v>
      </c>
      <c r="F4" s="256">
        <v>2050</v>
      </c>
    </row>
    <row r="5" spans="1:6">
      <c r="A5" s="256" t="s">
        <v>104</v>
      </c>
      <c r="B5" s="256">
        <v>24.344010698547201</v>
      </c>
      <c r="C5" s="256">
        <v>22.530538802537901</v>
      </c>
      <c r="D5" s="256">
        <v>16.5347505482708</v>
      </c>
      <c r="E5" s="256">
        <v>13.312344444513601</v>
      </c>
      <c r="F5" s="256">
        <v>2.1146503112217898</v>
      </c>
    </row>
    <row r="6" spans="1:6">
      <c r="A6" s="256" t="s">
        <v>54</v>
      </c>
      <c r="B6" s="256">
        <v>16.9677157901945</v>
      </c>
      <c r="C6" s="256">
        <v>14.034981027112799</v>
      </c>
      <c r="D6" s="256">
        <v>12.003004101707701</v>
      </c>
      <c r="E6" s="256">
        <v>5.9734878917689302</v>
      </c>
      <c r="F6" s="256">
        <v>3.7006380446381302</v>
      </c>
    </row>
    <row r="7" spans="1:6">
      <c r="A7" s="256" t="s">
        <v>224</v>
      </c>
      <c r="B7" s="256">
        <v>2.9087512783190701</v>
      </c>
      <c r="C7" s="256">
        <v>0.91309174478370303</v>
      </c>
      <c r="D7" s="256">
        <v>0</v>
      </c>
      <c r="E7" s="256">
        <v>0</v>
      </c>
      <c r="F7" s="256">
        <v>0</v>
      </c>
    </row>
    <row r="8" spans="1:6">
      <c r="A8" s="256" t="s">
        <v>135</v>
      </c>
      <c r="B8" s="256">
        <v>1.54406781362761</v>
      </c>
      <c r="C8" s="256">
        <v>2.01373746957703</v>
      </c>
      <c r="D8" s="256">
        <v>2.4430777996853998</v>
      </c>
      <c r="E8" s="256">
        <v>3.2696986354945698</v>
      </c>
      <c r="F8" s="256">
        <v>4.4518953920458797</v>
      </c>
    </row>
    <row r="9" spans="1:6">
      <c r="A9" s="256" t="s">
        <v>241</v>
      </c>
      <c r="B9" s="256">
        <v>2.2892949875659299</v>
      </c>
      <c r="C9" s="256">
        <v>4.8292407835226996</v>
      </c>
      <c r="D9" s="256">
        <v>8.5735743583626398</v>
      </c>
      <c r="E9" s="256">
        <v>12.0797199589105</v>
      </c>
      <c r="F9" s="256">
        <v>19.736736238070002</v>
      </c>
    </row>
    <row r="10" spans="1:6">
      <c r="A10" s="256" t="s">
        <v>242</v>
      </c>
      <c r="B10" s="256">
        <v>0.969583759439688</v>
      </c>
      <c r="C10" s="256">
        <v>1.3582239703657599</v>
      </c>
      <c r="D10" s="256">
        <v>2.14339358959066</v>
      </c>
      <c r="E10" s="256">
        <v>3.9823252611792901</v>
      </c>
      <c r="F10" s="256">
        <v>3.7006380446381302</v>
      </c>
    </row>
    <row r="11" spans="1:6">
      <c r="A11" s="256" t="s">
        <v>243</v>
      </c>
      <c r="B11" s="256">
        <v>0.484791879719844</v>
      </c>
      <c r="C11" s="256">
        <v>0.45274132345525298</v>
      </c>
      <c r="D11" s="256">
        <v>0.857357435836264</v>
      </c>
      <c r="E11" s="256">
        <v>1.1946975783537901</v>
      </c>
      <c r="F11" s="256">
        <v>1.85031902231906</v>
      </c>
    </row>
    <row r="12" spans="1:6">
      <c r="A12" s="256" t="s">
        <v>10</v>
      </c>
      <c r="B12" s="256">
        <v>49.508216207413902</v>
      </c>
      <c r="C12" s="256">
        <v>46.132555121355203</v>
      </c>
      <c r="D12" s="256">
        <v>42.555157833453499</v>
      </c>
      <c r="E12" s="256">
        <v>39.812273770220699</v>
      </c>
      <c r="F12" s="256">
        <v>35.554877052933001</v>
      </c>
    </row>
    <row r="14" spans="1:6">
      <c r="A14" s="256" t="s">
        <v>140</v>
      </c>
    </row>
    <row r="15" spans="1:6">
      <c r="A15" s="256" t="s">
        <v>244</v>
      </c>
      <c r="B15" s="256">
        <v>2020</v>
      </c>
      <c r="C15" s="256">
        <v>2025</v>
      </c>
      <c r="D15" s="256">
        <v>2030</v>
      </c>
      <c r="E15" s="256">
        <v>2040</v>
      </c>
      <c r="F15" s="256">
        <v>2050</v>
      </c>
    </row>
    <row r="16" spans="1:6">
      <c r="A16" s="256" t="s">
        <v>41</v>
      </c>
      <c r="B16" s="256">
        <v>9.3829992656699002</v>
      </c>
      <c r="C16" s="256">
        <v>7.4799597463327601</v>
      </c>
      <c r="D16" s="256">
        <v>6.50801172424993</v>
      </c>
      <c r="E16" s="256">
        <v>6.0948723369684901</v>
      </c>
      <c r="F16" s="256">
        <v>4.4438696697774303</v>
      </c>
    </row>
    <row r="17" spans="1:6">
      <c r="A17" s="256" t="s">
        <v>180</v>
      </c>
      <c r="B17" s="256">
        <v>6.3466515714263503</v>
      </c>
      <c r="C17" s="256">
        <v>4.8145263292626801</v>
      </c>
      <c r="D17" s="256">
        <v>3.2409945700553902</v>
      </c>
      <c r="E17" s="256">
        <v>1.6456155309814899</v>
      </c>
      <c r="F17" s="256">
        <v>1.6555592887406101</v>
      </c>
    </row>
    <row r="18" spans="1:6">
      <c r="A18" s="256" t="s">
        <v>104</v>
      </c>
      <c r="B18" s="256">
        <v>14.9032163518961</v>
      </c>
      <c r="C18" s="256">
        <v>18.727809663392801</v>
      </c>
      <c r="D18" s="256">
        <v>20.893769374254902</v>
      </c>
      <c r="E18" s="256">
        <v>21.9415404130865</v>
      </c>
      <c r="F18" s="256">
        <v>22.306483048294499</v>
      </c>
    </row>
    <row r="19" spans="1:6">
      <c r="A19" s="256" t="s">
        <v>10</v>
      </c>
      <c r="B19" s="256">
        <v>30.6328671889923</v>
      </c>
      <c r="C19" s="256">
        <v>31.022295738988198</v>
      </c>
      <c r="D19" s="256">
        <v>30.642775668560201</v>
      </c>
      <c r="E19" s="256">
        <v>29.682028281036501</v>
      </c>
      <c r="F19" s="256">
        <v>28.4059120068125</v>
      </c>
    </row>
    <row r="21" spans="1:6">
      <c r="A21" s="256" t="s">
        <v>141</v>
      </c>
    </row>
    <row r="22" spans="1:6">
      <c r="B22" s="256">
        <v>2020</v>
      </c>
      <c r="C22" s="256">
        <v>2025</v>
      </c>
      <c r="D22" s="256">
        <v>2030</v>
      </c>
      <c r="E22" s="256">
        <v>2050</v>
      </c>
    </row>
    <row r="23" spans="1:6">
      <c r="A23" s="256" t="s">
        <v>245</v>
      </c>
      <c r="B23" s="256">
        <v>6.914360984</v>
      </c>
      <c r="C23" s="256">
        <v>5.4399118480000004</v>
      </c>
      <c r="D23" s="256">
        <v>3.8476310444999999</v>
      </c>
      <c r="E23" s="256">
        <v>2.7900163349999998</v>
      </c>
    </row>
    <row r="25" spans="1:6">
      <c r="A25" s="256" t="s">
        <v>143</v>
      </c>
    </row>
    <row r="27" spans="1:6">
      <c r="A27" s="256" t="s">
        <v>128</v>
      </c>
      <c r="B27" s="256">
        <v>2020</v>
      </c>
      <c r="C27" s="256">
        <v>2025</v>
      </c>
      <c r="D27" s="256">
        <v>2030</v>
      </c>
      <c r="E27" s="256">
        <v>2050</v>
      </c>
    </row>
    <row r="28" spans="1:6">
      <c r="A28" s="256" t="s">
        <v>104</v>
      </c>
      <c r="B28" s="256">
        <v>0.86061670840319104</v>
      </c>
      <c r="C28" s="256">
        <v>1.25109084860822</v>
      </c>
      <c r="D28" s="256">
        <v>1.4752842591356601</v>
      </c>
      <c r="E28" s="256">
        <v>2.1980218817885699</v>
      </c>
    </row>
    <row r="29" spans="1:6">
      <c r="A29" s="256" t="s">
        <v>135</v>
      </c>
      <c r="B29" s="256">
        <v>9.1554968979062797E-3</v>
      </c>
      <c r="C29" s="256">
        <v>2.8114401092319601E-2</v>
      </c>
      <c r="D29" s="256">
        <v>5.39738143586216E-2</v>
      </c>
      <c r="E29" s="256">
        <v>0.18316849014904699</v>
      </c>
    </row>
    <row r="30" spans="1:6">
      <c r="A30" s="256" t="s">
        <v>246</v>
      </c>
      <c r="B30" s="256">
        <v>4.5777484489531402E-2</v>
      </c>
      <c r="C30" s="256">
        <v>0.12651480491543801</v>
      </c>
      <c r="D30" s="256">
        <v>0.26986907179310798</v>
      </c>
      <c r="E30" s="256">
        <v>1.2821794310433301</v>
      </c>
    </row>
    <row r="31" spans="1:6">
      <c r="A31" s="256" t="s">
        <v>10</v>
      </c>
      <c r="B31" s="256">
        <v>0.91554968979062801</v>
      </c>
      <c r="C31" s="256">
        <v>1.40572005461598</v>
      </c>
      <c r="D31" s="256">
        <v>1.79912714528739</v>
      </c>
      <c r="E31" s="256">
        <v>3.6633698029809501</v>
      </c>
    </row>
    <row r="33" spans="1:5">
      <c r="A33" s="256" t="s">
        <v>213</v>
      </c>
    </row>
    <row r="34" spans="1:5">
      <c r="A34" s="256" t="s">
        <v>128</v>
      </c>
      <c r="B34" s="256">
        <v>2020</v>
      </c>
      <c r="C34" s="256">
        <v>2025</v>
      </c>
      <c r="D34" s="256">
        <v>2030</v>
      </c>
      <c r="E34" s="256">
        <v>2050</v>
      </c>
    </row>
    <row r="35" spans="1:5">
      <c r="A35" s="256" t="s">
        <v>247</v>
      </c>
      <c r="B35" s="256">
        <v>60.705245610807602</v>
      </c>
      <c r="C35" s="256">
        <v>57.2669859004478</v>
      </c>
      <c r="D35" s="256">
        <v>53.588829719739699</v>
      </c>
      <c r="E35" s="256">
        <v>49.965433346804502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/>
  <dimension ref="A1:E35"/>
  <sheetViews>
    <sheetView workbookViewId="0"/>
  </sheetViews>
  <sheetFormatPr baseColWidth="10" defaultColWidth="11.453125" defaultRowHeight="14.5"/>
  <cols>
    <col min="1" max="16384" width="11.453125" style="256"/>
  </cols>
  <sheetData>
    <row r="1" spans="1:5">
      <c r="A1" s="256" t="s">
        <v>240</v>
      </c>
    </row>
    <row r="3" spans="1:5">
      <c r="A3" s="256" t="s">
        <v>212</v>
      </c>
    </row>
    <row r="4" spans="1:5">
      <c r="A4" s="256" t="s">
        <v>128</v>
      </c>
      <c r="B4" s="256">
        <v>2025</v>
      </c>
      <c r="C4" s="256">
        <v>2030</v>
      </c>
      <c r="D4" s="256">
        <v>2040</v>
      </c>
      <c r="E4" s="256">
        <v>2050</v>
      </c>
    </row>
    <row r="5" spans="1:5">
      <c r="A5" s="256" t="s">
        <v>104</v>
      </c>
      <c r="B5" s="256">
        <v>22.530538802537901</v>
      </c>
      <c r="C5" s="256">
        <v>16.5347505482708</v>
      </c>
      <c r="D5" s="256">
        <v>13.312344444513601</v>
      </c>
      <c r="E5" s="256">
        <v>2.1146503112217898</v>
      </c>
    </row>
    <row r="6" spans="1:5">
      <c r="A6" s="256" t="s">
        <v>54</v>
      </c>
      <c r="B6" s="256">
        <v>14.034981027112799</v>
      </c>
      <c r="C6" s="256">
        <v>12.003004101707701</v>
      </c>
      <c r="D6" s="256">
        <v>5.9734878917689302</v>
      </c>
      <c r="E6" s="256">
        <v>3.7006380446381302</v>
      </c>
    </row>
    <row r="7" spans="1:5">
      <c r="A7" s="256" t="s">
        <v>224</v>
      </c>
      <c r="B7" s="256">
        <v>0.91309174478370303</v>
      </c>
      <c r="C7" s="256">
        <v>0</v>
      </c>
      <c r="D7" s="256">
        <v>0</v>
      </c>
      <c r="E7" s="256">
        <v>0</v>
      </c>
    </row>
    <row r="8" spans="1:5">
      <c r="A8" s="256" t="s">
        <v>135</v>
      </c>
      <c r="B8" s="256">
        <v>2.01373746957703</v>
      </c>
      <c r="C8" s="256">
        <v>2.4430777996853998</v>
      </c>
      <c r="D8" s="256">
        <v>3.2696986354945698</v>
      </c>
      <c r="E8" s="256">
        <v>4.4518953920458797</v>
      </c>
    </row>
    <row r="9" spans="1:5">
      <c r="A9" s="256" t="s">
        <v>241</v>
      </c>
      <c r="B9" s="256">
        <v>4.8292407835226996</v>
      </c>
      <c r="C9" s="256">
        <v>8.5735743583626398</v>
      </c>
      <c r="D9" s="256">
        <v>12.0797199589105</v>
      </c>
      <c r="E9" s="256">
        <v>19.736736238070002</v>
      </c>
    </row>
    <row r="10" spans="1:5">
      <c r="A10" s="256" t="s">
        <v>242</v>
      </c>
      <c r="B10" s="256">
        <v>1.3582239703657599</v>
      </c>
      <c r="C10" s="256">
        <v>2.14339358959066</v>
      </c>
      <c r="D10" s="256">
        <v>3.9823252611792901</v>
      </c>
      <c r="E10" s="256">
        <v>3.7006380446381302</v>
      </c>
    </row>
    <row r="11" spans="1:5">
      <c r="A11" s="256" t="s">
        <v>243</v>
      </c>
      <c r="B11" s="256">
        <v>0.45274132345525298</v>
      </c>
      <c r="C11" s="256">
        <v>0.857357435836264</v>
      </c>
      <c r="D11" s="256">
        <v>1.1946975783537901</v>
      </c>
      <c r="E11" s="256">
        <v>1.85031902231906</v>
      </c>
    </row>
    <row r="12" spans="1:5">
      <c r="A12" s="256" t="s">
        <v>10</v>
      </c>
      <c r="B12" s="256">
        <v>46.132555121355203</v>
      </c>
      <c r="C12" s="256">
        <v>42.555157833453499</v>
      </c>
      <c r="D12" s="256">
        <v>39.812273770220699</v>
      </c>
      <c r="E12" s="256">
        <v>35.554877052933001</v>
      </c>
    </row>
    <row r="14" spans="1:5">
      <c r="A14" s="256" t="s">
        <v>140</v>
      </c>
    </row>
    <row r="15" spans="1:5">
      <c r="A15" s="256" t="s">
        <v>244</v>
      </c>
      <c r="B15" s="256">
        <v>2025</v>
      </c>
      <c r="C15" s="256">
        <v>2030</v>
      </c>
      <c r="D15" s="256">
        <v>2040</v>
      </c>
      <c r="E15" s="256">
        <v>2050</v>
      </c>
    </row>
    <row r="16" spans="1:5">
      <c r="A16" s="256" t="s">
        <v>41</v>
      </c>
      <c r="B16" s="256">
        <v>7.4799597463327601</v>
      </c>
      <c r="C16" s="256">
        <v>6.50801172424993</v>
      </c>
      <c r="D16" s="256">
        <v>6.0948723369684901</v>
      </c>
      <c r="E16" s="256">
        <v>4.4438696697774303</v>
      </c>
    </row>
    <row r="17" spans="1:5">
      <c r="A17" s="256" t="s">
        <v>180</v>
      </c>
      <c r="B17" s="256">
        <v>4.8145263292626801</v>
      </c>
      <c r="C17" s="256">
        <v>3.2409945700553902</v>
      </c>
      <c r="D17" s="256">
        <v>1.6456155309814899</v>
      </c>
      <c r="E17" s="256">
        <v>1.6555592887406101</v>
      </c>
    </row>
    <row r="18" spans="1:5">
      <c r="A18" s="256" t="s">
        <v>104</v>
      </c>
      <c r="B18" s="256">
        <v>18.727809663392801</v>
      </c>
      <c r="C18" s="256">
        <v>20.893769374254902</v>
      </c>
      <c r="D18" s="256">
        <v>21.9415404130865</v>
      </c>
      <c r="E18" s="256">
        <v>22.306483048294499</v>
      </c>
    </row>
    <row r="19" spans="1:5">
      <c r="A19" s="256" t="s">
        <v>10</v>
      </c>
      <c r="B19" s="256">
        <v>31.022295738988198</v>
      </c>
      <c r="C19" s="256">
        <v>30.642775668560201</v>
      </c>
      <c r="D19" s="256">
        <v>29.682028281036501</v>
      </c>
      <c r="E19" s="256">
        <v>28.4059120068125</v>
      </c>
    </row>
    <row r="21" spans="1:5">
      <c r="A21" s="256" t="s">
        <v>141</v>
      </c>
    </row>
    <row r="22" spans="1:5">
      <c r="B22" s="256">
        <v>2025</v>
      </c>
      <c r="C22" s="256">
        <v>2030</v>
      </c>
      <c r="D22" s="256">
        <v>2050</v>
      </c>
    </row>
    <row r="23" spans="1:5">
      <c r="A23" s="256" t="s">
        <v>245</v>
      </c>
      <c r="B23" s="256">
        <v>5.4399118480000004</v>
      </c>
      <c r="C23" s="256">
        <v>3.8476310444999999</v>
      </c>
      <c r="D23" s="256">
        <v>2.7900163349999998</v>
      </c>
    </row>
    <row r="25" spans="1:5">
      <c r="A25" s="256" t="s">
        <v>143</v>
      </c>
    </row>
    <row r="27" spans="1:5">
      <c r="A27" s="256" t="s">
        <v>128</v>
      </c>
      <c r="B27" s="256">
        <v>2025</v>
      </c>
      <c r="C27" s="256">
        <v>2030</v>
      </c>
      <c r="D27" s="256">
        <v>2050</v>
      </c>
    </row>
    <row r="28" spans="1:5">
      <c r="A28" s="256" t="s">
        <v>104</v>
      </c>
      <c r="B28" s="256">
        <v>1.25109084860822</v>
      </c>
      <c r="C28" s="256">
        <v>1.4752842591356601</v>
      </c>
      <c r="D28" s="256">
        <v>2.1980218817885699</v>
      </c>
    </row>
    <row r="29" spans="1:5">
      <c r="A29" s="256" t="s">
        <v>135</v>
      </c>
      <c r="B29" s="256">
        <v>2.8114401092319601E-2</v>
      </c>
      <c r="C29" s="256">
        <v>5.39738143586216E-2</v>
      </c>
      <c r="D29" s="256">
        <v>0.18316849014904699</v>
      </c>
    </row>
    <row r="30" spans="1:5">
      <c r="A30" s="256" t="s">
        <v>246</v>
      </c>
      <c r="B30" s="256">
        <v>0.12651480491543801</v>
      </c>
      <c r="C30" s="256">
        <v>0.26986907179310798</v>
      </c>
      <c r="D30" s="256">
        <v>1.2821794310433301</v>
      </c>
    </row>
    <row r="31" spans="1:5">
      <c r="A31" s="256" t="s">
        <v>10</v>
      </c>
      <c r="B31" s="256">
        <v>1.40572005461598</v>
      </c>
      <c r="C31" s="256">
        <v>1.79912714528739</v>
      </c>
      <c r="D31" s="256">
        <v>3.6633698029809501</v>
      </c>
    </row>
    <row r="33" spans="1:4">
      <c r="A33" s="256" t="s">
        <v>213</v>
      </c>
    </row>
    <row r="34" spans="1:4">
      <c r="A34" s="256" t="s">
        <v>128</v>
      </c>
      <c r="B34" s="256">
        <v>2025</v>
      </c>
      <c r="C34" s="256">
        <v>2030</v>
      </c>
      <c r="D34" s="256">
        <v>2050</v>
      </c>
    </row>
    <row r="35" spans="1:4">
      <c r="A35" s="256" t="s">
        <v>247</v>
      </c>
      <c r="B35" s="256">
        <v>57.2669859004478</v>
      </c>
      <c r="C35" s="256">
        <v>53.588829719739699</v>
      </c>
      <c r="D35" s="256">
        <v>49.965433346804502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0"/>
  <dimension ref="A1:D35"/>
  <sheetViews>
    <sheetView workbookViewId="0"/>
  </sheetViews>
  <sheetFormatPr baseColWidth="10" defaultColWidth="11.453125" defaultRowHeight="14.5"/>
  <cols>
    <col min="1" max="16384" width="11.453125" style="256"/>
  </cols>
  <sheetData>
    <row r="1" spans="1:4">
      <c r="A1" s="256" t="s">
        <v>240</v>
      </c>
    </row>
    <row r="3" spans="1:4">
      <c r="A3" s="256" t="s">
        <v>212</v>
      </c>
    </row>
    <row r="4" spans="1:4">
      <c r="A4" s="256" t="s">
        <v>128</v>
      </c>
      <c r="B4" s="256">
        <v>2030</v>
      </c>
      <c r="C4" s="256">
        <v>2040</v>
      </c>
      <c r="D4" s="256">
        <v>2050</v>
      </c>
    </row>
    <row r="5" spans="1:4">
      <c r="A5" s="256" t="s">
        <v>104</v>
      </c>
      <c r="B5" s="256">
        <v>16.5347505482708</v>
      </c>
      <c r="C5" s="256">
        <v>13.312344444513601</v>
      </c>
      <c r="D5" s="256">
        <v>2.1146503112217898</v>
      </c>
    </row>
    <row r="6" spans="1:4">
      <c r="A6" s="256" t="s">
        <v>54</v>
      </c>
      <c r="B6" s="256">
        <v>12.003004101707701</v>
      </c>
      <c r="C6" s="256">
        <v>5.9734878917689302</v>
      </c>
      <c r="D6" s="256">
        <v>3.7006380446381302</v>
      </c>
    </row>
    <row r="7" spans="1:4">
      <c r="A7" s="256" t="s">
        <v>224</v>
      </c>
      <c r="B7" s="256">
        <v>0</v>
      </c>
      <c r="C7" s="256">
        <v>0</v>
      </c>
      <c r="D7" s="256">
        <v>0</v>
      </c>
    </row>
    <row r="8" spans="1:4">
      <c r="A8" s="256" t="s">
        <v>135</v>
      </c>
      <c r="B8" s="256">
        <v>2.4430777996853998</v>
      </c>
      <c r="C8" s="256">
        <v>3.2696986354945698</v>
      </c>
      <c r="D8" s="256">
        <v>4.4518953920458797</v>
      </c>
    </row>
    <row r="9" spans="1:4">
      <c r="A9" s="256" t="s">
        <v>241</v>
      </c>
      <c r="B9" s="256">
        <v>8.5735743583626398</v>
      </c>
      <c r="C9" s="256">
        <v>12.0797199589105</v>
      </c>
      <c r="D9" s="256">
        <v>19.736736238070002</v>
      </c>
    </row>
    <row r="10" spans="1:4">
      <c r="A10" s="256" t="s">
        <v>242</v>
      </c>
      <c r="B10" s="256">
        <v>2.14339358959066</v>
      </c>
      <c r="C10" s="256">
        <v>3.9823252611792901</v>
      </c>
      <c r="D10" s="256">
        <v>3.7006380446381302</v>
      </c>
    </row>
    <row r="11" spans="1:4">
      <c r="A11" s="256" t="s">
        <v>243</v>
      </c>
      <c r="B11" s="256">
        <v>0.857357435836264</v>
      </c>
      <c r="C11" s="256">
        <v>1.1946975783537901</v>
      </c>
      <c r="D11" s="256">
        <v>1.85031902231906</v>
      </c>
    </row>
    <row r="12" spans="1:4">
      <c r="A12" s="256" t="s">
        <v>10</v>
      </c>
      <c r="B12" s="256">
        <v>42.555157833453499</v>
      </c>
      <c r="C12" s="256">
        <v>39.812273770220699</v>
      </c>
      <c r="D12" s="256">
        <v>35.554877052933001</v>
      </c>
    </row>
    <row r="14" spans="1:4">
      <c r="A14" s="256" t="s">
        <v>140</v>
      </c>
    </row>
    <row r="15" spans="1:4">
      <c r="A15" s="256" t="s">
        <v>244</v>
      </c>
      <c r="B15" s="256">
        <v>2030</v>
      </c>
      <c r="C15" s="256">
        <v>2040</v>
      </c>
      <c r="D15" s="256">
        <v>2050</v>
      </c>
    </row>
    <row r="16" spans="1:4">
      <c r="A16" s="256" t="s">
        <v>41</v>
      </c>
      <c r="B16" s="256">
        <v>6.50801172424993</v>
      </c>
      <c r="C16" s="256">
        <v>6.0948723369684901</v>
      </c>
      <c r="D16" s="256">
        <v>4.4438696697774303</v>
      </c>
    </row>
    <row r="17" spans="1:4">
      <c r="A17" s="256" t="s">
        <v>180</v>
      </c>
      <c r="B17" s="256">
        <v>3.2409945700553902</v>
      </c>
      <c r="C17" s="256">
        <v>1.6456155309814899</v>
      </c>
      <c r="D17" s="256">
        <v>1.6555592887406101</v>
      </c>
    </row>
    <row r="18" spans="1:4">
      <c r="A18" s="256" t="s">
        <v>104</v>
      </c>
      <c r="B18" s="256">
        <v>20.893769374254902</v>
      </c>
      <c r="C18" s="256">
        <v>21.9415404130865</v>
      </c>
      <c r="D18" s="256">
        <v>22.306483048294499</v>
      </c>
    </row>
    <row r="19" spans="1:4">
      <c r="A19" s="256" t="s">
        <v>10</v>
      </c>
      <c r="B19" s="256">
        <v>30.642775668560201</v>
      </c>
      <c r="C19" s="256">
        <v>29.682028281036501</v>
      </c>
      <c r="D19" s="256">
        <v>28.4059120068125</v>
      </c>
    </row>
    <row r="21" spans="1:4">
      <c r="A21" s="256" t="s">
        <v>141</v>
      </c>
    </row>
    <row r="22" spans="1:4">
      <c r="B22" s="256">
        <v>2030</v>
      </c>
      <c r="C22" s="256">
        <v>2050</v>
      </c>
    </row>
    <row r="23" spans="1:4">
      <c r="A23" s="256" t="s">
        <v>245</v>
      </c>
      <c r="B23" s="256">
        <v>3.8476310444999999</v>
      </c>
      <c r="C23" s="256">
        <v>2.7900163349999998</v>
      </c>
    </row>
    <row r="25" spans="1:4">
      <c r="A25" s="256" t="s">
        <v>143</v>
      </c>
    </row>
    <row r="27" spans="1:4">
      <c r="A27" s="256" t="s">
        <v>128</v>
      </c>
      <c r="B27" s="256">
        <v>2030</v>
      </c>
      <c r="C27" s="256">
        <v>2050</v>
      </c>
    </row>
    <row r="28" spans="1:4">
      <c r="A28" s="256" t="s">
        <v>104</v>
      </c>
      <c r="B28" s="256">
        <v>1.4752842591356601</v>
      </c>
      <c r="C28" s="256">
        <v>2.1980218817885699</v>
      </c>
    </row>
    <row r="29" spans="1:4">
      <c r="A29" s="256" t="s">
        <v>135</v>
      </c>
      <c r="B29" s="256">
        <v>5.39738143586216E-2</v>
      </c>
      <c r="C29" s="256">
        <v>0.18316849014904699</v>
      </c>
    </row>
    <row r="30" spans="1:4">
      <c r="A30" s="256" t="s">
        <v>246</v>
      </c>
      <c r="B30" s="256">
        <v>0.26986907179310798</v>
      </c>
      <c r="C30" s="256">
        <v>1.2821794310433301</v>
      </c>
    </row>
    <row r="31" spans="1:4">
      <c r="A31" s="256" t="s">
        <v>10</v>
      </c>
      <c r="B31" s="256">
        <v>1.79912714528739</v>
      </c>
      <c r="C31" s="256">
        <v>3.6633698029809501</v>
      </c>
    </row>
    <row r="33" spans="1:3">
      <c r="A33" s="256" t="s">
        <v>213</v>
      </c>
    </row>
    <row r="34" spans="1:3">
      <c r="A34" s="256" t="s">
        <v>128</v>
      </c>
      <c r="B34" s="256">
        <v>2030</v>
      </c>
      <c r="C34" s="256">
        <v>2050</v>
      </c>
    </row>
    <row r="35" spans="1:3">
      <c r="A35" s="256" t="s">
        <v>247</v>
      </c>
      <c r="B35" s="256">
        <v>53.588829719739699</v>
      </c>
      <c r="C35" s="256">
        <v>49.965433346804502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1"/>
  <dimension ref="A1:B35"/>
  <sheetViews>
    <sheetView workbookViewId="0"/>
  </sheetViews>
  <sheetFormatPr baseColWidth="10" defaultColWidth="11.453125" defaultRowHeight="14.5"/>
  <cols>
    <col min="1" max="16384" width="11.453125" style="256"/>
  </cols>
  <sheetData>
    <row r="1" spans="1:2">
      <c r="A1" s="256" t="s">
        <v>240</v>
      </c>
    </row>
    <row r="3" spans="1:2">
      <c r="A3" s="256" t="s">
        <v>212</v>
      </c>
    </row>
    <row r="4" spans="1:2">
      <c r="A4" s="256" t="s">
        <v>128</v>
      </c>
      <c r="B4" s="256">
        <v>2050</v>
      </c>
    </row>
    <row r="5" spans="1:2">
      <c r="A5" s="256" t="s">
        <v>104</v>
      </c>
      <c r="B5" s="256">
        <v>2.1146503112217898</v>
      </c>
    </row>
    <row r="6" spans="1:2">
      <c r="A6" s="256" t="s">
        <v>54</v>
      </c>
      <c r="B6" s="256">
        <v>3.7006380446381302</v>
      </c>
    </row>
    <row r="7" spans="1:2">
      <c r="A7" s="256" t="s">
        <v>224</v>
      </c>
      <c r="B7" s="256">
        <v>0</v>
      </c>
    </row>
    <row r="8" spans="1:2">
      <c r="A8" s="256" t="s">
        <v>135</v>
      </c>
      <c r="B8" s="256">
        <v>4.4518953920458797</v>
      </c>
    </row>
    <row r="9" spans="1:2">
      <c r="A9" s="256" t="s">
        <v>241</v>
      </c>
      <c r="B9" s="256">
        <v>19.736736238070002</v>
      </c>
    </row>
    <row r="10" spans="1:2">
      <c r="A10" s="256" t="s">
        <v>242</v>
      </c>
      <c r="B10" s="256">
        <v>3.7006380446381302</v>
      </c>
    </row>
    <row r="11" spans="1:2">
      <c r="A11" s="256" t="s">
        <v>243</v>
      </c>
      <c r="B11" s="256">
        <v>1.85031902231906</v>
      </c>
    </row>
    <row r="12" spans="1:2">
      <c r="A12" s="256" t="s">
        <v>10</v>
      </c>
      <c r="B12" s="256">
        <v>35.554877052933001</v>
      </c>
    </row>
    <row r="14" spans="1:2">
      <c r="A14" s="256" t="s">
        <v>140</v>
      </c>
    </row>
    <row r="15" spans="1:2">
      <c r="A15" s="256" t="s">
        <v>244</v>
      </c>
      <c r="B15" s="256">
        <v>2050</v>
      </c>
    </row>
    <row r="16" spans="1:2">
      <c r="A16" s="256" t="s">
        <v>41</v>
      </c>
      <c r="B16" s="256">
        <v>4.4438696697774303</v>
      </c>
    </row>
    <row r="17" spans="1:2">
      <c r="A17" s="256" t="s">
        <v>180</v>
      </c>
      <c r="B17" s="256">
        <v>1.6555592887406101</v>
      </c>
    </row>
    <row r="18" spans="1:2">
      <c r="A18" s="256" t="s">
        <v>104</v>
      </c>
      <c r="B18" s="256">
        <v>22.306483048294499</v>
      </c>
    </row>
    <row r="19" spans="1:2">
      <c r="A19" s="256" t="s">
        <v>10</v>
      </c>
      <c r="B19" s="256">
        <v>28.4059120068125</v>
      </c>
    </row>
    <row r="21" spans="1:2">
      <c r="A21" s="256" t="s">
        <v>141</v>
      </c>
    </row>
    <row r="23" spans="1:2">
      <c r="A23" s="256" t="s">
        <v>245</v>
      </c>
    </row>
    <row r="25" spans="1:2">
      <c r="A25" s="256" t="s">
        <v>143</v>
      </c>
    </row>
    <row r="27" spans="1:2">
      <c r="A27" s="256" t="s">
        <v>128</v>
      </c>
    </row>
    <row r="28" spans="1:2">
      <c r="A28" s="256" t="s">
        <v>104</v>
      </c>
    </row>
    <row r="29" spans="1:2">
      <c r="A29" s="256" t="s">
        <v>135</v>
      </c>
    </row>
    <row r="30" spans="1:2">
      <c r="A30" s="256" t="s">
        <v>246</v>
      </c>
    </row>
    <row r="31" spans="1:2">
      <c r="A31" s="256" t="s">
        <v>10</v>
      </c>
    </row>
    <row r="33" spans="1:1">
      <c r="A33" s="256" t="s">
        <v>213</v>
      </c>
    </row>
    <row r="34" spans="1:1">
      <c r="A34" s="256" t="s">
        <v>128</v>
      </c>
    </row>
    <row r="35" spans="1:1">
      <c r="A35" s="256" t="s">
        <v>247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/>
  <dimension ref="B3:P18"/>
  <sheetViews>
    <sheetView workbookViewId="0"/>
  </sheetViews>
  <sheetFormatPr baseColWidth="10" defaultRowHeight="14.5"/>
  <sheetData>
    <row r="3" spans="2:16">
      <c r="C3" t="s">
        <v>248</v>
      </c>
    </row>
    <row r="4" spans="2:16">
      <c r="C4" t="s">
        <v>249</v>
      </c>
      <c r="D4" t="s">
        <v>250</v>
      </c>
      <c r="E4" t="s">
        <v>42</v>
      </c>
      <c r="F4" t="s">
        <v>251</v>
      </c>
      <c r="G4" t="s">
        <v>224</v>
      </c>
      <c r="H4" t="s">
        <v>252</v>
      </c>
      <c r="I4" t="s">
        <v>32</v>
      </c>
      <c r="J4" t="s">
        <v>253</v>
      </c>
      <c r="K4" t="s">
        <v>254</v>
      </c>
      <c r="L4" t="s">
        <v>255</v>
      </c>
    </row>
    <row r="5" spans="2:16">
      <c r="B5">
        <v>2015</v>
      </c>
      <c r="C5">
        <v>0.01</v>
      </c>
      <c r="D5">
        <v>0.45</v>
      </c>
      <c r="E5">
        <v>7.0000000000000007E-2</v>
      </c>
      <c r="F5">
        <v>0</v>
      </c>
      <c r="G5">
        <v>0.02</v>
      </c>
      <c r="H5">
        <v>0</v>
      </c>
      <c r="I5">
        <v>0.39</v>
      </c>
      <c r="J5">
        <v>0.01</v>
      </c>
      <c r="K5">
        <v>0.05</v>
      </c>
      <c r="L5">
        <v>56.3</v>
      </c>
    </row>
    <row r="6" spans="2:16">
      <c r="B6">
        <v>2020</v>
      </c>
      <c r="C6">
        <v>0.02</v>
      </c>
      <c r="D6">
        <v>0.5</v>
      </c>
      <c r="E6">
        <v>0.05</v>
      </c>
      <c r="F6">
        <v>0</v>
      </c>
      <c r="G6">
        <v>0.01</v>
      </c>
      <c r="H6">
        <v>0</v>
      </c>
      <c r="I6">
        <v>0.33</v>
      </c>
      <c r="J6">
        <v>0.03</v>
      </c>
      <c r="K6">
        <v>0.06</v>
      </c>
      <c r="L6">
        <v>41.909196312542598</v>
      </c>
    </row>
    <row r="7" spans="2:16">
      <c r="B7">
        <v>2025</v>
      </c>
      <c r="C7">
        <v>0.03</v>
      </c>
      <c r="D7">
        <v>0.55000000000000004</v>
      </c>
      <c r="E7">
        <v>0.01</v>
      </c>
      <c r="F7">
        <v>0</v>
      </c>
      <c r="G7">
        <v>0</v>
      </c>
      <c r="H7">
        <v>0.01</v>
      </c>
      <c r="I7">
        <v>0.2</v>
      </c>
      <c r="J7">
        <v>0.12</v>
      </c>
      <c r="K7">
        <v>0.08</v>
      </c>
      <c r="L7">
        <v>45.564233197792099</v>
      </c>
    </row>
    <row r="8" spans="2:16">
      <c r="B8">
        <v>2030</v>
      </c>
      <c r="C8">
        <v>0.03</v>
      </c>
      <c r="D8">
        <v>0.5</v>
      </c>
      <c r="E8">
        <v>0</v>
      </c>
      <c r="F8">
        <v>0</v>
      </c>
      <c r="G8">
        <v>0</v>
      </c>
      <c r="H8">
        <v>0.02</v>
      </c>
      <c r="I8">
        <v>0.15</v>
      </c>
      <c r="J8">
        <v>0.2</v>
      </c>
      <c r="K8">
        <v>0.1</v>
      </c>
      <c r="L8">
        <v>49.216831482822897</v>
      </c>
    </row>
    <row r="9" spans="2:16">
      <c r="B9">
        <v>2050</v>
      </c>
      <c r="C9">
        <v>0.05</v>
      </c>
      <c r="D9">
        <v>0.45</v>
      </c>
      <c r="E9">
        <v>0</v>
      </c>
      <c r="F9">
        <v>0</v>
      </c>
      <c r="G9">
        <v>0</v>
      </c>
      <c r="H9">
        <v>0</v>
      </c>
      <c r="I9">
        <v>0</v>
      </c>
      <c r="J9">
        <v>0.25</v>
      </c>
      <c r="K9">
        <v>0.25</v>
      </c>
      <c r="L9">
        <v>45.563789831074999</v>
      </c>
    </row>
    <row r="12" spans="2:16">
      <c r="B12" t="s">
        <v>256</v>
      </c>
    </row>
    <row r="13" spans="2:16">
      <c r="C13" t="s">
        <v>20</v>
      </c>
      <c r="D13" t="s">
        <v>42</v>
      </c>
      <c r="E13" t="s">
        <v>224</v>
      </c>
      <c r="F13" t="s">
        <v>252</v>
      </c>
      <c r="G13" t="s">
        <v>32</v>
      </c>
      <c r="H13" t="s">
        <v>257</v>
      </c>
      <c r="I13" t="s">
        <v>258</v>
      </c>
      <c r="J13" t="s">
        <v>135</v>
      </c>
      <c r="K13" t="s">
        <v>259</v>
      </c>
      <c r="L13" t="s">
        <v>255</v>
      </c>
      <c r="M13" t="s">
        <v>31</v>
      </c>
    </row>
    <row r="14" spans="2:16">
      <c r="B14">
        <v>2015</v>
      </c>
      <c r="C14" s="256">
        <v>0.76336996336996299</v>
      </c>
      <c r="D14" s="256">
        <v>1.6E-2</v>
      </c>
      <c r="E14" s="256">
        <v>6.0000000000000001E-3</v>
      </c>
      <c r="F14" s="256">
        <v>0</v>
      </c>
      <c r="G14" s="256">
        <v>0.04</v>
      </c>
      <c r="H14" s="256">
        <v>0.107509157509158</v>
      </c>
      <c r="I14" s="256">
        <v>3.8644688644688598E-2</v>
      </c>
      <c r="J14" s="256">
        <v>1.35531135531136E-2</v>
      </c>
      <c r="K14" s="256">
        <v>1.4468864468864501E-2</v>
      </c>
      <c r="L14" s="256">
        <v>546</v>
      </c>
      <c r="M14" s="256">
        <v>0</v>
      </c>
    </row>
    <row r="15" spans="2:16">
      <c r="B15">
        <v>2020</v>
      </c>
      <c r="C15" s="601">
        <v>0.71671743415158573</v>
      </c>
      <c r="D15" s="601">
        <v>1.3438451890342233E-2</v>
      </c>
      <c r="E15" s="601">
        <v>0</v>
      </c>
      <c r="F15" s="601">
        <v>0</v>
      </c>
      <c r="G15" s="601">
        <v>4.4078122200322527E-2</v>
      </c>
      <c r="H15" s="601">
        <v>0.10929940870811682</v>
      </c>
      <c r="I15" s="601">
        <v>6.9879949829779603E-2</v>
      </c>
      <c r="J15" s="601">
        <v>2.8668697366063429E-2</v>
      </c>
      <c r="K15" s="601">
        <v>1.7917935853789643E-2</v>
      </c>
      <c r="L15" s="256">
        <v>558.1</v>
      </c>
      <c r="M15" s="256">
        <v>0</v>
      </c>
      <c r="O15">
        <f>G15*L15/11.63</f>
        <v>2.1152192605331042</v>
      </c>
      <c r="P15">
        <f>D15*L15/11.63</f>
        <v>0.64488392089423896</v>
      </c>
    </row>
    <row r="16" spans="2:16">
      <c r="B16">
        <v>2025</v>
      </c>
      <c r="C16" s="601">
        <v>0.667779632721202</v>
      </c>
      <c r="D16" s="601">
        <v>1.2520868113522538E-2</v>
      </c>
      <c r="E16" s="601">
        <v>0</v>
      </c>
      <c r="F16" s="601">
        <v>0</v>
      </c>
      <c r="G16" s="601">
        <v>4.2570951585976631E-2</v>
      </c>
      <c r="H16" s="601">
        <v>0.1018363939899833</v>
      </c>
      <c r="I16" s="601">
        <v>0.10851419031719532</v>
      </c>
      <c r="J16" s="601">
        <v>4.340567612687813E-2</v>
      </c>
      <c r="K16" s="601">
        <v>2.337228714524207E-2</v>
      </c>
      <c r="L16" s="256">
        <v>599</v>
      </c>
      <c r="M16" s="256">
        <v>0</v>
      </c>
    </row>
    <row r="17" spans="2:13">
      <c r="B17">
        <v>2030</v>
      </c>
      <c r="C17" s="601">
        <v>0.63795853269537484</v>
      </c>
      <c r="D17" s="601">
        <v>1.1961722488038277E-2</v>
      </c>
      <c r="E17" s="601">
        <v>0</v>
      </c>
      <c r="F17" s="601">
        <v>0</v>
      </c>
      <c r="G17" s="601">
        <v>4.0669856459330141E-2</v>
      </c>
      <c r="H17" s="601">
        <v>9.7288676236044661E-2</v>
      </c>
      <c r="I17" s="601">
        <v>0.12759170653907495</v>
      </c>
      <c r="J17" s="601">
        <v>5.7416267942583733E-2</v>
      </c>
      <c r="K17" s="601">
        <v>2.7113237639553429E-2</v>
      </c>
      <c r="L17" s="256">
        <v>627</v>
      </c>
      <c r="M17" s="256">
        <v>0</v>
      </c>
    </row>
    <row r="18" spans="2:13">
      <c r="B18">
        <v>2050</v>
      </c>
      <c r="C18" s="601">
        <v>0.15503875968992201</v>
      </c>
      <c r="D18" s="601">
        <v>1.16279069767442E-2</v>
      </c>
      <c r="E18" s="601">
        <v>0</v>
      </c>
      <c r="F18" s="601">
        <v>0</v>
      </c>
      <c r="G18" s="601">
        <v>3.9534883720930197E-2</v>
      </c>
      <c r="H18" s="601">
        <v>9.4573643410852698E-2</v>
      </c>
      <c r="I18" s="601">
        <v>0.34108527131782901</v>
      </c>
      <c r="J18" s="601">
        <v>0.31007751937984501</v>
      </c>
      <c r="K18" s="601">
        <v>4.8062015503876003E-2</v>
      </c>
      <c r="L18" s="256">
        <v>645</v>
      </c>
      <c r="M18" s="25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3"/>
  <dimension ref="B3:M18"/>
  <sheetViews>
    <sheetView workbookViewId="0"/>
  </sheetViews>
  <sheetFormatPr baseColWidth="10" defaultColWidth="11.453125" defaultRowHeight="14.5"/>
  <cols>
    <col min="1" max="5" width="11.453125" style="256"/>
    <col min="6" max="6" width="25.453125" style="256" customWidth="1"/>
    <col min="7" max="16384" width="11.453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2020</v>
      </c>
      <c r="C5" s="256">
        <v>0.02</v>
      </c>
      <c r="D5" s="256">
        <v>0.5</v>
      </c>
      <c r="E5" s="256">
        <v>0.05</v>
      </c>
      <c r="F5" s="256">
        <v>0</v>
      </c>
      <c r="G5" s="256">
        <v>0.01</v>
      </c>
      <c r="H5" s="256">
        <v>0</v>
      </c>
      <c r="I5" s="256">
        <v>0.33</v>
      </c>
      <c r="J5" s="256">
        <v>0.03</v>
      </c>
      <c r="K5" s="256">
        <v>0.06</v>
      </c>
      <c r="L5" s="256">
        <v>41.909196312542598</v>
      </c>
    </row>
    <row r="6" spans="2:13">
      <c r="B6" s="256">
        <v>2025</v>
      </c>
      <c r="C6" s="256">
        <v>0.03</v>
      </c>
      <c r="D6" s="256">
        <v>0.55000000000000004</v>
      </c>
      <c r="E6" s="256">
        <v>0.01</v>
      </c>
      <c r="F6" s="256">
        <v>0</v>
      </c>
      <c r="G6" s="256">
        <v>0</v>
      </c>
      <c r="H6" s="256">
        <v>0.01</v>
      </c>
      <c r="I6" s="256">
        <v>0.2</v>
      </c>
      <c r="J6" s="256">
        <v>0.12</v>
      </c>
      <c r="K6" s="256">
        <v>0.08</v>
      </c>
      <c r="L6" s="256">
        <v>45.564233197792099</v>
      </c>
    </row>
    <row r="7" spans="2:13">
      <c r="B7" s="256">
        <v>2030</v>
      </c>
      <c r="C7" s="256">
        <v>0.03</v>
      </c>
      <c r="D7" s="256">
        <v>0.5</v>
      </c>
      <c r="E7" s="256">
        <v>0</v>
      </c>
      <c r="F7" s="256">
        <v>0</v>
      </c>
      <c r="G7" s="256">
        <v>0</v>
      </c>
      <c r="H7" s="256">
        <v>0.02</v>
      </c>
      <c r="I7" s="256">
        <v>0.15</v>
      </c>
      <c r="J7" s="256">
        <v>0.2</v>
      </c>
      <c r="K7" s="256">
        <v>0.1</v>
      </c>
      <c r="L7" s="256">
        <v>49.216831482822897</v>
      </c>
    </row>
    <row r="8" spans="2:13">
      <c r="B8" s="256">
        <v>2050</v>
      </c>
      <c r="C8" s="256">
        <v>0.05</v>
      </c>
      <c r="D8" s="256">
        <v>0.45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0.25</v>
      </c>
      <c r="K8" s="256">
        <v>0.25</v>
      </c>
      <c r="L8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2020</v>
      </c>
      <c r="C14" s="601">
        <f>'Mix énergie_2015'!C15</f>
        <v>0.71671743415158573</v>
      </c>
      <c r="D14" s="601">
        <f>'Mix énergie_2015'!D15</f>
        <v>1.3438451890342233E-2</v>
      </c>
      <c r="E14" s="601">
        <f>'Mix énergie_2015'!E15</f>
        <v>0</v>
      </c>
      <c r="F14" s="601">
        <f>'Mix énergie_2015'!F15</f>
        <v>0</v>
      </c>
      <c r="G14" s="601">
        <f>'Mix énergie_2015'!G15</f>
        <v>4.4078122200322527E-2</v>
      </c>
      <c r="H14" s="601">
        <f>'Mix énergie_2015'!H15</f>
        <v>0.10929940870811682</v>
      </c>
      <c r="I14" s="601">
        <f>'Mix énergie_2015'!I15</f>
        <v>6.9879949829779603E-2</v>
      </c>
      <c r="J14" s="601">
        <f>'Mix énergie_2015'!J15</f>
        <v>2.8668697366063429E-2</v>
      </c>
      <c r="K14" s="601">
        <f>'Mix énergie_2015'!K15</f>
        <v>1.7917935853789643E-2</v>
      </c>
      <c r="L14" s="601">
        <f>'Mix énergie_2015'!L15</f>
        <v>558.1</v>
      </c>
      <c r="M14" s="601">
        <f>'Mix énergie_2015'!M15</f>
        <v>0</v>
      </c>
    </row>
    <row r="15" spans="2:13">
      <c r="B15" s="256">
        <v>2025</v>
      </c>
      <c r="C15" s="601">
        <f>'Mix énergie_2015'!C16</f>
        <v>0.667779632721202</v>
      </c>
      <c r="D15" s="601">
        <f>'Mix énergie_2015'!D16</f>
        <v>1.2520868113522538E-2</v>
      </c>
      <c r="E15" s="601">
        <f>'Mix énergie_2015'!E16</f>
        <v>0</v>
      </c>
      <c r="F15" s="601">
        <f>'Mix énergie_2015'!F16</f>
        <v>0</v>
      </c>
      <c r="G15" s="601">
        <f>'Mix énergie_2015'!G16</f>
        <v>4.2570951585976631E-2</v>
      </c>
      <c r="H15" s="601">
        <f>'Mix énergie_2015'!H16</f>
        <v>0.1018363939899833</v>
      </c>
      <c r="I15" s="601">
        <f>'Mix énergie_2015'!I16</f>
        <v>0.10851419031719532</v>
      </c>
      <c r="J15" s="601">
        <f>'Mix énergie_2015'!J16</f>
        <v>4.340567612687813E-2</v>
      </c>
      <c r="K15" s="601">
        <f>'Mix énergie_2015'!K16</f>
        <v>2.337228714524207E-2</v>
      </c>
      <c r="L15" s="601">
        <f>'Mix énergie_2015'!L16</f>
        <v>599</v>
      </c>
      <c r="M15" s="601">
        <f>'Mix énergie_2015'!M16</f>
        <v>0</v>
      </c>
    </row>
    <row r="16" spans="2:13">
      <c r="B16" s="256">
        <v>2030</v>
      </c>
      <c r="C16" s="601">
        <f>'Mix énergie_2015'!C17</f>
        <v>0.63795853269537484</v>
      </c>
      <c r="D16" s="601">
        <f>'Mix énergie_2015'!D17</f>
        <v>1.1961722488038277E-2</v>
      </c>
      <c r="E16" s="601">
        <f>'Mix énergie_2015'!E17</f>
        <v>0</v>
      </c>
      <c r="F16" s="601">
        <f>'Mix énergie_2015'!F17</f>
        <v>0</v>
      </c>
      <c r="G16" s="601">
        <f>'Mix énergie_2015'!G17</f>
        <v>4.0669856459330141E-2</v>
      </c>
      <c r="H16" s="601">
        <f>'Mix énergie_2015'!H17</f>
        <v>9.7288676236044661E-2</v>
      </c>
      <c r="I16" s="601">
        <f>'Mix énergie_2015'!I17</f>
        <v>0.12759170653907495</v>
      </c>
      <c r="J16" s="601">
        <f>'Mix énergie_2015'!J17</f>
        <v>5.7416267942583733E-2</v>
      </c>
      <c r="K16" s="601">
        <f>'Mix énergie_2015'!K17</f>
        <v>2.7113237639553429E-2</v>
      </c>
      <c r="L16" s="601">
        <f>'Mix énergie_2015'!L17</f>
        <v>627</v>
      </c>
      <c r="M16" s="601">
        <f>'Mix énergie_2015'!M17</f>
        <v>0</v>
      </c>
    </row>
    <row r="17" spans="2:13">
      <c r="B17" s="256">
        <v>2050</v>
      </c>
      <c r="C17" s="601">
        <v>0.15503875968992201</v>
      </c>
      <c r="D17" s="601">
        <v>1.16279069767442E-2</v>
      </c>
      <c r="E17" s="601">
        <v>0</v>
      </c>
      <c r="F17" s="601">
        <v>0</v>
      </c>
      <c r="G17" s="601">
        <v>3.9534883720930197E-2</v>
      </c>
      <c r="H17" s="601">
        <v>9.4573643410852698E-2</v>
      </c>
      <c r="I17" s="601">
        <v>0.34108527131782901</v>
      </c>
      <c r="J17" s="601">
        <v>0.31007751937984501</v>
      </c>
      <c r="K17" s="601">
        <v>4.8062015503876003E-2</v>
      </c>
      <c r="L17" s="601">
        <v>645</v>
      </c>
      <c r="M17" s="601">
        <f>'Mix énergie_2015'!M18</f>
        <v>0</v>
      </c>
    </row>
    <row r="18" spans="2:13">
      <c r="C18" s="60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4"/>
  <dimension ref="B3:M16"/>
  <sheetViews>
    <sheetView workbookViewId="0"/>
  </sheetViews>
  <sheetFormatPr baseColWidth="10" defaultColWidth="11.453125" defaultRowHeight="14.5"/>
  <cols>
    <col min="1" max="16384" width="11.453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2025</v>
      </c>
      <c r="C5" s="256">
        <v>0.03</v>
      </c>
      <c r="D5" s="256">
        <v>0.55000000000000004</v>
      </c>
      <c r="E5" s="256">
        <v>0.01</v>
      </c>
      <c r="F5" s="256">
        <v>0</v>
      </c>
      <c r="G5" s="256">
        <v>0</v>
      </c>
      <c r="H5" s="256">
        <v>0.01</v>
      </c>
      <c r="I5" s="256">
        <v>0.2</v>
      </c>
      <c r="J5" s="256">
        <v>0.12</v>
      </c>
      <c r="K5" s="256">
        <v>0.08</v>
      </c>
      <c r="L5" s="256">
        <v>45.564233197792099</v>
      </c>
    </row>
    <row r="6" spans="2:13">
      <c r="B6" s="256">
        <v>2030</v>
      </c>
      <c r="C6" s="256">
        <v>0.03</v>
      </c>
      <c r="D6" s="256">
        <v>0.5</v>
      </c>
      <c r="E6" s="256">
        <v>0</v>
      </c>
      <c r="F6" s="256">
        <v>0</v>
      </c>
      <c r="G6" s="256">
        <v>0</v>
      </c>
      <c r="H6" s="256">
        <v>0.02</v>
      </c>
      <c r="I6" s="256">
        <v>0.15</v>
      </c>
      <c r="J6" s="256">
        <v>0.2</v>
      </c>
      <c r="K6" s="256">
        <v>0.1</v>
      </c>
      <c r="L6" s="256">
        <v>49.216831482822897</v>
      </c>
    </row>
    <row r="7" spans="2:13">
      <c r="B7" s="256">
        <v>2050</v>
      </c>
      <c r="C7" s="256">
        <v>0.05</v>
      </c>
      <c r="D7" s="256">
        <v>0.45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J7" s="256">
        <v>0.25</v>
      </c>
      <c r="K7" s="256">
        <v>0.25</v>
      </c>
      <c r="L7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2025</v>
      </c>
      <c r="C14" s="601">
        <f>'Mix énergie_2015'!C16</f>
        <v>0.667779632721202</v>
      </c>
      <c r="D14" s="601">
        <f>'Mix énergie_2015'!D16</f>
        <v>1.2520868113522538E-2</v>
      </c>
      <c r="E14" s="601">
        <f>'Mix énergie_2015'!E16</f>
        <v>0</v>
      </c>
      <c r="F14" s="601">
        <f>'Mix énergie_2015'!F16</f>
        <v>0</v>
      </c>
      <c r="G14" s="601">
        <f>'Mix énergie_2015'!G16</f>
        <v>4.2570951585976631E-2</v>
      </c>
      <c r="H14" s="601">
        <f>'Mix énergie_2015'!H16</f>
        <v>0.1018363939899833</v>
      </c>
      <c r="I14" s="601">
        <f>'Mix énergie_2015'!I16</f>
        <v>0.10851419031719532</v>
      </c>
      <c r="J14" s="601">
        <f>'Mix énergie_2015'!J16</f>
        <v>4.340567612687813E-2</v>
      </c>
      <c r="K14" s="601">
        <f>'Mix énergie_2015'!K16</f>
        <v>2.337228714524207E-2</v>
      </c>
      <c r="L14" s="601">
        <f>'Mix énergie_2015'!L16</f>
        <v>599</v>
      </c>
      <c r="M14" s="601">
        <f>'Mix énergie_2015'!M16</f>
        <v>0</v>
      </c>
    </row>
    <row r="15" spans="2:13">
      <c r="B15" s="256">
        <v>2030</v>
      </c>
      <c r="C15" s="601">
        <f>'Mix énergie_2015'!C17</f>
        <v>0.63795853269537484</v>
      </c>
      <c r="D15" s="601">
        <f>'Mix énergie_2015'!D17</f>
        <v>1.1961722488038277E-2</v>
      </c>
      <c r="E15" s="601">
        <f>'Mix énergie_2015'!E17</f>
        <v>0</v>
      </c>
      <c r="F15" s="601">
        <f>'Mix énergie_2015'!F17</f>
        <v>0</v>
      </c>
      <c r="G15" s="601">
        <f>'Mix énergie_2015'!G17</f>
        <v>4.0669856459330141E-2</v>
      </c>
      <c r="H15" s="601">
        <f>'Mix énergie_2015'!H17</f>
        <v>9.7288676236044661E-2</v>
      </c>
      <c r="I15" s="601">
        <f>'Mix énergie_2015'!I17</f>
        <v>0.12759170653907495</v>
      </c>
      <c r="J15" s="601">
        <f>'Mix énergie_2015'!J17</f>
        <v>5.7416267942583733E-2</v>
      </c>
      <c r="K15" s="601">
        <f>'Mix énergie_2015'!K17</f>
        <v>2.7113237639553429E-2</v>
      </c>
      <c r="L15" s="601">
        <f>'Mix énergie_2015'!L17</f>
        <v>627</v>
      </c>
      <c r="M15" s="601">
        <f>'Mix énergie_2015'!M17</f>
        <v>0</v>
      </c>
    </row>
    <row r="16" spans="2:13">
      <c r="B16" s="256">
        <v>2050</v>
      </c>
      <c r="C16" s="601">
        <v>0.15503875968992201</v>
      </c>
      <c r="D16" s="601">
        <v>1.16279069767442E-2</v>
      </c>
      <c r="E16" s="601">
        <v>0</v>
      </c>
      <c r="F16" s="601">
        <v>0</v>
      </c>
      <c r="G16" s="601">
        <v>3.9534883720930197E-2</v>
      </c>
      <c r="H16" s="601">
        <v>9.4573643410852698E-2</v>
      </c>
      <c r="I16" s="601">
        <v>0.34108527131782901</v>
      </c>
      <c r="J16" s="601">
        <v>0.31007751937984501</v>
      </c>
      <c r="K16" s="601">
        <v>4.8062015503876003E-2</v>
      </c>
      <c r="L16" s="601">
        <v>645</v>
      </c>
      <c r="M16" s="601">
        <f>'Mix énergie_2015'!M18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5"/>
  <dimension ref="B3:M15"/>
  <sheetViews>
    <sheetView workbookViewId="0"/>
  </sheetViews>
  <sheetFormatPr baseColWidth="10" defaultColWidth="11.453125" defaultRowHeight="14.5"/>
  <cols>
    <col min="1" max="16384" width="11.453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2030</v>
      </c>
      <c r="C5" s="256">
        <v>0.03</v>
      </c>
      <c r="D5" s="256">
        <v>0.5</v>
      </c>
      <c r="E5" s="256">
        <v>0</v>
      </c>
      <c r="F5" s="256">
        <v>0</v>
      </c>
      <c r="G5" s="256">
        <v>0</v>
      </c>
      <c r="H5" s="256">
        <v>0.02</v>
      </c>
      <c r="I5" s="256">
        <v>0.15</v>
      </c>
      <c r="J5" s="256">
        <v>0.2</v>
      </c>
      <c r="K5" s="256">
        <v>0.1</v>
      </c>
      <c r="L5" s="256">
        <v>49.216831482822897</v>
      </c>
    </row>
    <row r="6" spans="2:13">
      <c r="B6" s="256">
        <v>2050</v>
      </c>
      <c r="C6" s="256">
        <v>0.05</v>
      </c>
      <c r="D6" s="256">
        <v>0.45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J6" s="256">
        <v>0.25</v>
      </c>
      <c r="K6" s="256">
        <v>0.25</v>
      </c>
      <c r="L6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2030</v>
      </c>
      <c r="C14" s="601">
        <f>'Mix énergie_2015'!C17</f>
        <v>0.63795853269537484</v>
      </c>
      <c r="D14" s="601">
        <f>'Mix énergie_2015'!D17</f>
        <v>1.1961722488038277E-2</v>
      </c>
      <c r="E14" s="601">
        <f>'Mix énergie_2015'!E17</f>
        <v>0</v>
      </c>
      <c r="F14" s="601">
        <f>'Mix énergie_2015'!F17</f>
        <v>0</v>
      </c>
      <c r="G14" s="601">
        <f>'Mix énergie_2015'!G17</f>
        <v>4.0669856459330141E-2</v>
      </c>
      <c r="H14" s="601">
        <f>'Mix énergie_2015'!H17</f>
        <v>9.7288676236044661E-2</v>
      </c>
      <c r="I14" s="601">
        <f>'Mix énergie_2015'!I17</f>
        <v>0.12759170653907495</v>
      </c>
      <c r="J14" s="601">
        <f>'Mix énergie_2015'!J17</f>
        <v>5.7416267942583733E-2</v>
      </c>
      <c r="K14" s="601">
        <f>'Mix énergie_2015'!K17</f>
        <v>2.7113237639553429E-2</v>
      </c>
      <c r="L14" s="601">
        <f>'Mix énergie_2015'!L17</f>
        <v>627</v>
      </c>
      <c r="M14" s="601">
        <f>'Mix énergie_2015'!M17</f>
        <v>0</v>
      </c>
    </row>
    <row r="15" spans="2:13">
      <c r="B15" s="256">
        <v>2050</v>
      </c>
      <c r="C15" s="601">
        <v>0.15503875968992201</v>
      </c>
      <c r="D15" s="601">
        <v>1.16279069767442E-2</v>
      </c>
      <c r="E15" s="601">
        <v>0</v>
      </c>
      <c r="F15" s="601">
        <v>0</v>
      </c>
      <c r="G15" s="601">
        <v>3.9534883720930197E-2</v>
      </c>
      <c r="H15" s="601">
        <v>9.4573643410852698E-2</v>
      </c>
      <c r="I15" s="601">
        <v>0.34108527131782901</v>
      </c>
      <c r="J15" s="601">
        <v>0.31007751937984501</v>
      </c>
      <c r="K15" s="601">
        <v>4.8062015503876003E-2</v>
      </c>
      <c r="L15" s="601">
        <v>645</v>
      </c>
      <c r="M15" s="601">
        <f>'Mix énergie_2015'!M18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6"/>
  <dimension ref="B3:M14"/>
  <sheetViews>
    <sheetView workbookViewId="0"/>
  </sheetViews>
  <sheetFormatPr baseColWidth="10" defaultColWidth="11.453125" defaultRowHeight="14.5"/>
  <cols>
    <col min="1" max="16384" width="11.453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2050</v>
      </c>
      <c r="C5" s="256">
        <v>0.05</v>
      </c>
      <c r="D5" s="256">
        <v>0.45</v>
      </c>
      <c r="E5" s="256">
        <v>0</v>
      </c>
      <c r="F5" s="256">
        <v>0</v>
      </c>
      <c r="G5" s="256">
        <v>0</v>
      </c>
      <c r="H5" s="256">
        <v>0</v>
      </c>
      <c r="I5" s="256">
        <v>0</v>
      </c>
      <c r="J5" s="256">
        <v>0.25</v>
      </c>
      <c r="K5" s="256">
        <v>0.25</v>
      </c>
      <c r="L5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2050</v>
      </c>
      <c r="C14" s="601">
        <v>0.15503875968992201</v>
      </c>
      <c r="D14" s="601">
        <v>1.16279069767442E-2</v>
      </c>
      <c r="E14" s="601">
        <v>0</v>
      </c>
      <c r="F14" s="601">
        <v>0</v>
      </c>
      <c r="G14" s="601">
        <v>3.9534883720930197E-2</v>
      </c>
      <c r="H14" s="601">
        <v>9.4573643410852698E-2</v>
      </c>
      <c r="I14" s="601">
        <v>0.34108527131782901</v>
      </c>
      <c r="J14" s="601">
        <v>0.31007751937984501</v>
      </c>
      <c r="K14" s="601">
        <v>4.8062015503876003E-2</v>
      </c>
      <c r="L14" s="601">
        <v>645</v>
      </c>
      <c r="M14" s="601">
        <f>'Mix énergie_2015'!M18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9"/>
  <sheetViews>
    <sheetView workbookViewId="0">
      <pane xSplit="2" ySplit="4" topLeftCell="G16" activePane="bottomRight" state="frozen"/>
      <selection pane="topRight" activeCell="C1" sqref="C1"/>
      <selection pane="bottomLeft" activeCell="A5" sqref="A5"/>
      <selection pane="bottomRight" activeCell="L21" sqref="L21:L24"/>
    </sheetView>
  </sheetViews>
  <sheetFormatPr baseColWidth="10" defaultColWidth="11.453125" defaultRowHeight="14.5"/>
  <cols>
    <col min="1" max="1" width="11.453125" style="256"/>
    <col min="2" max="2" width="25.81640625" style="256" customWidth="1"/>
    <col min="3" max="17" width="11.453125" style="256"/>
    <col min="18" max="23" width="11.453125" style="622"/>
    <col min="24" max="16384" width="11.453125" style="256"/>
  </cols>
  <sheetData>
    <row r="1" spans="1:25">
      <c r="A1" s="605" t="s">
        <v>407</v>
      </c>
      <c r="B1" s="606"/>
      <c r="C1" s="780" t="s">
        <v>0</v>
      </c>
      <c r="D1" s="780"/>
      <c r="E1" s="780"/>
      <c r="F1" s="780"/>
      <c r="G1" s="780"/>
      <c r="H1" s="780"/>
      <c r="I1" s="764"/>
      <c r="J1" s="781" t="s">
        <v>1</v>
      </c>
      <c r="K1" s="781"/>
      <c r="L1" s="781"/>
      <c r="M1" s="781"/>
      <c r="N1" s="781"/>
      <c r="O1" s="781"/>
      <c r="P1" s="781"/>
      <c r="R1" s="607"/>
      <c r="S1" s="607"/>
      <c r="T1" s="607"/>
      <c r="U1" s="607"/>
      <c r="V1" s="607"/>
      <c r="W1" s="607"/>
    </row>
    <row r="2" spans="1:25">
      <c r="A2" s="608" t="s">
        <v>408</v>
      </c>
      <c r="B2" s="606"/>
      <c r="C2" s="782" t="s">
        <v>2</v>
      </c>
      <c r="D2" s="783"/>
      <c r="E2" s="784" t="s">
        <v>3</v>
      </c>
      <c r="F2" s="785"/>
      <c r="G2" s="785"/>
      <c r="H2" s="785"/>
      <c r="I2" s="609"/>
      <c r="J2" s="786" t="s">
        <v>4</v>
      </c>
      <c r="K2" s="787" t="s">
        <v>5</v>
      </c>
      <c r="L2" s="788"/>
      <c r="M2" s="788"/>
      <c r="N2" s="788"/>
      <c r="O2" s="788"/>
      <c r="P2" s="786"/>
      <c r="R2" s="610"/>
      <c r="S2" s="113"/>
      <c r="T2" s="610"/>
      <c r="U2" s="110" t="s">
        <v>90</v>
      </c>
      <c r="V2" s="113"/>
      <c r="W2" s="111"/>
    </row>
    <row r="3" spans="1:25" ht="52">
      <c r="A3" s="611" t="s">
        <v>409</v>
      </c>
      <c r="B3" s="673" t="s">
        <v>410</v>
      </c>
      <c r="C3" s="612"/>
      <c r="D3" s="612"/>
      <c r="E3" s="6" t="s">
        <v>6</v>
      </c>
      <c r="F3" s="613"/>
      <c r="G3" s="789" t="s">
        <v>7</v>
      </c>
      <c r="H3" s="790"/>
      <c r="I3" s="614" t="s">
        <v>75</v>
      </c>
      <c r="J3" s="786"/>
      <c r="K3" s="787"/>
      <c r="L3" s="788"/>
      <c r="M3" s="788"/>
      <c r="N3" s="788"/>
      <c r="O3" s="788"/>
      <c r="P3" s="786"/>
      <c r="R3" s="112"/>
      <c r="S3" s="113"/>
      <c r="T3" s="113"/>
      <c r="U3" s="113"/>
      <c r="V3" s="113"/>
      <c r="W3" s="111"/>
      <c r="Y3" s="256" t="s">
        <v>399</v>
      </c>
    </row>
    <row r="4" spans="1:25">
      <c r="A4" s="615" t="s">
        <v>8</v>
      </c>
      <c r="B4" s="615" t="s">
        <v>9</v>
      </c>
      <c r="C4" s="616"/>
      <c r="D4" s="617" t="s">
        <v>10</v>
      </c>
      <c r="E4" s="12"/>
      <c r="F4" s="618" t="s">
        <v>10</v>
      </c>
      <c r="G4" s="12"/>
      <c r="H4" s="618" t="s">
        <v>10</v>
      </c>
      <c r="I4" s="617"/>
      <c r="J4" s="786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5">
      <c r="A5" s="619"/>
      <c r="B5" s="620"/>
      <c r="C5" s="773">
        <f>SUM(C7:C48)-N23-O23</f>
        <v>199.30905321223159</v>
      </c>
      <c r="D5" s="621">
        <f>[2]Bilan_E_2050_Mtep!B11</f>
        <v>198.59666761815447</v>
      </c>
      <c r="E5" s="20"/>
      <c r="F5" s="674">
        <f>F7+F21+F26+F36</f>
        <v>57.062659889540633</v>
      </c>
      <c r="G5" s="622"/>
      <c r="H5" s="737">
        <f>H7+H21+H26+H36</f>
        <v>148.57286457067411</v>
      </c>
      <c r="I5" s="644">
        <f>I13</f>
        <v>4.2522120071420346</v>
      </c>
      <c r="J5" s="623"/>
      <c r="K5" s="25">
        <f>K12+K21+K26</f>
        <v>5.2583824095535538</v>
      </c>
      <c r="L5" s="25">
        <f>L12+L21+L26</f>
        <v>1.7407860466037619</v>
      </c>
      <c r="M5" s="25">
        <f t="shared" ref="M5:O5" si="0">M12+M21+M26</f>
        <v>0.56219768998766328</v>
      </c>
      <c r="N5" s="25">
        <f>N12+N21+N26</f>
        <v>0</v>
      </c>
      <c r="O5" s="25">
        <f t="shared" si="0"/>
        <v>0</v>
      </c>
      <c r="P5" s="26">
        <f>P7+P23+P26+SUM(P36:P48)</f>
        <v>112.78139733709037</v>
      </c>
      <c r="R5" s="624">
        <f>SUM(R13,R23,R26:R32,R43)</f>
        <v>113.03328595386255</v>
      </c>
      <c r="S5" s="624">
        <f>SUM(S7:S48)</f>
        <v>2.5329941175370858</v>
      </c>
      <c r="T5" s="624">
        <f>SUM(T7:T48)</f>
        <v>27.687658147716451</v>
      </c>
      <c r="U5" s="624">
        <f>SUM(U7:U48)</f>
        <v>29.982267619244219</v>
      </c>
      <c r="V5" s="624">
        <f>SUM(V7:V48)</f>
        <v>22.832956162894686</v>
      </c>
      <c r="W5" s="624">
        <f>SUM(W7:W48)</f>
        <v>29.997409906470118</v>
      </c>
      <c r="X5" s="625" t="s">
        <v>400</v>
      </c>
    </row>
    <row r="6" spans="1:25">
      <c r="A6" s="626"/>
      <c r="B6" s="606"/>
      <c r="C6" s="627"/>
      <c r="D6" s="628" t="s">
        <v>401</v>
      </c>
      <c r="E6" s="637"/>
      <c r="F6" s="629"/>
      <c r="G6" s="637"/>
      <c r="H6" s="687">
        <f>-[2]Bilan_E_2050_Mtep!O15-[2]Bilan_E_2050_Mtep!O16</f>
        <v>59.114359415305238</v>
      </c>
      <c r="I6" s="629"/>
      <c r="J6" s="629"/>
      <c r="K6" s="629"/>
      <c r="L6" s="629"/>
      <c r="M6" s="629"/>
      <c r="N6" s="629"/>
      <c r="O6" s="629"/>
      <c r="P6" s="630"/>
      <c r="R6" s="631" t="s">
        <v>402</v>
      </c>
      <c r="S6" s="606"/>
      <c r="T6" s="606"/>
      <c r="U6" s="670"/>
      <c r="V6" s="670"/>
      <c r="W6" s="606"/>
    </row>
    <row r="7" spans="1:25">
      <c r="A7" s="791" t="s">
        <v>15</v>
      </c>
      <c r="B7" s="606" t="s">
        <v>17</v>
      </c>
      <c r="C7" s="738">
        <f>[2]Bilan_E_2050_Mtep!L15</f>
        <v>14.61736887360275</v>
      </c>
      <c r="D7" s="792">
        <f>SUM(C7:C19)</f>
        <v>114.20418253313515</v>
      </c>
      <c r="E7" s="636">
        <v>0</v>
      </c>
      <c r="F7" s="793">
        <f>SUM(E7:E19)</f>
        <v>55.089823117829908</v>
      </c>
      <c r="G7" s="739">
        <f>C7-E7</f>
        <v>14.61736887360275</v>
      </c>
      <c r="H7" s="794">
        <f>SUM(G7:G19)</f>
        <v>59.114359415305245</v>
      </c>
      <c r="I7" s="622"/>
      <c r="J7" s="792">
        <f>H7-I13</f>
        <v>54.86214740816321</v>
      </c>
      <c r="K7" s="633"/>
      <c r="L7" s="633"/>
      <c r="M7" s="633"/>
      <c r="N7" s="634"/>
      <c r="O7" s="635"/>
      <c r="P7" s="779">
        <f>J7-K12-L12-M12-N12</f>
        <v>48.384931205577018</v>
      </c>
      <c r="Q7" s="601"/>
      <c r="R7" s="682"/>
      <c r="S7" s="120"/>
      <c r="T7" s="121"/>
      <c r="U7" s="122"/>
      <c r="V7" s="121"/>
      <c r="W7" s="122"/>
    </row>
    <row r="8" spans="1:25">
      <c r="A8" s="791"/>
      <c r="B8" s="606" t="s">
        <v>18</v>
      </c>
      <c r="C8" s="738">
        <f>G8+E8</f>
        <v>6.7927773000859846</v>
      </c>
      <c r="D8" s="792"/>
      <c r="E8" s="636">
        <v>0</v>
      </c>
      <c r="F8" s="793"/>
      <c r="G8" s="740">
        <f>[2]Bilan_E_2050_Mtep!N15-[2]SRER!C12/11.63</f>
        <v>6.7927773000859846</v>
      </c>
      <c r="H8" s="794"/>
      <c r="I8" s="622"/>
      <c r="J8" s="792"/>
      <c r="K8" s="633"/>
      <c r="L8" s="633"/>
      <c r="M8" s="633"/>
      <c r="N8" s="634"/>
      <c r="O8" s="635"/>
      <c r="P8" s="779"/>
      <c r="Q8" s="601"/>
      <c r="R8" s="683"/>
      <c r="S8" s="124"/>
      <c r="T8" s="125"/>
      <c r="U8" s="126"/>
      <c r="V8" s="125"/>
      <c r="W8" s="126"/>
    </row>
    <row r="9" spans="1:25">
      <c r="A9" s="791"/>
      <c r="B9" s="606" t="s">
        <v>19</v>
      </c>
      <c r="C9" s="738">
        <f>[2]Bilan_E_2050_Mtep!M15</f>
        <v>6.44883920894239</v>
      </c>
      <c r="D9" s="792"/>
      <c r="E9" s="636">
        <v>0</v>
      </c>
      <c r="F9" s="793"/>
      <c r="G9" s="739">
        <f>C9-E9</f>
        <v>6.44883920894239</v>
      </c>
      <c r="H9" s="794"/>
      <c r="I9" s="622"/>
      <c r="J9" s="792"/>
      <c r="K9" s="633"/>
      <c r="L9" s="633"/>
      <c r="M9" s="633"/>
      <c r="N9" s="634"/>
      <c r="O9" s="635"/>
      <c r="P9" s="779"/>
      <c r="Q9" s="601"/>
      <c r="R9" s="683"/>
      <c r="S9" s="124"/>
      <c r="T9" s="125"/>
      <c r="U9" s="126"/>
      <c r="V9" s="125"/>
      <c r="W9" s="126"/>
    </row>
    <row r="10" spans="1:25">
      <c r="A10" s="791"/>
      <c r="B10" s="606" t="s">
        <v>20</v>
      </c>
      <c r="C10" s="738">
        <f>[2]Bilan_E_2050_Mtep!K15</f>
        <v>78.167747987180476</v>
      </c>
      <c r="D10" s="792"/>
      <c r="E10" s="636">
        <f>C10-G10</f>
        <v>52.372391151410916</v>
      </c>
      <c r="F10" s="793"/>
      <c r="G10" s="741">
        <f>[2]Bilan_E_2050_Mtep!K15*[2]Bilan_E_2050_Mtep!B43</f>
        <v>25.79535683576956</v>
      </c>
      <c r="H10" s="794"/>
      <c r="I10" s="622"/>
      <c r="J10" s="792"/>
      <c r="K10" s="633"/>
      <c r="L10" s="633"/>
      <c r="M10" s="633"/>
      <c r="N10" s="634"/>
      <c r="O10" s="635"/>
      <c r="P10" s="779"/>
      <c r="Q10" s="601"/>
      <c r="R10" s="683"/>
      <c r="S10" s="124"/>
      <c r="T10" s="125"/>
      <c r="U10" s="126"/>
      <c r="V10" s="125"/>
      <c r="W10" s="126"/>
    </row>
    <row r="11" spans="1:25">
      <c r="A11" s="791"/>
      <c r="B11" s="606" t="s">
        <v>21</v>
      </c>
      <c r="C11" s="738">
        <v>0</v>
      </c>
      <c r="D11" s="792"/>
      <c r="E11" s="281"/>
      <c r="F11" s="793"/>
      <c r="G11" s="742">
        <f>C11-E11</f>
        <v>0</v>
      </c>
      <c r="H11" s="794"/>
      <c r="I11" s="622"/>
      <c r="J11" s="792"/>
      <c r="K11" s="633"/>
      <c r="L11" s="633"/>
      <c r="M11" s="633"/>
      <c r="N11" s="634"/>
      <c r="O11" s="635"/>
      <c r="P11" s="779"/>
      <c r="Q11" s="601"/>
      <c r="R11" s="683"/>
      <c r="S11" s="124"/>
      <c r="T11" s="125"/>
      <c r="U11" s="126"/>
      <c r="V11" s="125"/>
      <c r="W11" s="126"/>
    </row>
    <row r="12" spans="1:25">
      <c r="A12" s="791"/>
      <c r="B12" s="606" t="s">
        <v>22</v>
      </c>
      <c r="C12" s="717">
        <f>[2]Bilan_E_2050_Mtep!W15+[2]Bilan_E_2050_Mtep!AG16+[2]Bilan_E_2050_Mtep!AG20/2</f>
        <v>1.0696391623765171</v>
      </c>
      <c r="D12" s="792"/>
      <c r="E12" s="636">
        <f>C12-G12</f>
        <v>9.2800954977368511E-2</v>
      </c>
      <c r="F12" s="793"/>
      <c r="G12" s="740">
        <f>([2]Déchets!G6+[2]Déchets!G10)/1000/11.63</f>
        <v>0.97683820739914862</v>
      </c>
      <c r="H12" s="794"/>
      <c r="I12" s="622"/>
      <c r="J12" s="792"/>
      <c r="K12" s="718">
        <f>[2]Bilan_E_2050_Mtep!O24</f>
        <v>4.2507074659947683</v>
      </c>
      <c r="L12" s="718">
        <f>-[2]Bilan_E_2050_Mtep!O7-[2]Bilan_E_2050_Mtep!O6-[2]Bilan_E_2050_Mtep!O9</f>
        <v>1.6643110466037623</v>
      </c>
      <c r="M12" s="718">
        <f>[2]Bilan_E_2050_Mtep!O18</f>
        <v>0.56219768998766328</v>
      </c>
      <c r="N12" s="719">
        <v>0</v>
      </c>
      <c r="O12" s="720">
        <v>0</v>
      </c>
      <c r="P12" s="779"/>
      <c r="Q12" s="601"/>
      <c r="R12" s="683"/>
      <c r="S12" s="124"/>
      <c r="T12" s="125"/>
      <c r="U12" s="126"/>
      <c r="V12" s="125"/>
      <c r="W12" s="126"/>
    </row>
    <row r="13" spans="1:25">
      <c r="A13" s="791"/>
      <c r="B13" s="606" t="s">
        <v>23</v>
      </c>
      <c r="C13" s="689">
        <f>[2]Bilan_E_2050_Mtep!U15+[2]Bilan_E_2050_Mtep!AE16+[2]Bilan_E_2050_Mtep!AE20/2</f>
        <v>0.55960455273283871</v>
      </c>
      <c r="D13" s="792"/>
      <c r="E13" s="636">
        <f>C13-G13</f>
        <v>-9.7263172800084896E-2</v>
      </c>
      <c r="F13" s="793"/>
      <c r="G13" s="740">
        <f>[2]SRER!C9/11.63-G12</f>
        <v>0.65686772553292361</v>
      </c>
      <c r="H13" s="794"/>
      <c r="I13" s="690">
        <f>[2]Bilan_E_2050_Mtep!O23+[2]Bilan_E_2050_Mtep!O35+[2]Bilan_E_2050_Mtep!O21</f>
        <v>4.2522120071420346</v>
      </c>
      <c r="J13" s="792"/>
      <c r="K13" s="691"/>
      <c r="L13" s="691"/>
      <c r="M13" s="691"/>
      <c r="N13" s="692"/>
      <c r="O13" s="693"/>
      <c r="P13" s="779"/>
      <c r="Q13" s="601"/>
      <c r="R13" s="683">
        <f>SUM(S7:W19)</f>
        <v>48.384931205577018</v>
      </c>
      <c r="S13" s="675">
        <f>[2]Bilan_E_2050_Mtep!O31</f>
        <v>0.5812468979923372</v>
      </c>
      <c r="T13" s="676">
        <f>[2]Bilan_E_2050_Mtep!O27</f>
        <v>10.574809411781469</v>
      </c>
      <c r="U13" s="676">
        <f>[2]Bilan_E_2050_Mtep!O28</f>
        <v>12.53585140979772</v>
      </c>
      <c r="V13" s="676">
        <f>[2]Bilan_E_2050_Mtep!O29</f>
        <v>14.380426707216209</v>
      </c>
      <c r="W13" s="676">
        <f>[2]Bilan_E_2050_Mtep!O30</f>
        <v>10.312596778789288</v>
      </c>
    </row>
    <row r="14" spans="1:25">
      <c r="A14" s="791"/>
      <c r="B14" s="606" t="s">
        <v>24</v>
      </c>
      <c r="C14" s="743">
        <f>[2]Bilan_E_2050_Mtep!Y15</f>
        <v>0.42992261392949266</v>
      </c>
      <c r="D14" s="792"/>
      <c r="E14" s="636">
        <f>C14-G14</f>
        <v>0.3869303525365434</v>
      </c>
      <c r="F14" s="793"/>
      <c r="G14" s="740">
        <f>[2]SRER!C13/11.63</f>
        <v>4.2992261392949267E-2</v>
      </c>
      <c r="H14" s="794"/>
      <c r="I14" s="622"/>
      <c r="J14" s="792"/>
      <c r="K14" s="633"/>
      <c r="L14" s="633"/>
      <c r="M14" s="633"/>
      <c r="N14" s="634"/>
      <c r="O14" s="635"/>
      <c r="P14" s="779"/>
      <c r="Q14" s="601"/>
      <c r="R14" s="683"/>
      <c r="S14" s="124"/>
      <c r="T14" s="125"/>
      <c r="U14" s="126"/>
      <c r="V14" s="125"/>
      <c r="W14" s="126"/>
    </row>
    <row r="15" spans="1:25">
      <c r="A15" s="791"/>
      <c r="B15" s="606" t="s">
        <v>25</v>
      </c>
      <c r="C15" s="738">
        <f>G15+E15</f>
        <v>0.17196904557179707</v>
      </c>
      <c r="D15" s="792"/>
      <c r="E15" s="636">
        <v>0</v>
      </c>
      <c r="F15" s="793"/>
      <c r="G15" s="740">
        <f>[2]SRER!C12/11.63</f>
        <v>0.17196904557179707</v>
      </c>
      <c r="H15" s="794"/>
      <c r="I15" s="622"/>
      <c r="J15" s="792"/>
      <c r="K15" s="633"/>
      <c r="L15" s="633"/>
      <c r="M15" s="633"/>
      <c r="N15" s="634"/>
      <c r="O15" s="635"/>
      <c r="P15" s="779"/>
      <c r="Q15" s="601"/>
      <c r="R15" s="683"/>
      <c r="S15" s="124"/>
      <c r="T15" s="125"/>
      <c r="U15" s="126"/>
      <c r="V15" s="125"/>
      <c r="W15" s="126"/>
    </row>
    <row r="16" spans="1:25">
      <c r="A16" s="791"/>
      <c r="B16" s="606" t="s">
        <v>26</v>
      </c>
      <c r="C16" s="738">
        <f>[2]Bilan_E_2050_Mtep!P15</f>
        <v>0</v>
      </c>
      <c r="D16" s="792"/>
      <c r="E16" s="281"/>
      <c r="F16" s="793"/>
      <c r="G16" s="742"/>
      <c r="H16" s="794"/>
      <c r="I16" s="622"/>
      <c r="J16" s="792"/>
      <c r="K16" s="633"/>
      <c r="L16" s="633"/>
      <c r="M16" s="633"/>
      <c r="N16" s="634"/>
      <c r="O16" s="635"/>
      <c r="P16" s="779"/>
      <c r="Q16" s="601"/>
      <c r="R16" s="683"/>
      <c r="S16" s="124"/>
      <c r="T16" s="125"/>
      <c r="U16" s="126"/>
      <c r="V16" s="125"/>
      <c r="W16" s="126"/>
    </row>
    <row r="17" spans="1:23">
      <c r="A17" s="791"/>
      <c r="B17" s="606" t="s">
        <v>27</v>
      </c>
      <c r="C17" s="738">
        <f>SUM([2]Bilan_E_2050_Mtep!D15:I15)</f>
        <v>0</v>
      </c>
      <c r="D17" s="792"/>
      <c r="E17" s="636">
        <f t="shared" ref="E17:E18" si="1">C17-G17</f>
        <v>0</v>
      </c>
      <c r="F17" s="793"/>
      <c r="G17" s="742">
        <f>0.4*C17</f>
        <v>0</v>
      </c>
      <c r="H17" s="794"/>
      <c r="I17" s="622"/>
      <c r="J17" s="792"/>
      <c r="K17" s="633"/>
      <c r="L17" s="633"/>
      <c r="M17" s="633"/>
      <c r="N17" s="634"/>
      <c r="O17" s="635"/>
      <c r="P17" s="779"/>
      <c r="Q17" s="601"/>
      <c r="R17" s="683"/>
      <c r="S17" s="124"/>
      <c r="T17" s="125"/>
      <c r="U17" s="126"/>
      <c r="V17" s="125"/>
      <c r="W17" s="126"/>
    </row>
    <row r="18" spans="1:23">
      <c r="A18" s="791"/>
      <c r="B18" s="606" t="s">
        <v>28</v>
      </c>
      <c r="C18" s="738">
        <f>[2]Bilan_E_2050_Mtep!C15</f>
        <v>0</v>
      </c>
      <c r="D18" s="792"/>
      <c r="E18" s="636">
        <f t="shared" si="1"/>
        <v>0</v>
      </c>
      <c r="F18" s="793"/>
      <c r="G18" s="742">
        <f>[2]Bilan_E_2050_Mtep!B48*C18</f>
        <v>0</v>
      </c>
      <c r="H18" s="794"/>
      <c r="I18" s="622"/>
      <c r="J18" s="792"/>
      <c r="K18" s="633"/>
      <c r="L18" s="633"/>
      <c r="M18" s="633"/>
      <c r="N18" s="634"/>
      <c r="O18" s="635"/>
      <c r="P18" s="779"/>
      <c r="Q18" s="601"/>
      <c r="R18" s="683"/>
      <c r="S18" s="124"/>
      <c r="T18" s="125"/>
      <c r="U18" s="126"/>
      <c r="V18" s="125"/>
      <c r="W18" s="126"/>
    </row>
    <row r="19" spans="1:23">
      <c r="A19" s="791"/>
      <c r="B19" s="637" t="s">
        <v>262</v>
      </c>
      <c r="C19" s="689">
        <f>[2]Bilan_E_2050_Mtep!S15+[2]Bilan_E_2050_Mtep!T15+[2]Bilan_E_2050_Mtep!AF16+[2]Bilan_E_2050_Mtep!AF20/2</f>
        <v>5.9463137887128994</v>
      </c>
      <c r="D19" s="792"/>
      <c r="E19" s="636">
        <f>C19-G19</f>
        <v>2.3349638317051609</v>
      </c>
      <c r="F19" s="793"/>
      <c r="G19" s="740">
        <f>([2]SRER!C11+[2]SRER!C10)/11.63</f>
        <v>3.6113499570077385</v>
      </c>
      <c r="H19" s="794"/>
      <c r="I19" s="622"/>
      <c r="J19" s="792"/>
      <c r="K19" s="633"/>
      <c r="L19" s="633"/>
      <c r="M19" s="633"/>
      <c r="N19" s="634"/>
      <c r="O19" s="635"/>
      <c r="P19" s="779"/>
      <c r="Q19" s="601"/>
      <c r="R19" s="684"/>
      <c r="S19" s="129"/>
      <c r="T19" s="130"/>
      <c r="U19" s="131"/>
      <c r="V19" s="130"/>
      <c r="W19" s="131"/>
    </row>
    <row r="20" spans="1:23">
      <c r="A20" s="626" t="s">
        <v>403</v>
      </c>
      <c r="B20" s="606"/>
      <c r="C20" s="744"/>
      <c r="D20" s="638"/>
      <c r="E20" s="619"/>
      <c r="F20" s="638"/>
      <c r="G20" s="638"/>
      <c r="H20" s="638">
        <f>H7*11.63</f>
        <v>687.5</v>
      </c>
      <c r="I20" s="619"/>
      <c r="J20" s="606"/>
      <c r="K20" s="619"/>
      <c r="L20" s="606"/>
      <c r="M20" s="606"/>
      <c r="N20" s="606"/>
      <c r="O20" s="606"/>
      <c r="P20" s="639"/>
      <c r="R20" s="619"/>
      <c r="S20" s="606"/>
      <c r="T20" s="619"/>
      <c r="U20" s="606"/>
      <c r="V20" s="619"/>
      <c r="W20" s="606"/>
    </row>
    <row r="21" spans="1:23">
      <c r="A21" s="802" t="s">
        <v>13</v>
      </c>
      <c r="B21" s="606" t="s">
        <v>21</v>
      </c>
      <c r="C21" s="743">
        <f>([2]Gaz!E13+[2]Gaz!E18+[2]Gaz!E19)/11.63</f>
        <v>7.6771309527085121</v>
      </c>
      <c r="D21" s="803">
        <f>SUM(C21:C24)</f>
        <v>35.504028584291262</v>
      </c>
      <c r="E21" s="695">
        <f>C21-G21</f>
        <v>1.2462675541698811</v>
      </c>
      <c r="F21" s="803">
        <f>SUM(E21:E24)</f>
        <v>1.2462675541698811</v>
      </c>
      <c r="G21" s="688">
        <f>([2]Gaz!E6+[2]Gaz!E9+[2]Gaz!E10)/11.63</f>
        <v>6.430863398538631</v>
      </c>
      <c r="H21" s="804">
        <f>SUM(G21:G24)</f>
        <v>34.25776103012138</v>
      </c>
      <c r="I21" s="619"/>
      <c r="J21" s="805">
        <f>H21-I21-I22-I23-I24</f>
        <v>33.605972470662131</v>
      </c>
      <c r="K21" s="795">
        <f>SUM([2]Bilan_E_2050_Mtep!S24:T24)</f>
        <v>0.50627233049440457</v>
      </c>
      <c r="L21" s="795">
        <f>-[2]Bilan_E_2050_Mtep!T6-[2]Bilan_E_2050_Mtep!T7-[2]Bilan_E_2050_Mtep!S8-[2]Bilan_E_2050_Mtep!T8</f>
        <v>7.6474999999999543E-2</v>
      </c>
      <c r="M21" s="796">
        <v>0</v>
      </c>
      <c r="N21" s="696"/>
      <c r="O21" s="696"/>
      <c r="P21" s="38"/>
      <c r="R21" s="137"/>
      <c r="S21" s="138"/>
      <c r="T21" s="139"/>
      <c r="U21" s="139"/>
      <c r="V21" s="139"/>
      <c r="W21" s="138"/>
    </row>
    <row r="22" spans="1:23">
      <c r="A22" s="802"/>
      <c r="B22" s="697" t="s">
        <v>413</v>
      </c>
      <c r="C22" s="721">
        <f>[2]H2!D27/11.63</f>
        <v>0</v>
      </c>
      <c r="D22" s="803"/>
      <c r="E22" s="698">
        <f>C22-G22</f>
        <v>0</v>
      </c>
      <c r="F22" s="803"/>
      <c r="G22" s="722">
        <f>[2]Gaz!E8/11.63</f>
        <v>0</v>
      </c>
      <c r="H22" s="804"/>
      <c r="I22" s="641"/>
      <c r="J22" s="805"/>
      <c r="K22" s="795"/>
      <c r="L22" s="795"/>
      <c r="M22" s="796"/>
      <c r="N22" s="766"/>
      <c r="O22" s="699"/>
      <c r="P22" s="40"/>
      <c r="R22" s="140"/>
      <c r="S22" s="677"/>
      <c r="T22" s="678"/>
      <c r="U22" s="678"/>
      <c r="V22" s="678"/>
      <c r="W22" s="677"/>
    </row>
    <row r="23" spans="1:23">
      <c r="A23" s="802"/>
      <c r="B23" s="745" t="s">
        <v>31</v>
      </c>
      <c r="C23" s="743">
        <v>0</v>
      </c>
      <c r="D23" s="803"/>
      <c r="E23" s="746">
        <f>C23-G23</f>
        <v>0</v>
      </c>
      <c r="F23" s="803"/>
      <c r="G23" s="743">
        <v>0</v>
      </c>
      <c r="H23" s="804"/>
      <c r="I23" s="679"/>
      <c r="J23" s="805"/>
      <c r="K23" s="795"/>
      <c r="L23" s="795"/>
      <c r="M23" s="796"/>
      <c r="N23" s="765">
        <f>C32</f>
        <v>0.68618975787413672</v>
      </c>
      <c r="O23" s="700">
        <f>C19</f>
        <v>5.9463137887128994</v>
      </c>
      <c r="P23" s="677">
        <f>J21-N23-O23-K21-L21</f>
        <v>26.39072159358069</v>
      </c>
      <c r="Q23" s="601"/>
      <c r="R23" s="680">
        <f>SUM(S23:W23)</f>
        <v>26.519260298283704</v>
      </c>
      <c r="S23" s="774">
        <f>SUM([2]Bilan_E_2050_Mtep!S31:T31)-[2]Gaz!E24/11.63</f>
        <v>0.86542153091170704</v>
      </c>
      <c r="T23" s="681">
        <f>SUM([2]Bilan_E_2050_Mtep!S27:T27)+SUM([2]Bilan_E_2050_Mtep!S33:T33)</f>
        <v>12.556714340609364</v>
      </c>
      <c r="U23" s="681">
        <f>SUM([2]Bilan_E_2050_Mtep!S28:T28)</f>
        <v>7.3729049952776853</v>
      </c>
      <c r="V23" s="681">
        <f>SUM([2]Bilan_E_2050_Mtep!S29:T29)</f>
        <v>4.293997539277898</v>
      </c>
      <c r="W23" s="681">
        <f>SUM([2]Bilan_E_2050_Mtep!S30:T30)</f>
        <v>1.4302218922070526</v>
      </c>
    </row>
    <row r="24" spans="1:23">
      <c r="A24" s="802"/>
      <c r="B24" s="606" t="s">
        <v>32</v>
      </c>
      <c r="C24" s="747">
        <f>[2]Gaz!I11/11.63</f>
        <v>27.826897631582749</v>
      </c>
      <c r="D24" s="803"/>
      <c r="E24" s="695">
        <f>[2]Bilan_E_2050_Mtep!S18</f>
        <v>0</v>
      </c>
      <c r="F24" s="803"/>
      <c r="G24" s="688">
        <f>C24-E24</f>
        <v>27.826897631582749</v>
      </c>
      <c r="H24" s="804"/>
      <c r="I24" s="701">
        <f>E54+E55+SUM([2]Bilan_E_2050_Mtep!S20:S21,[2]Bilan_E_2050_Mtep!S23,[2]Bilan_E_2050_Mtep!T20:T21,[2]Bilan_E_2050_Mtep!T23)</f>
        <v>0.65178855945924985</v>
      </c>
      <c r="J24" s="805"/>
      <c r="K24" s="795"/>
      <c r="L24" s="795"/>
      <c r="M24" s="796"/>
      <c r="N24" s="766"/>
      <c r="O24" s="699"/>
      <c r="P24" s="40"/>
      <c r="R24" s="142"/>
      <c r="S24" s="143"/>
      <c r="T24" s="144"/>
      <c r="U24" s="144"/>
      <c r="V24" s="144"/>
      <c r="W24" s="143"/>
    </row>
    <row r="25" spans="1:23">
      <c r="A25" s="606"/>
      <c r="B25" s="606"/>
      <c r="C25" s="745"/>
      <c r="D25" s="606"/>
      <c r="E25" s="637" t="s">
        <v>404</v>
      </c>
      <c r="F25" s="606"/>
      <c r="G25" s="619"/>
      <c r="H25" s="606"/>
      <c r="I25" s="606"/>
      <c r="J25" s="606"/>
      <c r="K25" s="606"/>
      <c r="L25" s="606"/>
      <c r="M25" s="606"/>
      <c r="N25" s="606"/>
      <c r="O25" s="606"/>
      <c r="P25" s="638"/>
      <c r="T25" s="644"/>
      <c r="U25" s="644"/>
      <c r="V25" s="644"/>
    </row>
    <row r="26" spans="1:23">
      <c r="A26" s="797" t="s">
        <v>14</v>
      </c>
      <c r="B26" s="606" t="s">
        <v>21</v>
      </c>
      <c r="C26" s="748"/>
      <c r="D26" s="800">
        <f>SUM(C26:C34)</f>
        <v>4.5287322126193459</v>
      </c>
      <c r="E26" s="43"/>
      <c r="F26" s="798">
        <v>0.72656921754084269</v>
      </c>
      <c r="G26" s="640"/>
      <c r="H26" s="799">
        <f>SUM(G26:G34)</f>
        <v>3.4961306964746344</v>
      </c>
      <c r="I26" s="606"/>
      <c r="J26" s="800">
        <f>H26</f>
        <v>3.4961306964746344</v>
      </c>
      <c r="K26" s="801">
        <f>[2]Bilan_E_2050_Mtep!P24</f>
        <v>0.50140261306438105</v>
      </c>
      <c r="L26" s="801">
        <f>-[2]Bilan_E_2050_Mtep!P7-[2]Bilan_E_2050_Mtep!P6</f>
        <v>0</v>
      </c>
      <c r="M26" s="801"/>
      <c r="N26" s="769"/>
      <c r="O26" s="772"/>
      <c r="P26" s="808">
        <f>J26-K26-M26-L26</f>
        <v>2.9947280834102532</v>
      </c>
      <c r="R26" s="145"/>
      <c r="S26" s="145"/>
      <c r="T26" s="145"/>
      <c r="U26" s="145"/>
      <c r="V26" s="146"/>
      <c r="W26" s="145"/>
    </row>
    <row r="27" spans="1:23">
      <c r="A27" s="797"/>
      <c r="B27" s="606" t="s">
        <v>22</v>
      </c>
      <c r="C27" s="702">
        <f>[2]RCU!F7/11.63</f>
        <v>0.94582975064488384</v>
      </c>
      <c r="D27" s="800"/>
      <c r="E27" s="43">
        <f>C27-G27</f>
        <v>0</v>
      </c>
      <c r="F27" s="798"/>
      <c r="G27" s="654">
        <f>[2]RCU!D7/11.63</f>
        <v>0.94582975064488384</v>
      </c>
      <c r="H27" s="799"/>
      <c r="I27" s="645"/>
      <c r="J27" s="800"/>
      <c r="K27" s="801"/>
      <c r="L27" s="801"/>
      <c r="M27" s="801"/>
      <c r="N27" s="769"/>
      <c r="O27" s="772"/>
      <c r="P27" s="808"/>
      <c r="R27" s="147"/>
      <c r="S27" s="769"/>
      <c r="T27" s="769"/>
      <c r="U27" s="769"/>
      <c r="V27" s="772"/>
      <c r="W27" s="769"/>
    </row>
    <row r="28" spans="1:23">
      <c r="A28" s="797"/>
      <c r="B28" s="606" t="s">
        <v>26</v>
      </c>
      <c r="C28" s="748">
        <f>[2]RCU!F12/11.63</f>
        <v>6.0189165950128971E-2</v>
      </c>
      <c r="D28" s="800"/>
      <c r="E28" s="43">
        <f t="shared" ref="E28:E29" si="2">C28-G28</f>
        <v>0</v>
      </c>
      <c r="F28" s="798"/>
      <c r="G28" s="654">
        <f>[2]RCU!D12/11.63</f>
        <v>6.0189165950128971E-2</v>
      </c>
      <c r="H28" s="799"/>
      <c r="I28" s="606"/>
      <c r="J28" s="800"/>
      <c r="K28" s="801"/>
      <c r="L28" s="801"/>
      <c r="M28" s="801"/>
      <c r="N28" s="769"/>
      <c r="O28" s="772"/>
      <c r="P28" s="808"/>
      <c r="R28" s="147"/>
      <c r="S28" s="769"/>
      <c r="T28" s="769"/>
      <c r="U28" s="769"/>
      <c r="V28" s="772"/>
      <c r="W28" s="769"/>
    </row>
    <row r="29" spans="1:23">
      <c r="A29" s="797"/>
      <c r="B29" s="606" t="s">
        <v>23</v>
      </c>
      <c r="C29" s="749">
        <f>[2]RCU!F9/11.63+[2]Bilan_E_2050_Mtep!AE17+[2]Bilan_E_2050_Mtep!AE20/2</f>
        <v>2.1658442604201875</v>
      </c>
      <c r="D29" s="800"/>
      <c r="E29" s="43">
        <f t="shared" si="2"/>
        <v>0.8760764186317096</v>
      </c>
      <c r="F29" s="798"/>
      <c r="G29" s="654">
        <f>[2]RCU!D8/11.63</f>
        <v>1.2897678417884779</v>
      </c>
      <c r="H29" s="799"/>
      <c r="I29" s="606" t="s">
        <v>400</v>
      </c>
      <c r="J29" s="800"/>
      <c r="K29" s="801"/>
      <c r="L29" s="801"/>
      <c r="M29" s="801"/>
      <c r="N29" s="769"/>
      <c r="O29" s="772"/>
      <c r="P29" s="808"/>
      <c r="Q29" s="601"/>
      <c r="R29" s="150">
        <f>SUM(S29:W29)</f>
        <v>2.9461089499076305</v>
      </c>
      <c r="S29" s="646">
        <f>[2]Bilan_E_2050_Mtep!P31</f>
        <v>0</v>
      </c>
      <c r="T29" s="646">
        <f>[2]Bilan_E_2050_Mtep!P27-[2]RCU!D83/11.63</f>
        <v>0.43074582032530428</v>
      </c>
      <c r="U29" s="646">
        <f>[2]Bilan_E_2050_Mtep!P28</f>
        <v>1.6288368495932672</v>
      </c>
      <c r="V29" s="646">
        <f>[2]Bilan_E_2050_Mtep!P29</f>
        <v>0.88652627998905875</v>
      </c>
      <c r="W29" s="646">
        <f>[2]Bilan_E_2050_Mtep!P30</f>
        <v>0</v>
      </c>
    </row>
    <row r="30" spans="1:23">
      <c r="A30" s="797"/>
      <c r="B30" s="606" t="s">
        <v>24</v>
      </c>
      <c r="C30" s="748">
        <f>[2]RCU!F11/11.63</f>
        <v>0.60189165950128976</v>
      </c>
      <c r="D30" s="800"/>
      <c r="E30" s="43">
        <f>C30-G30</f>
        <v>0</v>
      </c>
      <c r="F30" s="798"/>
      <c r="G30" s="654">
        <f>[2]RCU!D11/11.63</f>
        <v>0.60189165950128976</v>
      </c>
      <c r="H30" s="799"/>
      <c r="I30" s="606"/>
      <c r="J30" s="800"/>
      <c r="K30" s="801"/>
      <c r="L30" s="801"/>
      <c r="M30" s="801"/>
      <c r="N30" s="769"/>
      <c r="O30" s="772"/>
      <c r="P30" s="808"/>
      <c r="R30" s="147"/>
      <c r="S30" s="769"/>
      <c r="T30" s="769"/>
      <c r="U30" s="769"/>
      <c r="V30" s="772"/>
      <c r="W30" s="769"/>
    </row>
    <row r="31" spans="1:23">
      <c r="A31" s="797"/>
      <c r="B31" s="606" t="s">
        <v>33</v>
      </c>
      <c r="C31" s="748">
        <f>[2]RCU!F14/11.63</f>
        <v>6.878761822871883E-2</v>
      </c>
      <c r="D31" s="800"/>
      <c r="E31" s="43">
        <f>C31-G31</f>
        <v>0</v>
      </c>
      <c r="F31" s="798"/>
      <c r="G31" s="654">
        <f>[2]RCU!D14/11.63</f>
        <v>6.878761822871883E-2</v>
      </c>
      <c r="H31" s="799"/>
      <c r="I31" s="606"/>
      <c r="J31" s="800"/>
      <c r="K31" s="801"/>
      <c r="L31" s="801"/>
      <c r="M31" s="801"/>
      <c r="N31" s="769"/>
      <c r="O31" s="772"/>
      <c r="P31" s="808"/>
      <c r="R31" s="147"/>
      <c r="S31" s="769"/>
      <c r="T31" s="769"/>
      <c r="U31" s="769"/>
      <c r="V31" s="772"/>
      <c r="W31" s="769"/>
    </row>
    <row r="32" spans="1:23">
      <c r="A32" s="797"/>
      <c r="B32" s="606" t="s">
        <v>29</v>
      </c>
      <c r="C32" s="702">
        <f>[2]RCU!F17/11.63+[2]Bilan_E_2050_Mtep!AF17+[2]Bilan_E_2050_Mtep!AF20/2</f>
        <v>0.68618975787413672</v>
      </c>
      <c r="D32" s="800"/>
      <c r="E32" s="43">
        <f>C32-G32</f>
        <v>0.1565250975130017</v>
      </c>
      <c r="F32" s="798"/>
      <c r="G32" s="654">
        <f>([2]RCU!D13+[2]RCU!D17)/11.63</f>
        <v>0.52966466036113502</v>
      </c>
      <c r="H32" s="799"/>
      <c r="I32" s="606"/>
      <c r="J32" s="800"/>
      <c r="K32" s="801"/>
      <c r="L32" s="801"/>
      <c r="M32" s="801"/>
      <c r="N32" s="769"/>
      <c r="O32" s="772"/>
      <c r="P32" s="808"/>
      <c r="R32" s="152"/>
      <c r="S32" s="153"/>
      <c r="T32" s="153"/>
      <c r="U32" s="153"/>
      <c r="V32" s="154"/>
      <c r="W32" s="153"/>
    </row>
    <row r="33" spans="1:26">
      <c r="A33" s="767"/>
      <c r="B33" s="637" t="s">
        <v>27</v>
      </c>
      <c r="C33" s="750"/>
      <c r="D33" s="800"/>
      <c r="E33" s="43"/>
      <c r="F33" s="768"/>
      <c r="G33" s="751"/>
      <c r="H33" s="768"/>
      <c r="I33" s="606"/>
      <c r="J33" s="647"/>
      <c r="K33" s="768"/>
      <c r="L33" s="768"/>
      <c r="M33" s="768"/>
      <c r="N33" s="768"/>
      <c r="O33" s="768"/>
      <c r="P33" s="768"/>
      <c r="R33" s="647"/>
      <c r="S33" s="768"/>
      <c r="T33" s="768"/>
      <c r="U33" s="768"/>
      <c r="V33" s="768"/>
      <c r="W33" s="768"/>
    </row>
    <row r="34" spans="1:26">
      <c r="A34" s="767"/>
      <c r="B34" s="637" t="s">
        <v>28</v>
      </c>
      <c r="C34" s="750"/>
      <c r="D34" s="800"/>
      <c r="E34" s="43"/>
      <c r="F34" s="768"/>
      <c r="G34" s="752"/>
      <c r="H34" s="768"/>
      <c r="I34" s="606"/>
      <c r="J34" s="685"/>
      <c r="K34" s="768"/>
      <c r="L34" s="768"/>
      <c r="M34" s="768"/>
      <c r="N34" s="768"/>
      <c r="O34" s="768"/>
      <c r="P34" s="768"/>
      <c r="R34" s="647"/>
      <c r="S34" s="768"/>
      <c r="T34" s="768"/>
      <c r="U34" s="768"/>
      <c r="V34" s="768"/>
      <c r="W34" s="768"/>
    </row>
    <row r="35" spans="1:26">
      <c r="A35" s="648"/>
      <c r="B35" s="606"/>
      <c r="C35" s="751"/>
      <c r="D35" s="639"/>
      <c r="E35" s="745"/>
      <c r="F35" s="606"/>
      <c r="G35" s="649"/>
      <c r="H35" s="650"/>
      <c r="I35" s="606"/>
      <c r="J35" s="606"/>
      <c r="K35" s="606"/>
      <c r="L35" s="606"/>
      <c r="M35" s="606"/>
      <c r="N35" s="606"/>
      <c r="O35" s="606"/>
      <c r="P35" s="651"/>
      <c r="T35" s="644"/>
      <c r="U35" s="644"/>
      <c r="V35" s="644"/>
    </row>
    <row r="36" spans="1:26">
      <c r="A36" s="809" t="s">
        <v>34</v>
      </c>
      <c r="B36" s="606" t="s">
        <v>21</v>
      </c>
      <c r="C36" s="753">
        <f>[2]Gaz!E7/11.63</f>
        <v>0.17196904557179707</v>
      </c>
      <c r="D36" s="807">
        <f>SUM(C36:C48)</f>
        <v>51.704613428772852</v>
      </c>
      <c r="E36" s="292"/>
      <c r="F36" s="806"/>
      <c r="G36" s="688">
        <f>C36</f>
        <v>0.17196904557179707</v>
      </c>
      <c r="H36" s="807">
        <f>SUM(G36:G48)</f>
        <v>51.704613428772852</v>
      </c>
      <c r="I36" s="292"/>
      <c r="J36" s="292"/>
      <c r="K36" s="292"/>
      <c r="L36" s="292"/>
      <c r="M36" s="292"/>
      <c r="N36" s="292"/>
      <c r="O36" s="292"/>
      <c r="P36" s="716"/>
      <c r="Q36" s="601"/>
      <c r="R36" s="723"/>
      <c r="S36" s="775">
        <f>[2]Gaz!E7/11.63</f>
        <v>0.17196904557179707</v>
      </c>
      <c r="T36" s="655">
        <v>0</v>
      </c>
      <c r="U36" s="652">
        <v>0</v>
      </c>
      <c r="V36" s="724">
        <v>0</v>
      </c>
      <c r="W36" s="776">
        <v>0</v>
      </c>
      <c r="X36" s="601">
        <f>SUM(S36:W36)</f>
        <v>0.17196904557179707</v>
      </c>
    </row>
    <row r="37" spans="1:26">
      <c r="A37" s="809"/>
      <c r="B37" s="606" t="s">
        <v>23</v>
      </c>
      <c r="C37" s="750">
        <f>G37+I37+E37</f>
        <v>5.1398332136466207</v>
      </c>
      <c r="D37" s="807"/>
      <c r="E37" s="287">
        <f>[2]Bilan_E_2050_Mtep!U23</f>
        <v>0</v>
      </c>
      <c r="F37" s="806"/>
      <c r="G37" s="688">
        <f>SUM([2]Bilan_E_2050_Mtep!U27:U31,[2]Bilan_E_2050_Mtep!U33)</f>
        <v>5.1398332136466207</v>
      </c>
      <c r="H37" s="807"/>
      <c r="I37" s="287"/>
      <c r="J37" s="292"/>
      <c r="K37" s="292"/>
      <c r="L37" s="292"/>
      <c r="M37" s="725"/>
      <c r="N37" s="292"/>
      <c r="O37" s="292"/>
      <c r="P37" s="706">
        <f>G37-I37-E58</f>
        <v>5.1398332136466207</v>
      </c>
      <c r="Q37" s="601"/>
      <c r="R37" s="771"/>
      <c r="S37" s="726">
        <f>[2]Bilan_E_2050_Mtep!U31</f>
        <v>0.16629129482392738</v>
      </c>
      <c r="T37" s="726">
        <f>[2]Bilan_E_2050_Mtep!U27</f>
        <v>1.2539903693057954</v>
      </c>
      <c r="U37" s="726">
        <f>[2]Bilan_E_2050_Mtep!U28</f>
        <v>3.5375310075966953</v>
      </c>
      <c r="V37" s="726">
        <f>[2]Bilan_E_2050_Mtep!U29</f>
        <v>0.18202054192020273</v>
      </c>
      <c r="W37" s="727">
        <v>0</v>
      </c>
      <c r="X37" s="601">
        <f>SUM(S37:W37)</f>
        <v>5.1398332136466207</v>
      </c>
      <c r="Y37" s="256" t="s">
        <v>405</v>
      </c>
    </row>
    <row r="38" spans="1:26">
      <c r="A38" s="809"/>
      <c r="B38" s="606" t="s">
        <v>33</v>
      </c>
      <c r="C38" s="753">
        <f>SUM(S38:W38)</f>
        <v>0.19349066470145582</v>
      </c>
      <c r="D38" s="807"/>
      <c r="E38" s="292"/>
      <c r="F38" s="806"/>
      <c r="G38" s="670">
        <f>C38</f>
        <v>0.19349066470145582</v>
      </c>
      <c r="H38" s="807"/>
      <c r="I38" s="292"/>
      <c r="J38" s="292"/>
      <c r="K38" s="292"/>
      <c r="L38" s="292"/>
      <c r="M38" s="292"/>
      <c r="N38" s="292"/>
      <c r="O38" s="292"/>
      <c r="P38" s="706">
        <f t="shared" ref="P38:P43" si="3">G38-I38</f>
        <v>0.19349066470145582</v>
      </c>
      <c r="Q38" s="601"/>
      <c r="R38" s="771"/>
      <c r="S38" s="652">
        <f>[2]Bilan_E_2050_Mtep!X31</f>
        <v>0</v>
      </c>
      <c r="T38" s="655">
        <f>[2]Bilan_E_2050_Mtep!X27</f>
        <v>0</v>
      </c>
      <c r="U38" s="652">
        <f>[2]Bilan_E_2050_Mtep!X28</f>
        <v>0.10276622340592166</v>
      </c>
      <c r="V38" s="724">
        <f>[2]Bilan_E_2050_Mtep!X29</f>
        <v>9.0724441295534169E-2</v>
      </c>
      <c r="W38" s="654">
        <v>0</v>
      </c>
      <c r="X38" s="601">
        <f t="shared" ref="X38:X48" si="4">SUM(S38:W38)</f>
        <v>0.19349066470145582</v>
      </c>
    </row>
    <row r="39" spans="1:26">
      <c r="A39" s="809"/>
      <c r="B39" s="606" t="s">
        <v>35</v>
      </c>
      <c r="C39" s="753">
        <f>[2]Bilan_E_2050_Mtep!Y34</f>
        <v>0.65603489075550225</v>
      </c>
      <c r="D39" s="807"/>
      <c r="E39" s="292"/>
      <c r="F39" s="806"/>
      <c r="G39" s="670">
        <f t="shared" ref="G39:G40" si="5">C39</f>
        <v>0.65603489075550225</v>
      </c>
      <c r="H39" s="807"/>
      <c r="I39" s="292"/>
      <c r="J39" s="292"/>
      <c r="K39" s="292"/>
      <c r="L39" s="292"/>
      <c r="M39" s="292"/>
      <c r="N39" s="292"/>
      <c r="O39" s="292"/>
      <c r="P39" s="706">
        <f t="shared" si="3"/>
        <v>0.65603489075550225</v>
      </c>
      <c r="Q39" s="601"/>
      <c r="R39" s="771"/>
      <c r="S39" s="653">
        <f>[2]Bilan_E_2050_Mtep!Y31</f>
        <v>0</v>
      </c>
      <c r="T39" s="655">
        <f>[2]Bilan_E_2050_Mtep!Y27</f>
        <v>0</v>
      </c>
      <c r="U39" s="653">
        <f>[2]Bilan_E_2050_Mtep!Y28</f>
        <v>0.48595190668762328</v>
      </c>
      <c r="V39" s="656">
        <f>[2]Bilan_E_2050_Mtep!Y29</f>
        <v>0.17008298406787895</v>
      </c>
      <c r="W39" s="654">
        <f>[2]Bilan_E_2050_Mtep!Y30</f>
        <v>0</v>
      </c>
      <c r="X39" s="601">
        <f>SUM(S39:W39)</f>
        <v>0.65603489075550225</v>
      </c>
    </row>
    <row r="40" spans="1:26">
      <c r="A40" s="809"/>
      <c r="B40" s="606" t="s">
        <v>36</v>
      </c>
      <c r="C40" s="753">
        <f>[2]Bilan_E_2050_Mtep!Z11</f>
        <v>6.1428203545850657</v>
      </c>
      <c r="D40" s="807"/>
      <c r="E40" s="292"/>
      <c r="F40" s="806"/>
      <c r="G40" s="670">
        <f t="shared" si="5"/>
        <v>6.1428203545850657</v>
      </c>
      <c r="H40" s="807"/>
      <c r="I40" s="292"/>
      <c r="J40" s="292"/>
      <c r="K40" s="292"/>
      <c r="L40" s="292"/>
      <c r="M40" s="292"/>
      <c r="N40" s="292"/>
      <c r="O40" s="292"/>
      <c r="P40" s="706">
        <f t="shared" si="3"/>
        <v>6.1428203545850657</v>
      </c>
      <c r="Q40" s="601"/>
      <c r="R40" s="771"/>
      <c r="S40" s="653">
        <f>[2]Bilan_E_2050_Mtep!Z31</f>
        <v>0</v>
      </c>
      <c r="T40" s="655">
        <f>[2]Bilan_E_2050_Mtep!Z27</f>
        <v>0</v>
      </c>
      <c r="U40" s="653">
        <f>[2]Bilan_E_2050_Mtep!Z28</f>
        <v>4.0451302177478921</v>
      </c>
      <c r="V40" s="656">
        <f>[2]Bilan_E_2050_Mtep!Z29</f>
        <v>2.0976901368371736</v>
      </c>
      <c r="W40" s="657">
        <v>0</v>
      </c>
      <c r="X40" s="601">
        <f t="shared" si="4"/>
        <v>6.1428203545850657</v>
      </c>
    </row>
    <row r="41" spans="1:26">
      <c r="A41" s="809"/>
      <c r="B41" s="754" t="s">
        <v>419</v>
      </c>
      <c r="C41" s="755">
        <f>[2]RCU!D95/11.63</f>
        <v>1.1991323379973422</v>
      </c>
      <c r="D41" s="807"/>
      <c r="E41" s="756"/>
      <c r="F41" s="806"/>
      <c r="G41" s="757">
        <f>C41</f>
        <v>1.1991323379973422</v>
      </c>
      <c r="H41" s="807"/>
      <c r="I41" s="756"/>
      <c r="J41" s="756"/>
      <c r="K41" s="756"/>
      <c r="L41" s="756"/>
      <c r="M41" s="756"/>
      <c r="N41" s="756"/>
      <c r="O41" s="756"/>
      <c r="P41" s="706">
        <f t="shared" si="3"/>
        <v>1.1991323379973422</v>
      </c>
      <c r="Q41" s="758"/>
      <c r="R41" s="770"/>
      <c r="S41" s="759"/>
      <c r="T41" s="655">
        <f>[2]RCU!D95/11.63</f>
        <v>1.1991323379973422</v>
      </c>
      <c r="U41" s="759"/>
      <c r="V41" s="759"/>
      <c r="W41" s="759"/>
      <c r="X41" s="758">
        <f>T41</f>
        <v>1.1991323379973422</v>
      </c>
      <c r="Y41" s="760"/>
      <c r="Z41" s="712" t="s">
        <v>414</v>
      </c>
    </row>
    <row r="42" spans="1:26">
      <c r="A42" s="809"/>
      <c r="B42" s="606" t="s">
        <v>37</v>
      </c>
      <c r="C42" s="642">
        <f>[2]Bilan_E_2050_Mtep!V32</f>
        <v>3.6020074831689883</v>
      </c>
      <c r="D42" s="807"/>
      <c r="E42" s="292"/>
      <c r="F42" s="806"/>
      <c r="G42" s="688">
        <f>C42</f>
        <v>3.6020074831689883</v>
      </c>
      <c r="H42" s="807"/>
      <c r="I42" s="292"/>
      <c r="J42" s="292"/>
      <c r="K42" s="292"/>
      <c r="L42" s="292"/>
      <c r="M42" s="292"/>
      <c r="N42" s="292"/>
      <c r="O42" s="292"/>
      <c r="P42" s="706">
        <f t="shared" si="3"/>
        <v>3.6020074831689883</v>
      </c>
      <c r="Q42" s="601"/>
      <c r="R42" s="723"/>
      <c r="S42" s="655">
        <f>[2]Bilan_E_2050_Mtep!V31</f>
        <v>0</v>
      </c>
      <c r="T42" s="655">
        <f>[2]Bilan_E_2050_Mtep!V27</f>
        <v>0</v>
      </c>
      <c r="U42" s="655">
        <f>[2]Bilan_E_2050_Mtep!V28</f>
        <v>0</v>
      </c>
      <c r="V42" s="655">
        <f>[2]Bilan_E_2050_Mtep!V29</f>
        <v>0</v>
      </c>
      <c r="W42" s="727">
        <f>[2]Bilan_E_2050_Mtep!V30</f>
        <v>3.6020074831689883</v>
      </c>
      <c r="X42" s="722">
        <f t="shared" si="4"/>
        <v>3.6020074831689883</v>
      </c>
    </row>
    <row r="43" spans="1:26">
      <c r="A43" s="809"/>
      <c r="B43" s="606" t="s">
        <v>38</v>
      </c>
      <c r="C43" s="750">
        <f>W43+I43</f>
        <v>14.458042184706498</v>
      </c>
      <c r="D43" s="807"/>
      <c r="E43" s="292"/>
      <c r="F43" s="806"/>
      <c r="G43" s="670">
        <f>C43</f>
        <v>14.458042184706498</v>
      </c>
      <c r="H43" s="807"/>
      <c r="I43" s="287"/>
      <c r="J43" s="292"/>
      <c r="K43" s="292"/>
      <c r="L43" s="292"/>
      <c r="M43" s="292"/>
      <c r="N43" s="292"/>
      <c r="O43" s="292"/>
      <c r="P43" s="706">
        <f t="shared" si="3"/>
        <v>14.458042184706498</v>
      </c>
      <c r="Q43" s="601"/>
      <c r="R43" s="771">
        <f>SUM(S36:W48)</f>
        <v>35.182985500094205</v>
      </c>
      <c r="S43" s="655">
        <f>SUM([2]Bilan_E_2050_Mtep!F31:G31,[2]Bilan_E_2050_Mtep!I31)</f>
        <v>0</v>
      </c>
      <c r="T43" s="655">
        <f>SUM([2]Bilan_E_2050_Mtep!F27:G27,[2]Bilan_E_2050_Mtep!I27)</f>
        <v>0</v>
      </c>
      <c r="U43" s="655">
        <f>SUM([2]Bilan_E_2050_Mtep!F28:G28,[2]Bilan_E_2050_Mtep!I28)</f>
        <v>0</v>
      </c>
      <c r="V43" s="655">
        <f>SUM([2]Bilan_E_2050_Mtep!F29:G29,[2]Bilan_E_2050_Mtep!I29)</f>
        <v>0</v>
      </c>
      <c r="W43" s="657">
        <f>SUM([2]Bilan_E_2050_Mtep!F30:G30,[2]Bilan_E_2050_Mtep!I30)</f>
        <v>14.458042184706498</v>
      </c>
      <c r="X43" s="722">
        <f t="shared" si="4"/>
        <v>14.458042184706498</v>
      </c>
    </row>
    <row r="44" spans="1:26">
      <c r="A44" s="809"/>
      <c r="B44" s="606" t="s">
        <v>39</v>
      </c>
      <c r="C44" s="750">
        <f>-SUM([2]Bilan_E_2050_Mtep!E20:J20)-C43+SUM([2]Bilan_E_2050_Mtep!E6:J6)+SUM([2]Bilan_E_2050_Mtep!E7:J7)+SUM([2]Bilan_E_2050_Mtep!E8:J8)+SUM([2]Bilan_E_2050_Mtep!E9:J9)+SUM([2]Bilan_E_2050_Mtep!E10:J10)</f>
        <v>16.768247858952275</v>
      </c>
      <c r="D44" s="807"/>
      <c r="E44" s="292"/>
      <c r="F44" s="806"/>
      <c r="G44" s="670">
        <f>C44</f>
        <v>16.768247858952275</v>
      </c>
      <c r="H44" s="807"/>
      <c r="I44" s="287">
        <f>SUM([2]Bilan_E_2050_Mtep!E23:J23)</f>
        <v>1.657405194053521</v>
      </c>
      <c r="J44" s="292"/>
      <c r="K44" s="292"/>
      <c r="L44" s="292"/>
      <c r="M44" s="292"/>
      <c r="N44" s="292"/>
      <c r="O44" s="292"/>
      <c r="P44" s="706">
        <f>G44-E57-I44</f>
        <v>3.0822837092142268</v>
      </c>
      <c r="Q44" s="601"/>
      <c r="R44" s="771"/>
      <c r="S44" s="655">
        <f>SUM([2]Bilan_E_2050_Mtep!E31:J31)-S43</f>
        <v>0.74806534823731718</v>
      </c>
      <c r="T44" s="655">
        <f>SUM([2]Bilan_E_2050_Mtep!E27:J27)-T43</f>
        <v>1.3294358195487708</v>
      </c>
      <c r="U44" s="655">
        <f>SUM([2]Bilan_E_2050_Mtep!E28:J28)-U43</f>
        <v>0.27329500913741273</v>
      </c>
      <c r="V44" s="655">
        <f>SUM([2]Bilan_E_2050_Mtep!E29:J29)-V43</f>
        <v>0.7314875322907316</v>
      </c>
      <c r="W44" s="657">
        <f>SUM([2]Bilan_E_2050_Mtep!E30:J30)-W43</f>
        <v>0</v>
      </c>
      <c r="X44" s="722">
        <f t="shared" si="4"/>
        <v>3.0822837092142321</v>
      </c>
    </row>
    <row r="45" spans="1:26">
      <c r="A45" s="809"/>
      <c r="B45" s="606" t="s">
        <v>40</v>
      </c>
      <c r="C45" s="658">
        <f>[2]Bilan_E_2050_Mtep!W32</f>
        <v>0.25695606376582447</v>
      </c>
      <c r="D45" s="807"/>
      <c r="E45" s="292"/>
      <c r="F45" s="806"/>
      <c r="G45" s="670">
        <f t="shared" ref="G45" si="6">C45-E45</f>
        <v>0.25695606376582447</v>
      </c>
      <c r="H45" s="807"/>
      <c r="I45" s="292"/>
      <c r="J45" s="292"/>
      <c r="K45" s="292"/>
      <c r="L45" s="292"/>
      <c r="M45" s="292"/>
      <c r="N45" s="292"/>
      <c r="O45" s="292"/>
      <c r="P45" s="706">
        <f>G45-I45</f>
        <v>0.25695606376582447</v>
      </c>
      <c r="Q45" s="601"/>
      <c r="R45" s="771"/>
      <c r="S45" s="728"/>
      <c r="T45" s="728">
        <f>[2]Bilan_E_2050_Mtep!W27</f>
        <v>0.25695606376582447</v>
      </c>
      <c r="U45" s="728"/>
      <c r="V45" s="728"/>
      <c r="W45" s="657">
        <v>0</v>
      </c>
      <c r="X45" s="601">
        <f t="shared" si="4"/>
        <v>0.25695606376582447</v>
      </c>
    </row>
    <row r="46" spans="1:26">
      <c r="A46" s="809"/>
      <c r="B46" s="606" t="s">
        <v>41</v>
      </c>
      <c r="C46" s="695">
        <f>E55+E54</f>
        <v>0</v>
      </c>
      <c r="D46" s="807"/>
      <c r="E46" s="292"/>
      <c r="F46" s="806"/>
      <c r="G46" s="694">
        <f>C46-E46</f>
        <v>0</v>
      </c>
      <c r="H46" s="807"/>
      <c r="I46" s="292"/>
      <c r="J46" s="292"/>
      <c r="K46" s="292"/>
      <c r="L46" s="292"/>
      <c r="M46" s="292"/>
      <c r="N46" s="292"/>
      <c r="O46" s="292"/>
      <c r="P46" s="706">
        <f>G46-I46-E54-E55</f>
        <v>0</v>
      </c>
      <c r="Q46" s="601"/>
      <c r="R46" s="771"/>
      <c r="S46" s="652">
        <v>0</v>
      </c>
      <c r="T46" s="655">
        <v>0</v>
      </c>
      <c r="U46" s="652">
        <v>0</v>
      </c>
      <c r="V46" s="729">
        <v>0</v>
      </c>
      <c r="W46" s="657">
        <v>0</v>
      </c>
      <c r="X46" s="601">
        <f t="shared" si="4"/>
        <v>0</v>
      </c>
    </row>
    <row r="47" spans="1:26">
      <c r="A47" s="809"/>
      <c r="B47" s="697" t="s">
        <v>109</v>
      </c>
      <c r="C47" s="703">
        <f>[2]Bilan_E_2050_Mtep!R34</f>
        <v>0.19437334497080264</v>
      </c>
      <c r="D47" s="807"/>
      <c r="E47" s="704"/>
      <c r="F47" s="806"/>
      <c r="G47" s="705">
        <f>C47</f>
        <v>0.19437334497080264</v>
      </c>
      <c r="H47" s="807"/>
      <c r="I47" s="704"/>
      <c r="J47" s="704"/>
      <c r="K47" s="704"/>
      <c r="L47" s="704"/>
      <c r="M47" s="704"/>
      <c r="N47" s="704"/>
      <c r="O47" s="704"/>
      <c r="P47" s="706">
        <f>G47</f>
        <v>0.19437334497080264</v>
      </c>
      <c r="Q47" s="707"/>
      <c r="R47" s="708"/>
      <c r="S47" s="709">
        <f>[2]Bilan_E_2050_Mtep!R31</f>
        <v>0</v>
      </c>
      <c r="T47" s="710">
        <f>[2]Bilan_E_2050_Mtep!R27+[2]Bilan_E_2050_Mtep!R33</f>
        <v>-1.6822262748981528E-4</v>
      </c>
      <c r="U47" s="709">
        <f>[2]Bilan_E_2050_Mtep!R28</f>
        <v>0</v>
      </c>
      <c r="V47" s="711">
        <f>[2]Bilan_E_2050_Mtep!R29</f>
        <v>0</v>
      </c>
      <c r="W47" s="710">
        <f>[2]Bilan_E_2050_Mtep!R30</f>
        <v>0.19454156759829244</v>
      </c>
      <c r="X47" s="601">
        <f t="shared" si="4"/>
        <v>0.19437334497080264</v>
      </c>
      <c r="Z47" s="712"/>
    </row>
    <row r="48" spans="1:26">
      <c r="A48" s="809"/>
      <c r="B48" s="606" t="s">
        <v>42</v>
      </c>
      <c r="C48" s="667">
        <f>[2]Bilan_E_2050_Mtep!C11-C34-C18</f>
        <v>2.9217059859506862</v>
      </c>
      <c r="D48" s="807"/>
      <c r="E48" s="292"/>
      <c r="F48" s="806"/>
      <c r="G48" s="670">
        <f>C48</f>
        <v>2.9217059859506862</v>
      </c>
      <c r="H48" s="807"/>
      <c r="I48" s="287">
        <f>[2]Bilan_E_2050_Mtep!C23+[2]Bilan_E_2050_Mtep!C22+[2]Bilan_E_2050_Mtep!C35</f>
        <v>2.5613209613339807</v>
      </c>
      <c r="J48" s="292"/>
      <c r="K48" s="292"/>
      <c r="L48" s="292"/>
      <c r="M48" s="292"/>
      <c r="N48" s="292"/>
      <c r="O48" s="292"/>
      <c r="P48" s="730">
        <f>G48-I48-E53</f>
        <v>8.6042207010072758E-2</v>
      </c>
      <c r="Q48" s="601"/>
      <c r="R48" s="731"/>
      <c r="S48" s="659">
        <f>[2]Bilan_E_2050_Mtep!C31</f>
        <v>0</v>
      </c>
      <c r="T48" s="732">
        <f>[2]Bilan_E_2050_Mtep!C27</f>
        <v>8.6042207010072536E-2</v>
      </c>
      <c r="U48" s="659">
        <f>[2]Bilan_E_2050_Mtep!C28</f>
        <v>0</v>
      </c>
      <c r="V48" s="660">
        <f>[2]Bilan_E_2050_Mtep!C29</f>
        <v>0</v>
      </c>
      <c r="W48" s="661">
        <f>[2]Bilan_E_2050_Mtep!C30</f>
        <v>0</v>
      </c>
      <c r="X48" s="601">
        <f t="shared" si="4"/>
        <v>8.6042207010072536E-2</v>
      </c>
    </row>
    <row r="49" spans="1:25">
      <c r="A49" s="606"/>
      <c r="B49" s="606"/>
      <c r="C49" s="632"/>
      <c r="D49" s="606"/>
      <c r="E49" s="662"/>
      <c r="F49" s="606"/>
      <c r="G49" s="619"/>
      <c r="H49" s="606"/>
      <c r="I49" s="606"/>
      <c r="J49" s="606"/>
      <c r="K49" s="606"/>
      <c r="L49" s="606"/>
      <c r="M49" s="606"/>
      <c r="N49" s="606"/>
      <c r="O49" s="606"/>
      <c r="P49" s="606"/>
      <c r="S49" s="622" t="s">
        <v>406</v>
      </c>
    </row>
    <row r="50" spans="1:25">
      <c r="A50" s="622"/>
      <c r="B50" s="663"/>
      <c r="C50" s="643">
        <f>C37+C29+C13</f>
        <v>7.8652820267996466</v>
      </c>
      <c r="D50" s="606"/>
      <c r="E50" s="662"/>
      <c r="F50" s="606"/>
      <c r="G50" s="606"/>
      <c r="H50" s="606"/>
      <c r="I50" s="664"/>
      <c r="J50" s="664"/>
      <c r="K50" s="664"/>
      <c r="L50" s="622"/>
      <c r="M50" s="606"/>
      <c r="N50" s="606"/>
      <c r="O50" s="606"/>
      <c r="P50" s="665"/>
    </row>
    <row r="51" spans="1:25" s="622" customFormat="1">
      <c r="C51" s="666"/>
      <c r="D51" s="606"/>
      <c r="E51" s="662"/>
      <c r="F51" s="606"/>
      <c r="G51" s="606"/>
      <c r="H51" s="606"/>
      <c r="I51" s="643"/>
      <c r="J51" s="643"/>
      <c r="K51" s="643"/>
      <c r="L51" s="666"/>
      <c r="M51" s="606"/>
      <c r="N51" s="643"/>
      <c r="O51" s="643"/>
      <c r="P51" s="606"/>
      <c r="Q51" s="256"/>
    </row>
    <row r="52" spans="1:25" s="622" customFormat="1">
      <c r="A52" s="622" t="s">
        <v>43</v>
      </c>
      <c r="B52" s="256"/>
      <c r="C52" s="666"/>
      <c r="D52" s="606"/>
      <c r="F52" s="606"/>
      <c r="G52" s="606"/>
      <c r="H52" s="606"/>
      <c r="I52" s="667"/>
      <c r="J52" s="619"/>
      <c r="K52" s="619"/>
      <c r="M52" s="606"/>
      <c r="N52" s="619"/>
      <c r="O52" s="619"/>
      <c r="P52" s="606"/>
      <c r="Q52" s="256"/>
    </row>
    <row r="53" spans="1:25" s="622" customFormat="1">
      <c r="B53" s="606" t="s">
        <v>44</v>
      </c>
      <c r="C53" s="668"/>
      <c r="D53" s="606"/>
      <c r="E53" s="619">
        <f>[2]Bilan_E_2050_Mtep!C33</f>
        <v>0.27434281760663276</v>
      </c>
      <c r="F53" s="669" t="s">
        <v>415</v>
      </c>
      <c r="G53" s="606"/>
      <c r="H53" s="606"/>
      <c r="I53" s="667"/>
      <c r="J53" s="619"/>
      <c r="K53" s="619"/>
      <c r="M53" s="606"/>
      <c r="N53" s="619"/>
      <c r="O53" s="619"/>
      <c r="P53" s="606"/>
      <c r="Q53" s="256"/>
      <c r="R53" s="644">
        <f>SUM(E53:E58)</f>
        <v>13.16716309021283</v>
      </c>
    </row>
    <row r="54" spans="1:25" s="622" customFormat="1">
      <c r="B54" s="606" t="s">
        <v>411</v>
      </c>
      <c r="C54" s="670"/>
      <c r="D54" s="619"/>
      <c r="E54" s="713"/>
      <c r="F54" s="669" t="s">
        <v>416</v>
      </c>
      <c r="G54" s="606"/>
      <c r="H54" s="606"/>
      <c r="I54" s="686" t="s">
        <v>420</v>
      </c>
      <c r="J54" s="619"/>
      <c r="K54" s="619"/>
      <c r="M54" s="606"/>
      <c r="N54" s="619"/>
      <c r="O54" s="619"/>
      <c r="P54" s="606"/>
      <c r="Q54" s="256"/>
    </row>
    <row r="55" spans="1:25" s="622" customFormat="1">
      <c r="B55" s="697" t="s">
        <v>412</v>
      </c>
      <c r="C55" s="705"/>
      <c r="D55" s="733"/>
      <c r="E55" s="734"/>
      <c r="F55" s="735" t="s">
        <v>416</v>
      </c>
      <c r="G55" s="606"/>
      <c r="H55" s="606"/>
      <c r="I55" s="686" t="s">
        <v>420</v>
      </c>
      <c r="J55" s="619"/>
      <c r="K55" s="619"/>
      <c r="M55" s="637"/>
      <c r="O55" s="619"/>
      <c r="P55" s="606"/>
      <c r="Q55" s="256"/>
    </row>
    <row r="56" spans="1:25" s="622" customFormat="1">
      <c r="B56" s="697" t="s">
        <v>109</v>
      </c>
      <c r="C56" s="705"/>
      <c r="D56" s="733"/>
      <c r="E56" s="734">
        <f>SUM([2]Bilan_E_2050_Mtep!R13:R20,[2]Bilan_E_2050_Mtep!R22:R23)-[2]Bilan_E_2050_Mtep!R8</f>
        <v>0.86426131692166996</v>
      </c>
      <c r="F56" s="735" t="s">
        <v>417</v>
      </c>
      <c r="G56" s="606"/>
      <c r="H56" s="606"/>
      <c r="I56" s="667"/>
      <c r="J56" s="619"/>
      <c r="K56" s="619"/>
      <c r="M56" s="637"/>
      <c r="O56" s="619"/>
      <c r="P56" s="606"/>
      <c r="Q56" s="256"/>
    </row>
    <row r="57" spans="1:25" s="622" customFormat="1">
      <c r="B57" s="606" t="s">
        <v>39</v>
      </c>
      <c r="C57" s="670"/>
      <c r="D57" s="619"/>
      <c r="E57" s="671">
        <f>SUM([2]Bilan_E_2050_Mtep!E22:J22,[2]Bilan_E_2050_Mtep!E33:J33)</f>
        <v>12.028558955684527</v>
      </c>
      <c r="F57" s="669" t="s">
        <v>418</v>
      </c>
      <c r="G57" s="606"/>
      <c r="H57" s="606"/>
      <c r="I57" s="667"/>
      <c r="J57" s="619"/>
      <c r="K57" s="619"/>
      <c r="M57" s="714"/>
      <c r="O57" s="619"/>
      <c r="P57" s="606"/>
      <c r="Q57" s="256"/>
    </row>
    <row r="58" spans="1:25" s="622" customFormat="1">
      <c r="A58" s="256"/>
      <c r="B58" s="697" t="s">
        <v>134</v>
      </c>
      <c r="C58" s="736"/>
      <c r="D58" s="736"/>
      <c r="E58" s="707">
        <f>[2]Bilan_E_2050_Mtep!U33</f>
        <v>0</v>
      </c>
      <c r="F58" s="735" t="s">
        <v>418</v>
      </c>
      <c r="G58" s="256"/>
      <c r="H58" s="256"/>
      <c r="I58" s="256"/>
      <c r="J58" s="256"/>
      <c r="K58" s="256"/>
      <c r="L58" s="256"/>
      <c r="M58" s="712"/>
      <c r="O58" s="256"/>
      <c r="P58" s="256"/>
      <c r="Q58" s="256"/>
      <c r="X58" s="256"/>
      <c r="Y58" s="256"/>
    </row>
    <row r="59" spans="1:25">
      <c r="M59" s="712"/>
    </row>
  </sheetData>
  <mergeCells count="34">
    <mergeCell ref="P26:P32"/>
    <mergeCell ref="A36:A48"/>
    <mergeCell ref="D36:D48"/>
    <mergeCell ref="F36:F48"/>
    <mergeCell ref="H36:H48"/>
    <mergeCell ref="L21:L24"/>
    <mergeCell ref="M21:M24"/>
    <mergeCell ref="A26:A32"/>
    <mergeCell ref="D26:D34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L26:L32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W53"/>
  <sheetViews>
    <sheetView tabSelected="1" topLeftCell="L1" workbookViewId="0">
      <selection activeCell="Q13" sqref="Q13"/>
    </sheetView>
  </sheetViews>
  <sheetFormatPr baseColWidth="10" defaultColWidth="11.453125" defaultRowHeight="14.5"/>
  <cols>
    <col min="1" max="1" width="11.453125" style="256"/>
    <col min="2" max="2" width="25.81640625" style="256" customWidth="1"/>
    <col min="3" max="16" width="11.453125" style="256"/>
    <col min="17" max="17" width="31.1796875" style="256" customWidth="1"/>
    <col min="18" max="23" width="11.453125" style="22"/>
    <col min="24" max="16384" width="11.453125" style="256"/>
  </cols>
  <sheetData>
    <row r="1" spans="1:23">
      <c r="A1" s="1"/>
      <c r="B1" s="1"/>
      <c r="C1" s="811" t="s">
        <v>0</v>
      </c>
      <c r="D1" s="812"/>
      <c r="E1" s="812"/>
      <c r="F1" s="812"/>
      <c r="G1" s="812"/>
      <c r="H1" s="813"/>
      <c r="I1" s="2"/>
      <c r="J1" s="812" t="s">
        <v>1</v>
      </c>
      <c r="K1" s="812"/>
      <c r="L1" s="812"/>
      <c r="M1" s="812"/>
      <c r="N1" s="812"/>
      <c r="O1" s="812"/>
      <c r="P1" s="812"/>
    </row>
    <row r="2" spans="1:23">
      <c r="A2" s="1"/>
      <c r="B2" s="1"/>
      <c r="C2" s="814" t="s">
        <v>2</v>
      </c>
      <c r="D2" s="815"/>
      <c r="E2" s="784" t="s">
        <v>3</v>
      </c>
      <c r="F2" s="815"/>
      <c r="G2" s="815"/>
      <c r="H2" s="815"/>
      <c r="I2" s="3"/>
      <c r="J2" s="816" t="s">
        <v>4</v>
      </c>
      <c r="K2" s="787" t="s">
        <v>5</v>
      </c>
      <c r="L2" s="818"/>
      <c r="M2" s="818"/>
      <c r="N2" s="818"/>
      <c r="O2" s="818"/>
      <c r="P2" s="819"/>
      <c r="R2" s="108"/>
      <c r="S2" s="109"/>
      <c r="T2" s="108"/>
      <c r="U2" s="110" t="s">
        <v>90</v>
      </c>
      <c r="V2" s="109"/>
      <c r="W2" s="111"/>
    </row>
    <row r="3" spans="1:23" ht="52">
      <c r="A3" s="4"/>
      <c r="B3" s="4"/>
      <c r="C3" s="5"/>
      <c r="D3" s="5"/>
      <c r="E3" s="6" t="s">
        <v>6</v>
      </c>
      <c r="F3" s="7"/>
      <c r="G3" s="789" t="s">
        <v>7</v>
      </c>
      <c r="H3" s="815"/>
      <c r="I3" s="8" t="s">
        <v>75</v>
      </c>
      <c r="J3" s="817"/>
      <c r="K3" s="820"/>
      <c r="L3" s="818"/>
      <c r="M3" s="818"/>
      <c r="N3" s="818"/>
      <c r="O3" s="818"/>
      <c r="P3" s="819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817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248.22610055803301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137.3373280568571</v>
      </c>
      <c r="R5" s="117">
        <f>SUM(R13,R23,R26:R32,R42)</f>
        <v>137.43584339081286</v>
      </c>
      <c r="S5" s="117">
        <f>SUM(S7:S46)</f>
        <v>4.3824808811874929</v>
      </c>
      <c r="T5" s="117">
        <f>SUM(T7:T46)</f>
        <v>26.502795747332726</v>
      </c>
      <c r="U5" s="117">
        <f>SUM(U7:U46)</f>
        <v>39.056424077254057</v>
      </c>
      <c r="V5" s="253">
        <f>SUM(V7:V46)</f>
        <v>24.055342401773366</v>
      </c>
      <c r="W5" s="117">
        <f>SUM(W7:W46)</f>
        <v>43.43880028326523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821" t="s">
        <v>15</v>
      </c>
      <c r="B7" s="1" t="s">
        <v>17</v>
      </c>
      <c r="C7" s="17">
        <f>'Mix énergie_2020'!I14*'Mix énergie_2020'!L14/11.63</f>
        <v>3.3533963886500429</v>
      </c>
      <c r="D7" s="822">
        <f>SUM(C7:C19)</f>
        <v>126.95557683867376</v>
      </c>
      <c r="E7" s="30"/>
      <c r="F7" s="823">
        <f>SUM(E7:E19)</f>
        <v>78.967614671863799</v>
      </c>
      <c r="G7" s="17">
        <f>C7</f>
        <v>3.3533963886500429</v>
      </c>
      <c r="H7" s="823">
        <f>SUM(G7:G19)</f>
        <v>47.987962166809965</v>
      </c>
      <c r="I7" s="22"/>
      <c r="J7" s="822">
        <f>H7-I13</f>
        <v>45.205674978503865</v>
      </c>
      <c r="K7" s="31"/>
      <c r="L7" s="31"/>
      <c r="M7" s="31"/>
      <c r="N7" s="32"/>
      <c r="O7" s="33"/>
      <c r="P7" s="810">
        <f>J7-K12-L12-M12</f>
        <v>38.746737528396295</v>
      </c>
      <c r="R7" s="119"/>
      <c r="S7" s="120"/>
      <c r="T7" s="121"/>
      <c r="U7" s="122"/>
      <c r="V7" s="121"/>
      <c r="W7" s="122"/>
    </row>
    <row r="8" spans="1:23">
      <c r="A8" s="821"/>
      <c r="B8" s="1" t="s">
        <v>18</v>
      </c>
      <c r="C8" s="17">
        <f>'Mix énergie_2020'!H14*'Mix énergie_2020'!L14/11.63</f>
        <v>5.2450558899398105</v>
      </c>
      <c r="D8" s="822"/>
      <c r="E8" s="30">
        <f>C8-G8</f>
        <v>0</v>
      </c>
      <c r="F8" s="823"/>
      <c r="G8" s="17">
        <f>C8</f>
        <v>5.2450558899398105</v>
      </c>
      <c r="H8" s="823"/>
      <c r="I8" s="22"/>
      <c r="J8" s="822"/>
      <c r="K8" s="31"/>
      <c r="L8" s="31"/>
      <c r="M8" s="31"/>
      <c r="N8" s="32"/>
      <c r="O8" s="33"/>
      <c r="P8" s="810"/>
      <c r="R8" s="123"/>
      <c r="S8" s="124"/>
      <c r="T8" s="125"/>
      <c r="U8" s="126"/>
      <c r="V8" s="125"/>
      <c r="W8" s="126"/>
    </row>
    <row r="9" spans="1:23">
      <c r="A9" s="821"/>
      <c r="B9" s="1" t="s">
        <v>19</v>
      </c>
      <c r="C9" s="17">
        <f>'Mix énergie_2020'!J14*'Mix énergie_2020'!L14/11.63</f>
        <v>1.3757523645743766</v>
      </c>
      <c r="D9" s="822"/>
      <c r="E9" s="30"/>
      <c r="F9" s="823"/>
      <c r="G9" s="17">
        <f t="shared" ref="G9:G45" si="0">C9-E9</f>
        <v>1.3757523645743766</v>
      </c>
      <c r="H9" s="823"/>
      <c r="I9" s="22"/>
      <c r="J9" s="822"/>
      <c r="K9" s="31"/>
      <c r="L9" s="31"/>
      <c r="M9" s="31"/>
      <c r="N9" s="32"/>
      <c r="O9" s="33"/>
      <c r="P9" s="810"/>
      <c r="R9" s="123"/>
      <c r="S9" s="124"/>
      <c r="T9" s="125"/>
      <c r="U9" s="126"/>
      <c r="V9" s="125"/>
      <c r="W9" s="126"/>
    </row>
    <row r="10" spans="1:23">
      <c r="A10" s="821"/>
      <c r="B10" s="1" t="s">
        <v>20</v>
      </c>
      <c r="C10" s="17">
        <f>'Bilan enerdata_2020'!F12</f>
        <v>107.48065348237317</v>
      </c>
      <c r="D10" s="822"/>
      <c r="E10" s="281">
        <f>C10*(1-0.32)</f>
        <v>73.086844368013743</v>
      </c>
      <c r="F10" s="823"/>
      <c r="G10" s="30">
        <f>'Mix énergie_2020'!C14*'Mix énergie_2020'!L14/11.63</f>
        <v>34.393809114359414</v>
      </c>
      <c r="H10" s="823"/>
      <c r="I10" s="22"/>
      <c r="J10" s="822"/>
      <c r="K10" s="31"/>
      <c r="L10" s="31"/>
      <c r="M10" s="31"/>
      <c r="N10" s="32"/>
      <c r="O10" s="33"/>
      <c r="P10" s="810"/>
      <c r="R10" s="123"/>
      <c r="S10" s="124"/>
      <c r="T10" s="125"/>
      <c r="U10" s="126"/>
      <c r="V10" s="125"/>
      <c r="W10" s="126"/>
    </row>
    <row r="11" spans="1:23">
      <c r="A11" s="821"/>
      <c r="B11" s="1" t="s">
        <v>21</v>
      </c>
      <c r="C11" s="17">
        <f>'Mix énergie_2020'!F14*'Mix énergie_2020'!L14/11.63</f>
        <v>0</v>
      </c>
      <c r="D11" s="822"/>
      <c r="E11" s="30"/>
      <c r="F11" s="823"/>
      <c r="G11" s="17">
        <f>C11-E11</f>
        <v>0</v>
      </c>
      <c r="H11" s="823"/>
      <c r="I11" s="22"/>
      <c r="J11" s="822"/>
      <c r="K11" s="31"/>
      <c r="L11" s="31"/>
      <c r="M11" s="31"/>
      <c r="N11" s="32"/>
      <c r="O11" s="33"/>
      <c r="P11" s="810"/>
      <c r="R11" s="123"/>
      <c r="S11" s="124"/>
      <c r="T11" s="125"/>
      <c r="U11" s="126"/>
      <c r="V11" s="125"/>
      <c r="W11" s="126"/>
    </row>
    <row r="12" spans="1:23">
      <c r="A12" s="821"/>
      <c r="B12" s="1" t="s">
        <v>22</v>
      </c>
      <c r="C12" s="274">
        <f>'Bilan enerdata_2020'!H22+'Bilan enerdata_2020'!H23*0.36-C13</f>
        <v>2.7736942834160816</v>
      </c>
      <c r="D12" s="822"/>
      <c r="E12" s="30">
        <f>C12-G12</f>
        <v>1.9138490555570962</v>
      </c>
      <c r="F12" s="823"/>
      <c r="G12" s="17">
        <f>0.31*C12</f>
        <v>0.85984522785898532</v>
      </c>
      <c r="H12" s="823"/>
      <c r="I12" s="22"/>
      <c r="J12" s="822"/>
      <c r="K12" s="31">
        <f>'Bilan enerdata_2020'!I30</f>
        <v>3.07048500216422</v>
      </c>
      <c r="L12" s="31">
        <f>-('Bilan enerdata_2020'!I14+'Bilan enerdata_2020'!I13)</f>
        <v>3.3884524479433509</v>
      </c>
      <c r="M12" s="31">
        <v>0</v>
      </c>
      <c r="N12" s="32">
        <v>0</v>
      </c>
      <c r="O12" s="33">
        <v>0</v>
      </c>
      <c r="P12" s="810"/>
      <c r="R12" s="123"/>
      <c r="S12" s="124"/>
      <c r="T12" s="125"/>
      <c r="U12" s="126"/>
      <c r="V12" s="125"/>
      <c r="W12" s="126"/>
    </row>
    <row r="13" spans="1:23">
      <c r="A13" s="821"/>
      <c r="B13" s="1" t="s">
        <v>23</v>
      </c>
      <c r="C13" s="272"/>
      <c r="D13" s="822"/>
      <c r="E13" s="30">
        <f>C13-G13</f>
        <v>0</v>
      </c>
      <c r="F13" s="823"/>
      <c r="G13" s="17">
        <f>0.31*C13</f>
        <v>0</v>
      </c>
      <c r="H13" s="823"/>
      <c r="I13" s="282">
        <f>'Bilan enerdata_2020'!I29</f>
        <v>2.7822871883060998</v>
      </c>
      <c r="J13" s="822"/>
      <c r="K13" s="31"/>
      <c r="L13" s="31"/>
      <c r="M13" s="31"/>
      <c r="N13" s="32"/>
      <c r="O13" s="33"/>
      <c r="P13" s="810"/>
      <c r="R13" s="123">
        <f>SUM(S7:W19)</f>
        <v>38.746737528396288</v>
      </c>
      <c r="S13" s="127">
        <f>'Bilan enerdata_2020'!I37</f>
        <v>0.723240881677221</v>
      </c>
      <c r="T13" s="125">
        <f>'Bilan enerdata_2020'!I33</f>
        <v>10.361652160227999</v>
      </c>
      <c r="U13" s="125">
        <f>'Bilan enerdata_2020'!I35</f>
        <v>13.284467058142599</v>
      </c>
      <c r="V13" s="125">
        <f>'Bilan enerdata_2020'!I36</f>
        <v>13.178365476499801</v>
      </c>
      <c r="W13" s="125">
        <f>'Bilan enerdata_2020'!I34</f>
        <v>1.1990119518486699</v>
      </c>
    </row>
    <row r="14" spans="1:23">
      <c r="A14" s="821"/>
      <c r="B14" s="1" t="s">
        <v>24</v>
      </c>
      <c r="C14" s="17">
        <v>0</v>
      </c>
      <c r="D14" s="822"/>
      <c r="E14" s="30"/>
      <c r="F14" s="823"/>
      <c r="G14" s="17"/>
      <c r="H14" s="823"/>
      <c r="I14" s="22"/>
      <c r="J14" s="822"/>
      <c r="K14" s="31"/>
      <c r="L14" s="31"/>
      <c r="M14" s="31"/>
      <c r="N14" s="32"/>
      <c r="O14" s="33"/>
      <c r="P14" s="810"/>
      <c r="R14" s="123"/>
      <c r="S14" s="124"/>
      <c r="T14" s="125"/>
      <c r="U14" s="126"/>
      <c r="V14" s="125"/>
      <c r="W14" s="126"/>
    </row>
    <row r="15" spans="1:23">
      <c r="A15" s="821"/>
      <c r="B15" s="1" t="s">
        <v>25</v>
      </c>
      <c r="C15" s="17">
        <v>0</v>
      </c>
      <c r="D15" s="822"/>
      <c r="E15" s="30"/>
      <c r="F15" s="823"/>
      <c r="G15" s="17"/>
      <c r="H15" s="823"/>
      <c r="I15" s="22"/>
      <c r="J15" s="822"/>
      <c r="K15" s="31"/>
      <c r="L15" s="31"/>
      <c r="M15" s="31"/>
      <c r="N15" s="32"/>
      <c r="O15" s="33"/>
      <c r="P15" s="810"/>
      <c r="R15" s="123"/>
      <c r="S15" s="124"/>
      <c r="T15" s="125"/>
      <c r="U15" s="126"/>
      <c r="V15" s="125"/>
      <c r="W15" s="126"/>
    </row>
    <row r="16" spans="1:23">
      <c r="A16" s="821"/>
      <c r="B16" s="1" t="s">
        <v>26</v>
      </c>
      <c r="C16" s="17">
        <v>0</v>
      </c>
      <c r="D16" s="822"/>
      <c r="E16" s="30"/>
      <c r="F16" s="823"/>
      <c r="G16" s="17"/>
      <c r="H16" s="823"/>
      <c r="I16" s="22"/>
      <c r="J16" s="822"/>
      <c r="K16" s="31"/>
      <c r="L16" s="31"/>
      <c r="M16" s="31"/>
      <c r="N16" s="32"/>
      <c r="O16" s="33"/>
      <c r="P16" s="810"/>
      <c r="R16" s="123"/>
      <c r="S16" s="124"/>
      <c r="T16" s="125"/>
      <c r="U16" s="126"/>
      <c r="V16" s="125"/>
      <c r="W16" s="126"/>
    </row>
    <row r="17" spans="1:23">
      <c r="A17" s="821"/>
      <c r="B17" s="1" t="s">
        <v>27</v>
      </c>
      <c r="C17" s="17">
        <f>'Bilan enerdata_2020'!D22+0.36*'Bilan enerdata_2020'!D23</f>
        <v>0</v>
      </c>
      <c r="D17" s="822"/>
      <c r="E17" s="30">
        <f t="shared" ref="E17:E18" si="1">C17-G17</f>
        <v>0</v>
      </c>
      <c r="F17" s="823"/>
      <c r="G17" s="17">
        <f>0.4*C17</f>
        <v>0</v>
      </c>
      <c r="H17" s="823"/>
      <c r="I17" s="22"/>
      <c r="J17" s="822"/>
      <c r="K17" s="31"/>
      <c r="L17" s="31"/>
      <c r="M17" s="31"/>
      <c r="N17" s="32"/>
      <c r="O17" s="33"/>
      <c r="P17" s="810"/>
      <c r="R17" s="123"/>
      <c r="S17" s="124"/>
      <c r="T17" s="125"/>
      <c r="U17" s="126"/>
      <c r="V17" s="125"/>
      <c r="W17" s="126"/>
    </row>
    <row r="18" spans="1:23">
      <c r="A18" s="821"/>
      <c r="B18" s="1" t="s">
        <v>28</v>
      </c>
      <c r="C18" s="17">
        <f>'Bilan enerdata_2020'!B22+0.36*'Bilan enerdata_2020'!B23</f>
        <v>2.5795356835769558</v>
      </c>
      <c r="D18" s="822"/>
      <c r="E18" s="30">
        <f t="shared" si="1"/>
        <v>1.9346517626827169</v>
      </c>
      <c r="F18" s="823"/>
      <c r="G18" s="17">
        <f>0.25*C18</f>
        <v>0.64488392089423896</v>
      </c>
      <c r="H18" s="823"/>
      <c r="I18" s="22"/>
      <c r="J18" s="822"/>
      <c r="K18" s="31"/>
      <c r="L18" s="31"/>
      <c r="M18" s="31"/>
      <c r="N18" s="32"/>
      <c r="O18" s="33"/>
      <c r="P18" s="810"/>
      <c r="R18" s="123"/>
      <c r="S18" s="124"/>
      <c r="T18" s="125"/>
      <c r="U18" s="126"/>
      <c r="V18" s="125"/>
      <c r="W18" s="126"/>
    </row>
    <row r="19" spans="1:23">
      <c r="A19" s="821"/>
      <c r="B19" s="273" t="s">
        <v>262</v>
      </c>
      <c r="C19" s="17">
        <f>'Bilan enerdata_2020'!E22+0.36*'Bilan enerdata_2020'!E23</f>
        <v>4.1474887461433418</v>
      </c>
      <c r="D19" s="822"/>
      <c r="E19" s="30">
        <f>C19-G19</f>
        <v>2.0322694856102377</v>
      </c>
      <c r="F19" s="823"/>
      <c r="G19" s="17">
        <f>0.51*C19</f>
        <v>2.1152192605331042</v>
      </c>
      <c r="H19" s="823"/>
      <c r="I19" s="22"/>
      <c r="J19" s="822"/>
      <c r="K19" s="31"/>
      <c r="L19" s="31"/>
      <c r="M19" s="31"/>
      <c r="N19" s="32"/>
      <c r="O19" s="33"/>
      <c r="P19" s="810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enerdata_2020'!I22</f>
        <v>47.987962166809972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829" t="s">
        <v>13</v>
      </c>
      <c r="B21" s="1" t="s">
        <v>21</v>
      </c>
      <c r="C21" s="17">
        <f>-'Bilan enerdata_2020'!E25</f>
        <v>0</v>
      </c>
      <c r="D21" s="830">
        <f>SUM(C21:C24)</f>
        <v>35.567587434896552</v>
      </c>
      <c r="E21" s="22"/>
      <c r="F21" s="805"/>
      <c r="G21" s="17">
        <f t="shared" si="0"/>
        <v>0</v>
      </c>
      <c r="H21" s="832">
        <f>SUM(G21:G24)</f>
        <v>33.62551070609215</v>
      </c>
      <c r="I21" s="17"/>
      <c r="J21" s="832">
        <f>H21</f>
        <v>33.62551070609215</v>
      </c>
      <c r="K21" s="824">
        <f>'Bilan enerdata_2020'!E30</f>
        <v>0.47010684579952999</v>
      </c>
      <c r="L21" s="824"/>
      <c r="M21" s="824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829"/>
      <c r="B22" s="1" t="s">
        <v>30</v>
      </c>
      <c r="C22" s="17"/>
      <c r="D22" s="831"/>
      <c r="E22" s="22"/>
      <c r="F22" s="819"/>
      <c r="G22" s="17">
        <f t="shared" si="0"/>
        <v>0</v>
      </c>
      <c r="H22" s="833"/>
      <c r="J22" s="832"/>
      <c r="K22" s="824"/>
      <c r="L22" s="824"/>
      <c r="M22" s="824"/>
      <c r="N22" s="39"/>
      <c r="O22" s="40"/>
      <c r="P22" s="40"/>
      <c r="R22" s="140"/>
      <c r="S22" s="40"/>
      <c r="T22" s="39"/>
      <c r="U22" s="39"/>
      <c r="V22" s="39"/>
      <c r="W22" s="40"/>
    </row>
    <row r="23" spans="1:23" ht="29">
      <c r="A23" s="829"/>
      <c r="B23" s="1" t="s">
        <v>31</v>
      </c>
      <c r="C23" s="17"/>
      <c r="D23" s="831"/>
      <c r="E23" s="41"/>
      <c r="F23" s="819"/>
      <c r="G23" s="17">
        <f t="shared" si="0"/>
        <v>0</v>
      </c>
      <c r="H23" s="833"/>
      <c r="I23" s="17"/>
      <c r="J23" s="832"/>
      <c r="K23" s="824"/>
      <c r="L23" s="824"/>
      <c r="M23" s="824"/>
      <c r="N23" s="39">
        <f>C32</f>
        <v>1.4546665535205101</v>
      </c>
      <c r="O23" s="40">
        <f>C19</f>
        <v>4.1474887461433418</v>
      </c>
      <c r="P23" s="40">
        <f>J21-N23-O23-K21</f>
        <v>27.553248560628766</v>
      </c>
      <c r="Q23" s="291" t="s">
        <v>261</v>
      </c>
      <c r="R23" s="140">
        <f>SUM(S23:W23)</f>
        <v>27.63173324956551</v>
      </c>
      <c r="S23" s="141">
        <f>'Bilan enerdata_2020'!E37</f>
        <v>0.197127474158172</v>
      </c>
      <c r="T23" s="141">
        <f>'Bilan enerdata_2020'!E33</f>
        <v>11.162255863946999</v>
      </c>
      <c r="U23" s="141">
        <f>'Bilan enerdata_2020'!E35</f>
        <v>9.4612008749007703</v>
      </c>
      <c r="V23" s="141">
        <f>'Bilan enerdata_2020'!E36</f>
        <v>6.7347370383486203</v>
      </c>
      <c r="W23" s="141">
        <f>'Bilan enerdata_2020'!E34</f>
        <v>7.6411998210945506E-2</v>
      </c>
    </row>
    <row r="24" spans="1:23">
      <c r="A24" s="829"/>
      <c r="B24" s="1" t="s">
        <v>32</v>
      </c>
      <c r="C24" s="17">
        <f>'Bilan enerdata_2020'!E18+'Bilan enerdata_2020'!E17-C45</f>
        <v>35.567587434896552</v>
      </c>
      <c r="D24" s="831"/>
      <c r="E24" s="285">
        <f>'Bilan enerdata_2020'!E29+'Bilan enerdata_2020'!E26</f>
        <v>1.9420767288043999</v>
      </c>
      <c r="F24" s="819"/>
      <c r="G24" s="17">
        <f>C24-E24</f>
        <v>33.62551070609215</v>
      </c>
      <c r="H24" s="833"/>
      <c r="I24" s="42"/>
      <c r="J24" s="832"/>
      <c r="K24" s="824"/>
      <c r="L24" s="824"/>
      <c r="M24" s="824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825" t="s">
        <v>14</v>
      </c>
      <c r="B26" s="1" t="s">
        <v>21</v>
      </c>
      <c r="C26" s="43">
        <f>-('Mix énergie_2020'!F5*'Mix énergie_2020'!L5/11.63)</f>
        <v>0</v>
      </c>
      <c r="D26" s="838">
        <f>SUM(C26:C34)</f>
        <v>3.0655877205015494</v>
      </c>
      <c r="E26" s="43">
        <f>C26*0.11</f>
        <v>0</v>
      </c>
      <c r="F26" s="826"/>
      <c r="G26" s="41">
        <f t="shared" ref="G26:G31" si="2">C26-E26</f>
        <v>0</v>
      </c>
      <c r="H26" s="826">
        <f>SUM(G26:G34)</f>
        <v>2.728373071246379</v>
      </c>
      <c r="I26" s="1"/>
      <c r="J26" s="827">
        <f>H26</f>
        <v>2.728373071246379</v>
      </c>
      <c r="K26" s="828">
        <f>'Bilan enerdata_2020'!J30</f>
        <v>0</v>
      </c>
      <c r="L26" s="828">
        <v>0</v>
      </c>
      <c r="M26" s="828"/>
      <c r="N26" s="801"/>
      <c r="O26" s="836"/>
      <c r="P26" s="837">
        <f>J26-K26-M26</f>
        <v>2.728373071246379</v>
      </c>
      <c r="R26" s="145"/>
      <c r="S26" s="145"/>
      <c r="T26" s="145"/>
      <c r="U26" s="145"/>
      <c r="V26" s="146"/>
      <c r="W26" s="145"/>
    </row>
    <row r="27" spans="1:23">
      <c r="A27" s="825"/>
      <c r="B27" s="1" t="s">
        <v>22</v>
      </c>
      <c r="C27" s="275">
        <v>0.6</v>
      </c>
      <c r="D27" s="838"/>
      <c r="E27" s="43">
        <f t="shared" ref="E27:E34" si="3">C27*0.11</f>
        <v>6.6000000000000003E-2</v>
      </c>
      <c r="F27" s="826"/>
      <c r="G27" s="41">
        <f t="shared" si="2"/>
        <v>0.53400000000000003</v>
      </c>
      <c r="H27" s="826"/>
      <c r="I27" s="285"/>
      <c r="J27" s="827"/>
      <c r="K27" s="828"/>
      <c r="L27" s="828"/>
      <c r="M27" s="828"/>
      <c r="N27" s="801"/>
      <c r="O27" s="836"/>
      <c r="P27" s="837"/>
      <c r="R27" s="147"/>
      <c r="S27" s="148"/>
      <c r="T27" s="148"/>
      <c r="U27" s="148"/>
      <c r="V27" s="149"/>
      <c r="W27" s="148"/>
    </row>
    <row r="28" spans="1:23">
      <c r="A28" s="825"/>
      <c r="B28" s="1" t="s">
        <v>26</v>
      </c>
      <c r="C28" s="43">
        <v>0.1</v>
      </c>
      <c r="D28" s="838"/>
      <c r="E28" s="43">
        <f t="shared" si="3"/>
        <v>1.1000000000000001E-2</v>
      </c>
      <c r="F28" s="826"/>
      <c r="G28" s="41">
        <f>C28-E28</f>
        <v>8.900000000000001E-2</v>
      </c>
      <c r="H28" s="826"/>
      <c r="I28" s="1"/>
      <c r="J28" s="827"/>
      <c r="K28" s="828"/>
      <c r="L28" s="828" t="e">
        <v>#REF!</v>
      </c>
      <c r="M28" s="828"/>
      <c r="N28" s="801" t="e">
        <v>#REF!</v>
      </c>
      <c r="O28" s="836" t="e">
        <v>#REF!</v>
      </c>
      <c r="P28" s="837"/>
      <c r="R28" s="147"/>
      <c r="S28" s="148"/>
      <c r="T28" s="148"/>
      <c r="U28" s="148"/>
      <c r="V28" s="149"/>
      <c r="W28" s="148"/>
    </row>
    <row r="29" spans="1:23">
      <c r="A29" s="825"/>
      <c r="B29" s="1" t="s">
        <v>23</v>
      </c>
      <c r="C29" s="275">
        <f>('Bilan enerdata_2020'!H24+'Bilan enerdata_2020'!H23*0.64-C30)-C27</f>
        <v>0.42269007020338922</v>
      </c>
      <c r="D29" s="838"/>
      <c r="E29" s="43">
        <f t="shared" si="3"/>
        <v>4.6495907722372817E-2</v>
      </c>
      <c r="F29" s="826"/>
      <c r="G29" s="41">
        <f t="shared" si="2"/>
        <v>0.37619416248101639</v>
      </c>
      <c r="H29" s="826"/>
      <c r="I29" s="1"/>
      <c r="J29" s="827"/>
      <c r="K29" s="828"/>
      <c r="L29" s="828" t="e">
        <v>#REF!</v>
      </c>
      <c r="M29" s="828"/>
      <c r="N29" s="801" t="e">
        <v>#REF!</v>
      </c>
      <c r="O29" s="836" t="e">
        <v>#REF!</v>
      </c>
      <c r="P29" s="837"/>
      <c r="R29" s="150">
        <f>SUM(S29:W29)</f>
        <v>2.697386232745786</v>
      </c>
      <c r="S29" s="151">
        <f>'Bilan enerdata_2020'!J37</f>
        <v>6.4536710533781398E-3</v>
      </c>
      <c r="T29" s="151">
        <f>'Bilan enerdata_2020'!J33</f>
        <v>0.73743472365086704</v>
      </c>
      <c r="U29" s="151">
        <f>'Bilan enerdata_2020'!J35</f>
        <v>1.3282443630018601</v>
      </c>
      <c r="V29" s="151">
        <f>'Bilan enerdata_2020'!J36</f>
        <v>0.62525347503968098</v>
      </c>
      <c r="W29" s="151">
        <f>'Bilan enerdata_2020'!J34</f>
        <v>0</v>
      </c>
    </row>
    <row r="30" spans="1:23">
      <c r="A30" s="825"/>
      <c r="B30" s="1" t="s">
        <v>24</v>
      </c>
      <c r="C30" s="276">
        <f>('Mix énergie_2020'!K5*'Mix énergie_2020'!L5/11.63)</f>
        <v>0.21621253471647081</v>
      </c>
      <c r="D30" s="838"/>
      <c r="E30" s="43">
        <f t="shared" si="3"/>
        <v>2.378337881881179E-2</v>
      </c>
      <c r="F30" s="826"/>
      <c r="G30" s="41">
        <f t="shared" si="2"/>
        <v>0.19242915589765902</v>
      </c>
      <c r="H30" s="826"/>
      <c r="I30" s="1"/>
      <c r="J30" s="827"/>
      <c r="K30" s="828"/>
      <c r="L30" s="828"/>
      <c r="M30" s="828"/>
      <c r="N30" s="801"/>
      <c r="O30" s="836"/>
      <c r="P30" s="837"/>
      <c r="R30" s="147"/>
      <c r="S30" s="148"/>
      <c r="T30" s="148"/>
      <c r="U30" s="148"/>
      <c r="V30" s="149"/>
      <c r="W30" s="148"/>
    </row>
    <row r="31" spans="1:23">
      <c r="A31" s="825"/>
      <c r="B31" s="1" t="s">
        <v>33</v>
      </c>
      <c r="C31" s="276">
        <v>0</v>
      </c>
      <c r="D31" s="838"/>
      <c r="E31" s="43">
        <f t="shared" si="3"/>
        <v>0</v>
      </c>
      <c r="F31" s="826"/>
      <c r="G31" s="41">
        <f t="shared" si="2"/>
        <v>0</v>
      </c>
      <c r="H31" s="826"/>
      <c r="I31" s="1"/>
      <c r="J31" s="827"/>
      <c r="K31" s="828"/>
      <c r="L31" s="828"/>
      <c r="M31" s="828"/>
      <c r="N31" s="801"/>
      <c r="O31" s="836"/>
      <c r="P31" s="837"/>
      <c r="R31" s="147"/>
      <c r="S31" s="148"/>
      <c r="T31" s="148"/>
      <c r="U31" s="148"/>
      <c r="V31" s="149"/>
      <c r="W31" s="148"/>
    </row>
    <row r="32" spans="1:23">
      <c r="A32" s="825"/>
      <c r="B32" s="1" t="s">
        <v>29</v>
      </c>
      <c r="C32" s="43">
        <f>('Bilan enerdata_2020'!E23*0.64+'Bilan enerdata_2020'!E24)</f>
        <v>1.4546665535205101</v>
      </c>
      <c r="D32" s="838"/>
      <c r="E32" s="43">
        <f t="shared" si="3"/>
        <v>0.16001332088725612</v>
      </c>
      <c r="F32" s="826"/>
      <c r="G32" s="41">
        <f>C32-E32</f>
        <v>1.294653232633254</v>
      </c>
      <c r="H32" s="826"/>
      <c r="I32" s="1"/>
      <c r="J32" s="827"/>
      <c r="K32" s="828"/>
      <c r="L32" s="828"/>
      <c r="M32" s="828"/>
      <c r="N32" s="801"/>
      <c r="O32" s="836"/>
      <c r="P32" s="837"/>
      <c r="R32" s="152"/>
      <c r="S32" s="153"/>
      <c r="T32" s="153"/>
      <c r="U32" s="153"/>
      <c r="V32" s="154"/>
      <c r="W32" s="153"/>
    </row>
    <row r="33" spans="1:23">
      <c r="A33" s="277"/>
      <c r="B33" s="273" t="s">
        <v>27</v>
      </c>
      <c r="C33" s="34">
        <f>('Bilan enerdata_2020'!D24+'Bilan enerdata_2020'!D23*0.64)</f>
        <v>5.48846849383424E-2</v>
      </c>
      <c r="D33" s="838"/>
      <c r="E33" s="43">
        <f t="shared" si="3"/>
        <v>6.0373153432176641E-3</v>
      </c>
      <c r="F33" s="279"/>
      <c r="G33" s="41">
        <f t="shared" ref="G33:G34" si="4">C33-E33</f>
        <v>4.8847369595124736E-2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273" t="s">
        <v>28</v>
      </c>
      <c r="C34" s="34">
        <f>('Bilan enerdata_2020'!B24+0.64*'Bilan enerdata_2020'!B23)</f>
        <v>0.21713387712283699</v>
      </c>
      <c r="D34" s="838"/>
      <c r="E34" s="43">
        <f t="shared" si="3"/>
        <v>2.3884726483512069E-2</v>
      </c>
      <c r="F34" s="279"/>
      <c r="G34" s="41">
        <f t="shared" si="4"/>
        <v>0.19324915063932493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1"/>
      <c r="F35" s="1"/>
      <c r="G35" s="44"/>
      <c r="H35" s="45">
        <f>-'Bilan enerdata_2020'!J24</f>
        <v>-2.69093256169241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834" t="s">
        <v>34</v>
      </c>
      <c r="B36" s="1" t="s">
        <v>21</v>
      </c>
      <c r="C36" s="22">
        <v>0</v>
      </c>
      <c r="D36" s="834">
        <f>SUM(C36:C46)</f>
        <v>88.239503863624961</v>
      </c>
      <c r="E36" s="47"/>
      <c r="F36" s="839"/>
      <c r="G36" s="17">
        <f t="shared" ref="G36:G40" si="5">C36</f>
        <v>0</v>
      </c>
      <c r="H36" s="834">
        <f>SUM(G36:G46)</f>
        <v>86.39148638010532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834"/>
      <c r="B37" s="1" t="s">
        <v>23</v>
      </c>
      <c r="C37" s="280">
        <f>SUM(S37:W37)+E37</f>
        <v>11.427572297329677</v>
      </c>
      <c r="D37" s="834"/>
      <c r="E37" s="286">
        <f>'Bilan enerdata_2020'!H29</f>
        <v>5.1017483519633103E-2</v>
      </c>
      <c r="F37" s="839"/>
      <c r="G37" s="17">
        <f>C37-E37</f>
        <v>11.376554813810044</v>
      </c>
      <c r="H37" s="834"/>
      <c r="J37" s="52"/>
      <c r="K37" s="48"/>
      <c r="L37" s="48"/>
      <c r="M37" s="50"/>
      <c r="N37" s="48"/>
      <c r="O37" s="48"/>
      <c r="P37" s="51">
        <f>SUM(G36:G41)-E37</f>
        <v>16.6477417469942</v>
      </c>
      <c r="R37" s="157"/>
      <c r="S37" s="251">
        <f>'Bilan enerdata_2020'!H37</f>
        <v>0.16206604582270401</v>
      </c>
      <c r="T37" s="251">
        <f>'Bilan enerdata_2020'!H33</f>
        <v>2.21443427408621</v>
      </c>
      <c r="U37" s="251">
        <f>'Bilan enerdata_2020'!H35-'Bilan 2020 BAU'!U38-'Bilan 2020 BAU'!U39</f>
        <v>8.9085303644278522</v>
      </c>
      <c r="V37" s="254">
        <f>'Bilan enerdata_2020'!H36-'Bilan 2020 BAU'!V39-V38</f>
        <v>4.0506645953645032E-2</v>
      </c>
      <c r="W37" s="135">
        <f>E37</f>
        <v>5.1017483519633103E-2</v>
      </c>
    </row>
    <row r="38" spans="1:23">
      <c r="A38" s="834"/>
      <c r="B38" s="1" t="s">
        <v>33</v>
      </c>
      <c r="C38" s="41">
        <f>SUM(S38:W38)</f>
        <v>0.18059999999999998</v>
      </c>
      <c r="D38" s="834"/>
      <c r="E38" s="47"/>
      <c r="F38" s="839"/>
      <c r="G38" s="17">
        <f t="shared" si="5"/>
        <v>0.18059999999999998</v>
      </c>
      <c r="H38" s="834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Medpro'!D140</f>
        <v>0.1007</v>
      </c>
      <c r="V38" s="158">
        <f>'Format demande MedPro_2015'!D226</f>
        <v>7.9899999999999999E-2</v>
      </c>
      <c r="W38" s="155">
        <v>0</v>
      </c>
    </row>
    <row r="39" spans="1:23">
      <c r="A39" s="834"/>
      <c r="B39" s="1" t="s">
        <v>35</v>
      </c>
      <c r="C39" s="41">
        <f>SUM(S39:W39)-C40</f>
        <v>0.19550012701780894</v>
      </c>
      <c r="D39" s="834"/>
      <c r="E39" s="47"/>
      <c r="F39" s="839"/>
      <c r="G39" s="17">
        <f t="shared" si="5"/>
        <v>0.19550012701780894</v>
      </c>
      <c r="H39" s="834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MedPro_2015'!D360</f>
        <v>0</v>
      </c>
      <c r="T39" s="134">
        <v>0</v>
      </c>
      <c r="U39" s="252">
        <f>'Demande Format Medpro'!D141</f>
        <v>0.65528600572635798</v>
      </c>
      <c r="V39" s="271">
        <f>'Demande Format Medpro'!D216</f>
        <v>0.84021412129145101</v>
      </c>
      <c r="W39" s="155">
        <v>0</v>
      </c>
    </row>
    <row r="40" spans="1:23">
      <c r="A40" s="834"/>
      <c r="B40" s="1" t="s">
        <v>36</v>
      </c>
      <c r="C40" s="41">
        <v>1.3</v>
      </c>
      <c r="D40" s="834"/>
      <c r="E40" s="47"/>
      <c r="F40" s="839"/>
      <c r="G40" s="17">
        <f t="shared" si="5"/>
        <v>1.3</v>
      </c>
      <c r="H40" s="834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834"/>
      <c r="B41" s="1" t="s">
        <v>37</v>
      </c>
      <c r="C41" s="41">
        <f>SUM(S41:W41)</f>
        <v>3.6461042896859799</v>
      </c>
      <c r="D41" s="834"/>
      <c r="E41" s="54"/>
      <c r="F41" s="839"/>
      <c r="G41" s="17">
        <f>C41</f>
        <v>3.6461042896859799</v>
      </c>
      <c r="H41" s="834"/>
      <c r="I41" s="48"/>
      <c r="J41" s="52"/>
      <c r="K41" s="48"/>
      <c r="L41" s="48"/>
      <c r="M41" s="48"/>
      <c r="N41" s="48"/>
      <c r="O41" s="48"/>
      <c r="P41" s="51">
        <f>G42</f>
        <v>38.466254560000003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enerdata_2020'!H34</f>
        <v>3.6461042896859799</v>
      </c>
    </row>
    <row r="42" spans="1:23">
      <c r="A42" s="834"/>
      <c r="B42" s="1" t="s">
        <v>38</v>
      </c>
      <c r="C42" s="41">
        <f>W42</f>
        <v>38.466254560000003</v>
      </c>
      <c r="D42" s="834"/>
      <c r="E42" s="54"/>
      <c r="F42" s="839"/>
      <c r="G42" s="17">
        <f>C42</f>
        <v>38.466254560000003</v>
      </c>
      <c r="H42" s="834"/>
      <c r="J42" s="52"/>
      <c r="K42" s="48"/>
      <c r="L42" s="48"/>
      <c r="M42" s="48"/>
      <c r="N42" s="48"/>
      <c r="O42" s="48"/>
      <c r="P42" s="53"/>
      <c r="R42" s="157">
        <f>SUM(S36:W46)</f>
        <v>68.359986380105283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enerdata_2020'!D34</f>
        <v>38.466254560000003</v>
      </c>
    </row>
    <row r="43" spans="1:23">
      <c r="A43" s="834"/>
      <c r="B43" s="1" t="s">
        <v>39</v>
      </c>
      <c r="C43" s="41">
        <f>E53+SUM(S43:W43)+E43</f>
        <v>27.65084441671592</v>
      </c>
      <c r="D43" s="834"/>
      <c r="E43" s="287">
        <f>'Bilan enerdata_2020'!D29</f>
        <v>1.7969999999999999</v>
      </c>
      <c r="F43" s="839"/>
      <c r="G43" s="17">
        <f>C43-E43</f>
        <v>25.853844416715919</v>
      </c>
      <c r="H43" s="834"/>
      <c r="I43" s="48"/>
      <c r="J43" s="52"/>
      <c r="K43" s="48"/>
      <c r="L43" s="48"/>
      <c r="M43" s="48"/>
      <c r="N43" s="48"/>
      <c r="O43" s="48"/>
      <c r="P43" s="51">
        <f>G43-E53</f>
        <v>12.848149605378119</v>
      </c>
      <c r="R43" s="157"/>
      <c r="S43" s="134">
        <f>'Bilan enerdata_2020'!D37</f>
        <v>3.2913790892055199</v>
      </c>
      <c r="T43" s="134">
        <f>'Bilan enerdata_2020'!D33</f>
        <v>1.6824094604778199</v>
      </c>
      <c r="U43" s="134">
        <f>'Bilan enerdata_2020'!D35</f>
        <v>5.3179954110546097</v>
      </c>
      <c r="V43" s="134">
        <f>'Bilan enerdata_2020'!D36</f>
        <v>2.5563656446401701</v>
      </c>
      <c r="W43" s="134">
        <v>0</v>
      </c>
    </row>
    <row r="44" spans="1:23">
      <c r="A44" s="834"/>
      <c r="B44" s="1" t="s">
        <v>40</v>
      </c>
      <c r="C44" s="280">
        <v>0</v>
      </c>
      <c r="D44" s="834"/>
      <c r="E44" s="54"/>
      <c r="F44" s="839"/>
      <c r="G44" s="17">
        <f t="shared" si="0"/>
        <v>0</v>
      </c>
      <c r="H44" s="834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834"/>
      <c r="B45" s="1" t="s">
        <v>41</v>
      </c>
      <c r="C45" s="290">
        <f>E52</f>
        <v>1.80724474305145</v>
      </c>
      <c r="D45" s="834"/>
      <c r="E45" s="54"/>
      <c r="F45" s="839"/>
      <c r="G45" s="17">
        <f t="shared" si="0"/>
        <v>1.80724474305145</v>
      </c>
      <c r="H45" s="834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835"/>
      <c r="B46" s="1" t="s">
        <v>42</v>
      </c>
      <c r="C46" s="41">
        <f>E51+SUM(S46:W46)</f>
        <v>3.5653834298241049</v>
      </c>
      <c r="D46" s="835"/>
      <c r="E46" s="55"/>
      <c r="F46" s="840"/>
      <c r="G46" s="17">
        <f>C46</f>
        <v>3.5653834298241049</v>
      </c>
      <c r="H46" s="835"/>
      <c r="I46" s="287"/>
      <c r="J46" s="52"/>
      <c r="K46" s="48"/>
      <c r="L46" s="48"/>
      <c r="M46" s="48"/>
      <c r="N46" s="48"/>
      <c r="O46" s="48"/>
      <c r="P46" s="56">
        <f>G46-I466-E51</f>
        <v>0.34682298421332769</v>
      </c>
      <c r="R46" s="160"/>
      <c r="S46" s="161">
        <f>'Bilan enerdata_2020'!B37</f>
        <v>2.2137192704974398E-3</v>
      </c>
      <c r="T46" s="162">
        <f>'Bilan enerdata_2020'!B33</f>
        <v>0.34460926494283001</v>
      </c>
      <c r="U46" s="163">
        <f>'Bilan enerdata_2020'!B35</f>
        <v>0</v>
      </c>
      <c r="V46" s="164">
        <f>'Bilan enerdata_2020'!B36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enerdata_2020'!B28+'Bilan enerdata_2020'!B39</f>
        <v>3.2185604456107773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18.03150000000003</v>
      </c>
    </row>
    <row r="52" spans="1:18">
      <c r="A52" s="22"/>
      <c r="B52" s="1" t="s">
        <v>41</v>
      </c>
      <c r="C52" s="69"/>
      <c r="D52" s="17"/>
      <c r="E52" s="70">
        <f>'Bilan enerdata_2020'!E39+0.7</f>
        <v>1.80724474305145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enerdata_2020'!D28+'Bilan enerdata_2020'!D39</f>
        <v>13.005694811337801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6">
    <mergeCell ref="H36:H46"/>
    <mergeCell ref="A36:A46"/>
    <mergeCell ref="N26:N32"/>
    <mergeCell ref="O26:O32"/>
    <mergeCell ref="P26:P32"/>
    <mergeCell ref="D26:D34"/>
    <mergeCell ref="D36:D46"/>
    <mergeCell ref="F36:F46"/>
    <mergeCell ref="L21:L24"/>
    <mergeCell ref="M21:M24"/>
    <mergeCell ref="A26:A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topLeftCell="A10" workbookViewId="0"/>
  </sheetViews>
  <sheetFormatPr baseColWidth="10" defaultRowHeight="13"/>
  <cols>
    <col min="1" max="1" width="11.453125" style="22"/>
    <col min="2" max="2" width="22.81640625" style="22" bestFit="1" customWidth="1"/>
    <col min="3" max="3" width="7" style="22" customWidth="1"/>
    <col min="4" max="4" width="6.26953125" style="22" customWidth="1"/>
    <col min="5" max="5" width="5.7265625" style="22" customWidth="1"/>
    <col min="6" max="6" width="7" style="22" bestFit="1" customWidth="1"/>
    <col min="7" max="7" width="5.81640625" style="22" bestFit="1" customWidth="1"/>
    <col min="8" max="8" width="9.453125" style="22" customWidth="1"/>
    <col min="9" max="9" width="9.26953125" style="22" customWidth="1"/>
    <col min="10" max="10" width="9.7265625" style="22" customWidth="1"/>
    <col min="11" max="11" width="9.453125" style="22" customWidth="1"/>
    <col min="12" max="12" width="4.81640625" style="22" customWidth="1"/>
    <col min="13" max="13" width="5.26953125" style="22" customWidth="1"/>
    <col min="14" max="14" width="18.7265625" style="22" bestFit="1" customWidth="1"/>
    <col min="15" max="15" width="4.453125" style="22" bestFit="1" customWidth="1"/>
    <col min="16" max="16" width="19.26953125" style="22" customWidth="1"/>
    <col min="17" max="17" width="6" style="22" customWidth="1"/>
    <col min="18" max="18" width="17.7265625" style="22" bestFit="1" customWidth="1"/>
    <col min="19" max="19" width="9.1796875" style="22" customWidth="1"/>
    <col min="20" max="20" width="12.26953125" style="22" customWidth="1"/>
    <col min="21" max="21" width="11.453125" style="22"/>
    <col min="22" max="22" width="10.54296875" style="22" customWidth="1"/>
    <col min="23" max="23" width="12.1796875" style="22" customWidth="1"/>
    <col min="24" max="24" width="21.26953125" style="22" bestFit="1" customWidth="1"/>
    <col min="25" max="238" width="11.453125" style="22"/>
    <col min="239" max="239" width="14.81640625" style="22" bestFit="1" customWidth="1"/>
    <col min="240" max="240" width="28" style="22" bestFit="1" customWidth="1"/>
    <col min="241" max="241" width="4.453125" style="22" bestFit="1" customWidth="1"/>
    <col min="242" max="242" width="8" style="22" bestFit="1" customWidth="1"/>
    <col min="243" max="243" width="11.453125" style="22"/>
    <col min="244" max="244" width="22.81640625" style="22" bestFit="1" customWidth="1"/>
    <col min="245" max="245" width="7" style="22" customWidth="1"/>
    <col min="246" max="246" width="6.26953125" style="22" customWidth="1"/>
    <col min="247" max="247" width="5.7265625" style="22" customWidth="1"/>
    <col min="248" max="248" width="5.7265625" style="22" bestFit="1" customWidth="1"/>
    <col min="249" max="249" width="5.81640625" style="22" bestFit="1" customWidth="1"/>
    <col min="250" max="250" width="9.453125" style="22" customWidth="1"/>
    <col min="251" max="251" width="5.1796875" style="22" customWidth="1"/>
    <col min="252" max="252" width="9.7265625" style="22" customWidth="1"/>
    <col min="253" max="253" width="6.7265625" style="22" bestFit="1" customWidth="1"/>
    <col min="254" max="254" width="4.81640625" style="22" customWidth="1"/>
    <col min="255" max="255" width="5.26953125" style="22" customWidth="1"/>
    <col min="256" max="257" width="4.453125" style="22" bestFit="1" customWidth="1"/>
    <col min="258" max="258" width="13.26953125" style="22" bestFit="1" customWidth="1"/>
    <col min="259" max="259" width="3.1796875" style="22" customWidth="1"/>
    <col min="260" max="260" width="5.453125" style="22" bestFit="1" customWidth="1"/>
    <col min="261" max="261" width="4.453125" style="22" bestFit="1" customWidth="1"/>
    <col min="262" max="262" width="6.453125" style="22" customWidth="1"/>
    <col min="263" max="263" width="5" style="22" bestFit="1" customWidth="1"/>
    <col min="264" max="264" width="4.54296875" style="22" bestFit="1" customWidth="1"/>
    <col min="265" max="265" width="4.453125" style="22" bestFit="1" customWidth="1"/>
    <col min="266" max="266" width="4" style="22" customWidth="1"/>
    <col min="267" max="494" width="11.453125" style="22"/>
    <col min="495" max="495" width="14.81640625" style="22" bestFit="1" customWidth="1"/>
    <col min="496" max="496" width="28" style="22" bestFit="1" customWidth="1"/>
    <col min="497" max="497" width="4.453125" style="22" bestFit="1" customWidth="1"/>
    <col min="498" max="498" width="8" style="22" bestFit="1" customWidth="1"/>
    <col min="499" max="499" width="11.453125" style="22"/>
    <col min="500" max="500" width="22.81640625" style="22" bestFit="1" customWidth="1"/>
    <col min="501" max="501" width="7" style="22" customWidth="1"/>
    <col min="502" max="502" width="6.26953125" style="22" customWidth="1"/>
    <col min="503" max="503" width="5.7265625" style="22" customWidth="1"/>
    <col min="504" max="504" width="5.7265625" style="22" bestFit="1" customWidth="1"/>
    <col min="505" max="505" width="5.81640625" style="22" bestFit="1" customWidth="1"/>
    <col min="506" max="506" width="9.453125" style="22" customWidth="1"/>
    <col min="507" max="507" width="5.1796875" style="22" customWidth="1"/>
    <col min="508" max="508" width="9.7265625" style="22" customWidth="1"/>
    <col min="509" max="509" width="6.7265625" style="22" bestFit="1" customWidth="1"/>
    <col min="510" max="510" width="4.81640625" style="22" customWidth="1"/>
    <col min="511" max="511" width="5.26953125" style="22" customWidth="1"/>
    <col min="512" max="513" width="4.453125" style="22" bestFit="1" customWidth="1"/>
    <col min="514" max="514" width="13.26953125" style="22" bestFit="1" customWidth="1"/>
    <col min="515" max="515" width="3.1796875" style="22" customWidth="1"/>
    <col min="516" max="516" width="5.453125" style="22" bestFit="1" customWidth="1"/>
    <col min="517" max="517" width="4.453125" style="22" bestFit="1" customWidth="1"/>
    <col min="518" max="518" width="6.453125" style="22" customWidth="1"/>
    <col min="519" max="519" width="5" style="22" bestFit="1" customWidth="1"/>
    <col min="520" max="520" width="4.54296875" style="22" bestFit="1" customWidth="1"/>
    <col min="521" max="521" width="4.453125" style="22" bestFit="1" customWidth="1"/>
    <col min="522" max="522" width="4" style="22" customWidth="1"/>
    <col min="523" max="750" width="11.453125" style="22"/>
    <col min="751" max="751" width="14.81640625" style="22" bestFit="1" customWidth="1"/>
    <col min="752" max="752" width="28" style="22" bestFit="1" customWidth="1"/>
    <col min="753" max="753" width="4.453125" style="22" bestFit="1" customWidth="1"/>
    <col min="754" max="754" width="8" style="22" bestFit="1" customWidth="1"/>
    <col min="755" max="755" width="11.453125" style="22"/>
    <col min="756" max="756" width="22.81640625" style="22" bestFit="1" customWidth="1"/>
    <col min="757" max="757" width="7" style="22" customWidth="1"/>
    <col min="758" max="758" width="6.26953125" style="22" customWidth="1"/>
    <col min="759" max="759" width="5.7265625" style="22" customWidth="1"/>
    <col min="760" max="760" width="5.7265625" style="22" bestFit="1" customWidth="1"/>
    <col min="761" max="761" width="5.81640625" style="22" bestFit="1" customWidth="1"/>
    <col min="762" max="762" width="9.453125" style="22" customWidth="1"/>
    <col min="763" max="763" width="5.1796875" style="22" customWidth="1"/>
    <col min="764" max="764" width="9.7265625" style="22" customWidth="1"/>
    <col min="765" max="765" width="6.7265625" style="22" bestFit="1" customWidth="1"/>
    <col min="766" max="766" width="4.81640625" style="22" customWidth="1"/>
    <col min="767" max="767" width="5.26953125" style="22" customWidth="1"/>
    <col min="768" max="769" width="4.453125" style="22" bestFit="1" customWidth="1"/>
    <col min="770" max="770" width="13.26953125" style="22" bestFit="1" customWidth="1"/>
    <col min="771" max="771" width="3.1796875" style="22" customWidth="1"/>
    <col min="772" max="772" width="5.453125" style="22" bestFit="1" customWidth="1"/>
    <col min="773" max="773" width="4.453125" style="22" bestFit="1" customWidth="1"/>
    <col min="774" max="774" width="6.453125" style="22" customWidth="1"/>
    <col min="775" max="775" width="5" style="22" bestFit="1" customWidth="1"/>
    <col min="776" max="776" width="4.54296875" style="22" bestFit="1" customWidth="1"/>
    <col min="777" max="777" width="4.453125" style="22" bestFit="1" customWidth="1"/>
    <col min="778" max="778" width="4" style="22" customWidth="1"/>
    <col min="779" max="1006" width="11.453125" style="22"/>
    <col min="1007" max="1007" width="14.81640625" style="22" bestFit="1" customWidth="1"/>
    <col min="1008" max="1008" width="28" style="22" bestFit="1" customWidth="1"/>
    <col min="1009" max="1009" width="4.453125" style="22" bestFit="1" customWidth="1"/>
    <col min="1010" max="1010" width="8" style="22" bestFit="1" customWidth="1"/>
    <col min="1011" max="1011" width="11.453125" style="22"/>
    <col min="1012" max="1012" width="22.81640625" style="22" bestFit="1" customWidth="1"/>
    <col min="1013" max="1013" width="7" style="22" customWidth="1"/>
    <col min="1014" max="1014" width="6.26953125" style="22" customWidth="1"/>
    <col min="1015" max="1015" width="5.7265625" style="22" customWidth="1"/>
    <col min="1016" max="1016" width="5.7265625" style="22" bestFit="1" customWidth="1"/>
    <col min="1017" max="1017" width="5.81640625" style="22" bestFit="1" customWidth="1"/>
    <col min="1018" max="1018" width="9.453125" style="22" customWidth="1"/>
    <col min="1019" max="1019" width="5.1796875" style="22" customWidth="1"/>
    <col min="1020" max="1020" width="9.7265625" style="22" customWidth="1"/>
    <col min="1021" max="1021" width="6.7265625" style="22" bestFit="1" customWidth="1"/>
    <col min="1022" max="1022" width="4.81640625" style="22" customWidth="1"/>
    <col min="1023" max="1023" width="5.26953125" style="22" customWidth="1"/>
    <col min="1024" max="1025" width="4.453125" style="22" bestFit="1" customWidth="1"/>
    <col min="1026" max="1026" width="13.26953125" style="22" bestFit="1" customWidth="1"/>
    <col min="1027" max="1027" width="3.1796875" style="22" customWidth="1"/>
    <col min="1028" max="1028" width="5.453125" style="22" bestFit="1" customWidth="1"/>
    <col min="1029" max="1029" width="4.453125" style="22" bestFit="1" customWidth="1"/>
    <col min="1030" max="1030" width="6.453125" style="22" customWidth="1"/>
    <col min="1031" max="1031" width="5" style="22" bestFit="1" customWidth="1"/>
    <col min="1032" max="1032" width="4.54296875" style="22" bestFit="1" customWidth="1"/>
    <col min="1033" max="1033" width="4.453125" style="22" bestFit="1" customWidth="1"/>
    <col min="1034" max="1034" width="4" style="22" customWidth="1"/>
    <col min="1035" max="1262" width="11.453125" style="22"/>
    <col min="1263" max="1263" width="14.81640625" style="22" bestFit="1" customWidth="1"/>
    <col min="1264" max="1264" width="28" style="22" bestFit="1" customWidth="1"/>
    <col min="1265" max="1265" width="4.453125" style="22" bestFit="1" customWidth="1"/>
    <col min="1266" max="1266" width="8" style="22" bestFit="1" customWidth="1"/>
    <col min="1267" max="1267" width="11.453125" style="22"/>
    <col min="1268" max="1268" width="22.81640625" style="22" bestFit="1" customWidth="1"/>
    <col min="1269" max="1269" width="7" style="22" customWidth="1"/>
    <col min="1270" max="1270" width="6.26953125" style="22" customWidth="1"/>
    <col min="1271" max="1271" width="5.7265625" style="22" customWidth="1"/>
    <col min="1272" max="1272" width="5.7265625" style="22" bestFit="1" customWidth="1"/>
    <col min="1273" max="1273" width="5.81640625" style="22" bestFit="1" customWidth="1"/>
    <col min="1274" max="1274" width="9.453125" style="22" customWidth="1"/>
    <col min="1275" max="1275" width="5.1796875" style="22" customWidth="1"/>
    <col min="1276" max="1276" width="9.7265625" style="22" customWidth="1"/>
    <col min="1277" max="1277" width="6.7265625" style="22" bestFit="1" customWidth="1"/>
    <col min="1278" max="1278" width="4.81640625" style="22" customWidth="1"/>
    <col min="1279" max="1279" width="5.26953125" style="22" customWidth="1"/>
    <col min="1280" max="1281" width="4.453125" style="22" bestFit="1" customWidth="1"/>
    <col min="1282" max="1282" width="13.26953125" style="22" bestFit="1" customWidth="1"/>
    <col min="1283" max="1283" width="3.1796875" style="22" customWidth="1"/>
    <col min="1284" max="1284" width="5.453125" style="22" bestFit="1" customWidth="1"/>
    <col min="1285" max="1285" width="4.453125" style="22" bestFit="1" customWidth="1"/>
    <col min="1286" max="1286" width="6.453125" style="22" customWidth="1"/>
    <col min="1287" max="1287" width="5" style="22" bestFit="1" customWidth="1"/>
    <col min="1288" max="1288" width="4.54296875" style="22" bestFit="1" customWidth="1"/>
    <col min="1289" max="1289" width="4.453125" style="22" bestFit="1" customWidth="1"/>
    <col min="1290" max="1290" width="4" style="22" customWidth="1"/>
    <col min="1291" max="1518" width="11.453125" style="22"/>
    <col min="1519" max="1519" width="14.81640625" style="22" bestFit="1" customWidth="1"/>
    <col min="1520" max="1520" width="28" style="22" bestFit="1" customWidth="1"/>
    <col min="1521" max="1521" width="4.453125" style="22" bestFit="1" customWidth="1"/>
    <col min="1522" max="1522" width="8" style="22" bestFit="1" customWidth="1"/>
    <col min="1523" max="1523" width="11.453125" style="22"/>
    <col min="1524" max="1524" width="22.81640625" style="22" bestFit="1" customWidth="1"/>
    <col min="1525" max="1525" width="7" style="22" customWidth="1"/>
    <col min="1526" max="1526" width="6.26953125" style="22" customWidth="1"/>
    <col min="1527" max="1527" width="5.7265625" style="22" customWidth="1"/>
    <col min="1528" max="1528" width="5.7265625" style="22" bestFit="1" customWidth="1"/>
    <col min="1529" max="1529" width="5.81640625" style="22" bestFit="1" customWidth="1"/>
    <col min="1530" max="1530" width="9.453125" style="22" customWidth="1"/>
    <col min="1531" max="1531" width="5.1796875" style="22" customWidth="1"/>
    <col min="1532" max="1532" width="9.7265625" style="22" customWidth="1"/>
    <col min="1533" max="1533" width="6.7265625" style="22" bestFit="1" customWidth="1"/>
    <col min="1534" max="1534" width="4.81640625" style="22" customWidth="1"/>
    <col min="1535" max="1535" width="5.26953125" style="22" customWidth="1"/>
    <col min="1536" max="1537" width="4.453125" style="22" bestFit="1" customWidth="1"/>
    <col min="1538" max="1538" width="13.26953125" style="22" bestFit="1" customWidth="1"/>
    <col min="1539" max="1539" width="3.1796875" style="22" customWidth="1"/>
    <col min="1540" max="1540" width="5.453125" style="22" bestFit="1" customWidth="1"/>
    <col min="1541" max="1541" width="4.453125" style="22" bestFit="1" customWidth="1"/>
    <col min="1542" max="1542" width="6.453125" style="22" customWidth="1"/>
    <col min="1543" max="1543" width="5" style="22" bestFit="1" customWidth="1"/>
    <col min="1544" max="1544" width="4.54296875" style="22" bestFit="1" customWidth="1"/>
    <col min="1545" max="1545" width="4.453125" style="22" bestFit="1" customWidth="1"/>
    <col min="1546" max="1546" width="4" style="22" customWidth="1"/>
    <col min="1547" max="1774" width="11.453125" style="22"/>
    <col min="1775" max="1775" width="14.81640625" style="22" bestFit="1" customWidth="1"/>
    <col min="1776" max="1776" width="28" style="22" bestFit="1" customWidth="1"/>
    <col min="1777" max="1777" width="4.453125" style="22" bestFit="1" customWidth="1"/>
    <col min="1778" max="1778" width="8" style="22" bestFit="1" customWidth="1"/>
    <col min="1779" max="1779" width="11.453125" style="22"/>
    <col min="1780" max="1780" width="22.81640625" style="22" bestFit="1" customWidth="1"/>
    <col min="1781" max="1781" width="7" style="22" customWidth="1"/>
    <col min="1782" max="1782" width="6.26953125" style="22" customWidth="1"/>
    <col min="1783" max="1783" width="5.7265625" style="22" customWidth="1"/>
    <col min="1784" max="1784" width="5.7265625" style="22" bestFit="1" customWidth="1"/>
    <col min="1785" max="1785" width="5.81640625" style="22" bestFit="1" customWidth="1"/>
    <col min="1786" max="1786" width="9.453125" style="22" customWidth="1"/>
    <col min="1787" max="1787" width="5.1796875" style="22" customWidth="1"/>
    <col min="1788" max="1788" width="9.7265625" style="22" customWidth="1"/>
    <col min="1789" max="1789" width="6.7265625" style="22" bestFit="1" customWidth="1"/>
    <col min="1790" max="1790" width="4.81640625" style="22" customWidth="1"/>
    <col min="1791" max="1791" width="5.26953125" style="22" customWidth="1"/>
    <col min="1792" max="1793" width="4.453125" style="22" bestFit="1" customWidth="1"/>
    <col min="1794" max="1794" width="13.26953125" style="22" bestFit="1" customWidth="1"/>
    <col min="1795" max="1795" width="3.1796875" style="22" customWidth="1"/>
    <col min="1796" max="1796" width="5.453125" style="22" bestFit="1" customWidth="1"/>
    <col min="1797" max="1797" width="4.453125" style="22" bestFit="1" customWidth="1"/>
    <col min="1798" max="1798" width="6.453125" style="22" customWidth="1"/>
    <col min="1799" max="1799" width="5" style="22" bestFit="1" customWidth="1"/>
    <col min="1800" max="1800" width="4.54296875" style="22" bestFit="1" customWidth="1"/>
    <col min="1801" max="1801" width="4.453125" style="22" bestFit="1" customWidth="1"/>
    <col min="1802" max="1802" width="4" style="22" customWidth="1"/>
    <col min="1803" max="2030" width="11.453125" style="22"/>
    <col min="2031" max="2031" width="14.81640625" style="22" bestFit="1" customWidth="1"/>
    <col min="2032" max="2032" width="28" style="22" bestFit="1" customWidth="1"/>
    <col min="2033" max="2033" width="4.453125" style="22" bestFit="1" customWidth="1"/>
    <col min="2034" max="2034" width="8" style="22" bestFit="1" customWidth="1"/>
    <col min="2035" max="2035" width="11.453125" style="22"/>
    <col min="2036" max="2036" width="22.81640625" style="22" bestFit="1" customWidth="1"/>
    <col min="2037" max="2037" width="7" style="22" customWidth="1"/>
    <col min="2038" max="2038" width="6.26953125" style="22" customWidth="1"/>
    <col min="2039" max="2039" width="5.7265625" style="22" customWidth="1"/>
    <col min="2040" max="2040" width="5.7265625" style="22" bestFit="1" customWidth="1"/>
    <col min="2041" max="2041" width="5.81640625" style="22" bestFit="1" customWidth="1"/>
    <col min="2042" max="2042" width="9.453125" style="22" customWidth="1"/>
    <col min="2043" max="2043" width="5.1796875" style="22" customWidth="1"/>
    <col min="2044" max="2044" width="9.7265625" style="22" customWidth="1"/>
    <col min="2045" max="2045" width="6.7265625" style="22" bestFit="1" customWidth="1"/>
    <col min="2046" max="2046" width="4.81640625" style="22" customWidth="1"/>
    <col min="2047" max="2047" width="5.26953125" style="22" customWidth="1"/>
    <col min="2048" max="2049" width="4.453125" style="22" bestFit="1" customWidth="1"/>
    <col min="2050" max="2050" width="13.26953125" style="22" bestFit="1" customWidth="1"/>
    <col min="2051" max="2051" width="3.1796875" style="22" customWidth="1"/>
    <col min="2052" max="2052" width="5.453125" style="22" bestFit="1" customWidth="1"/>
    <col min="2053" max="2053" width="4.453125" style="22" bestFit="1" customWidth="1"/>
    <col min="2054" max="2054" width="6.453125" style="22" customWidth="1"/>
    <col min="2055" max="2055" width="5" style="22" bestFit="1" customWidth="1"/>
    <col min="2056" max="2056" width="4.54296875" style="22" bestFit="1" customWidth="1"/>
    <col min="2057" max="2057" width="4.453125" style="22" bestFit="1" customWidth="1"/>
    <col min="2058" max="2058" width="4" style="22" customWidth="1"/>
    <col min="2059" max="2286" width="11.453125" style="22"/>
    <col min="2287" max="2287" width="14.81640625" style="22" bestFit="1" customWidth="1"/>
    <col min="2288" max="2288" width="28" style="22" bestFit="1" customWidth="1"/>
    <col min="2289" max="2289" width="4.453125" style="22" bestFit="1" customWidth="1"/>
    <col min="2290" max="2290" width="8" style="22" bestFit="1" customWidth="1"/>
    <col min="2291" max="2291" width="11.453125" style="22"/>
    <col min="2292" max="2292" width="22.81640625" style="22" bestFit="1" customWidth="1"/>
    <col min="2293" max="2293" width="7" style="22" customWidth="1"/>
    <col min="2294" max="2294" width="6.26953125" style="22" customWidth="1"/>
    <col min="2295" max="2295" width="5.7265625" style="22" customWidth="1"/>
    <col min="2296" max="2296" width="5.7265625" style="22" bestFit="1" customWidth="1"/>
    <col min="2297" max="2297" width="5.81640625" style="22" bestFit="1" customWidth="1"/>
    <col min="2298" max="2298" width="9.453125" style="22" customWidth="1"/>
    <col min="2299" max="2299" width="5.1796875" style="22" customWidth="1"/>
    <col min="2300" max="2300" width="9.7265625" style="22" customWidth="1"/>
    <col min="2301" max="2301" width="6.7265625" style="22" bestFit="1" customWidth="1"/>
    <col min="2302" max="2302" width="4.81640625" style="22" customWidth="1"/>
    <col min="2303" max="2303" width="5.26953125" style="22" customWidth="1"/>
    <col min="2304" max="2305" width="4.453125" style="22" bestFit="1" customWidth="1"/>
    <col min="2306" max="2306" width="13.26953125" style="22" bestFit="1" customWidth="1"/>
    <col min="2307" max="2307" width="3.1796875" style="22" customWidth="1"/>
    <col min="2308" max="2308" width="5.453125" style="22" bestFit="1" customWidth="1"/>
    <col min="2309" max="2309" width="4.453125" style="22" bestFit="1" customWidth="1"/>
    <col min="2310" max="2310" width="6.453125" style="22" customWidth="1"/>
    <col min="2311" max="2311" width="5" style="22" bestFit="1" customWidth="1"/>
    <col min="2312" max="2312" width="4.54296875" style="22" bestFit="1" customWidth="1"/>
    <col min="2313" max="2313" width="4.453125" style="22" bestFit="1" customWidth="1"/>
    <col min="2314" max="2314" width="4" style="22" customWidth="1"/>
    <col min="2315" max="2542" width="11.453125" style="22"/>
    <col min="2543" max="2543" width="14.81640625" style="22" bestFit="1" customWidth="1"/>
    <col min="2544" max="2544" width="28" style="22" bestFit="1" customWidth="1"/>
    <col min="2545" max="2545" width="4.453125" style="22" bestFit="1" customWidth="1"/>
    <col min="2546" max="2546" width="8" style="22" bestFit="1" customWidth="1"/>
    <col min="2547" max="2547" width="11.453125" style="22"/>
    <col min="2548" max="2548" width="22.81640625" style="22" bestFit="1" customWidth="1"/>
    <col min="2549" max="2549" width="7" style="22" customWidth="1"/>
    <col min="2550" max="2550" width="6.26953125" style="22" customWidth="1"/>
    <col min="2551" max="2551" width="5.7265625" style="22" customWidth="1"/>
    <col min="2552" max="2552" width="5.7265625" style="22" bestFit="1" customWidth="1"/>
    <col min="2553" max="2553" width="5.81640625" style="22" bestFit="1" customWidth="1"/>
    <col min="2554" max="2554" width="9.453125" style="22" customWidth="1"/>
    <col min="2555" max="2555" width="5.1796875" style="22" customWidth="1"/>
    <col min="2556" max="2556" width="9.7265625" style="22" customWidth="1"/>
    <col min="2557" max="2557" width="6.7265625" style="22" bestFit="1" customWidth="1"/>
    <col min="2558" max="2558" width="4.81640625" style="22" customWidth="1"/>
    <col min="2559" max="2559" width="5.26953125" style="22" customWidth="1"/>
    <col min="2560" max="2561" width="4.453125" style="22" bestFit="1" customWidth="1"/>
    <col min="2562" max="2562" width="13.26953125" style="22" bestFit="1" customWidth="1"/>
    <col min="2563" max="2563" width="3.1796875" style="22" customWidth="1"/>
    <col min="2564" max="2564" width="5.453125" style="22" bestFit="1" customWidth="1"/>
    <col min="2565" max="2565" width="4.453125" style="22" bestFit="1" customWidth="1"/>
    <col min="2566" max="2566" width="6.453125" style="22" customWidth="1"/>
    <col min="2567" max="2567" width="5" style="22" bestFit="1" customWidth="1"/>
    <col min="2568" max="2568" width="4.54296875" style="22" bestFit="1" customWidth="1"/>
    <col min="2569" max="2569" width="4.453125" style="22" bestFit="1" customWidth="1"/>
    <col min="2570" max="2570" width="4" style="22" customWidth="1"/>
    <col min="2571" max="2798" width="11.453125" style="22"/>
    <col min="2799" max="2799" width="14.81640625" style="22" bestFit="1" customWidth="1"/>
    <col min="2800" max="2800" width="28" style="22" bestFit="1" customWidth="1"/>
    <col min="2801" max="2801" width="4.453125" style="22" bestFit="1" customWidth="1"/>
    <col min="2802" max="2802" width="8" style="22" bestFit="1" customWidth="1"/>
    <col min="2803" max="2803" width="11.453125" style="22"/>
    <col min="2804" max="2804" width="22.81640625" style="22" bestFit="1" customWidth="1"/>
    <col min="2805" max="2805" width="7" style="22" customWidth="1"/>
    <col min="2806" max="2806" width="6.26953125" style="22" customWidth="1"/>
    <col min="2807" max="2807" width="5.7265625" style="22" customWidth="1"/>
    <col min="2808" max="2808" width="5.7265625" style="22" bestFit="1" customWidth="1"/>
    <col min="2809" max="2809" width="5.81640625" style="22" bestFit="1" customWidth="1"/>
    <col min="2810" max="2810" width="9.453125" style="22" customWidth="1"/>
    <col min="2811" max="2811" width="5.1796875" style="22" customWidth="1"/>
    <col min="2812" max="2812" width="9.7265625" style="22" customWidth="1"/>
    <col min="2813" max="2813" width="6.7265625" style="22" bestFit="1" customWidth="1"/>
    <col min="2814" max="2814" width="4.81640625" style="22" customWidth="1"/>
    <col min="2815" max="2815" width="5.26953125" style="22" customWidth="1"/>
    <col min="2816" max="2817" width="4.453125" style="22" bestFit="1" customWidth="1"/>
    <col min="2818" max="2818" width="13.26953125" style="22" bestFit="1" customWidth="1"/>
    <col min="2819" max="2819" width="3.1796875" style="22" customWidth="1"/>
    <col min="2820" max="2820" width="5.453125" style="22" bestFit="1" customWidth="1"/>
    <col min="2821" max="2821" width="4.453125" style="22" bestFit="1" customWidth="1"/>
    <col min="2822" max="2822" width="6.453125" style="22" customWidth="1"/>
    <col min="2823" max="2823" width="5" style="22" bestFit="1" customWidth="1"/>
    <col min="2824" max="2824" width="4.54296875" style="22" bestFit="1" customWidth="1"/>
    <col min="2825" max="2825" width="4.453125" style="22" bestFit="1" customWidth="1"/>
    <col min="2826" max="2826" width="4" style="22" customWidth="1"/>
    <col min="2827" max="3054" width="11.453125" style="22"/>
    <col min="3055" max="3055" width="14.81640625" style="22" bestFit="1" customWidth="1"/>
    <col min="3056" max="3056" width="28" style="22" bestFit="1" customWidth="1"/>
    <col min="3057" max="3057" width="4.453125" style="22" bestFit="1" customWidth="1"/>
    <col min="3058" max="3058" width="8" style="22" bestFit="1" customWidth="1"/>
    <col min="3059" max="3059" width="11.453125" style="22"/>
    <col min="3060" max="3060" width="22.81640625" style="22" bestFit="1" customWidth="1"/>
    <col min="3061" max="3061" width="7" style="22" customWidth="1"/>
    <col min="3062" max="3062" width="6.26953125" style="22" customWidth="1"/>
    <col min="3063" max="3063" width="5.7265625" style="22" customWidth="1"/>
    <col min="3064" max="3064" width="5.7265625" style="22" bestFit="1" customWidth="1"/>
    <col min="3065" max="3065" width="5.81640625" style="22" bestFit="1" customWidth="1"/>
    <col min="3066" max="3066" width="9.453125" style="22" customWidth="1"/>
    <col min="3067" max="3067" width="5.1796875" style="22" customWidth="1"/>
    <col min="3068" max="3068" width="9.7265625" style="22" customWidth="1"/>
    <col min="3069" max="3069" width="6.7265625" style="22" bestFit="1" customWidth="1"/>
    <col min="3070" max="3070" width="4.81640625" style="22" customWidth="1"/>
    <col min="3071" max="3071" width="5.26953125" style="22" customWidth="1"/>
    <col min="3072" max="3073" width="4.453125" style="22" bestFit="1" customWidth="1"/>
    <col min="3074" max="3074" width="13.26953125" style="22" bestFit="1" customWidth="1"/>
    <col min="3075" max="3075" width="3.1796875" style="22" customWidth="1"/>
    <col min="3076" max="3076" width="5.453125" style="22" bestFit="1" customWidth="1"/>
    <col min="3077" max="3077" width="4.453125" style="22" bestFit="1" customWidth="1"/>
    <col min="3078" max="3078" width="6.453125" style="22" customWidth="1"/>
    <col min="3079" max="3079" width="5" style="22" bestFit="1" customWidth="1"/>
    <col min="3080" max="3080" width="4.54296875" style="22" bestFit="1" customWidth="1"/>
    <col min="3081" max="3081" width="4.453125" style="22" bestFit="1" customWidth="1"/>
    <col min="3082" max="3082" width="4" style="22" customWidth="1"/>
    <col min="3083" max="3310" width="11.453125" style="22"/>
    <col min="3311" max="3311" width="14.81640625" style="22" bestFit="1" customWidth="1"/>
    <col min="3312" max="3312" width="28" style="22" bestFit="1" customWidth="1"/>
    <col min="3313" max="3313" width="4.453125" style="22" bestFit="1" customWidth="1"/>
    <col min="3314" max="3314" width="8" style="22" bestFit="1" customWidth="1"/>
    <col min="3315" max="3315" width="11.453125" style="22"/>
    <col min="3316" max="3316" width="22.81640625" style="22" bestFit="1" customWidth="1"/>
    <col min="3317" max="3317" width="7" style="22" customWidth="1"/>
    <col min="3318" max="3318" width="6.26953125" style="22" customWidth="1"/>
    <col min="3319" max="3319" width="5.7265625" style="22" customWidth="1"/>
    <col min="3320" max="3320" width="5.7265625" style="22" bestFit="1" customWidth="1"/>
    <col min="3321" max="3321" width="5.81640625" style="22" bestFit="1" customWidth="1"/>
    <col min="3322" max="3322" width="9.453125" style="22" customWidth="1"/>
    <col min="3323" max="3323" width="5.1796875" style="22" customWidth="1"/>
    <col min="3324" max="3324" width="9.7265625" style="22" customWidth="1"/>
    <col min="3325" max="3325" width="6.7265625" style="22" bestFit="1" customWidth="1"/>
    <col min="3326" max="3326" width="4.81640625" style="22" customWidth="1"/>
    <col min="3327" max="3327" width="5.26953125" style="22" customWidth="1"/>
    <col min="3328" max="3329" width="4.453125" style="22" bestFit="1" customWidth="1"/>
    <col min="3330" max="3330" width="13.26953125" style="22" bestFit="1" customWidth="1"/>
    <col min="3331" max="3331" width="3.1796875" style="22" customWidth="1"/>
    <col min="3332" max="3332" width="5.453125" style="22" bestFit="1" customWidth="1"/>
    <col min="3333" max="3333" width="4.453125" style="22" bestFit="1" customWidth="1"/>
    <col min="3334" max="3334" width="6.453125" style="22" customWidth="1"/>
    <col min="3335" max="3335" width="5" style="22" bestFit="1" customWidth="1"/>
    <col min="3336" max="3336" width="4.54296875" style="22" bestFit="1" customWidth="1"/>
    <col min="3337" max="3337" width="4.453125" style="22" bestFit="1" customWidth="1"/>
    <col min="3338" max="3338" width="4" style="22" customWidth="1"/>
    <col min="3339" max="3566" width="11.453125" style="22"/>
    <col min="3567" max="3567" width="14.81640625" style="22" bestFit="1" customWidth="1"/>
    <col min="3568" max="3568" width="28" style="22" bestFit="1" customWidth="1"/>
    <col min="3569" max="3569" width="4.453125" style="22" bestFit="1" customWidth="1"/>
    <col min="3570" max="3570" width="8" style="22" bestFit="1" customWidth="1"/>
    <col min="3571" max="3571" width="11.453125" style="22"/>
    <col min="3572" max="3572" width="22.81640625" style="22" bestFit="1" customWidth="1"/>
    <col min="3573" max="3573" width="7" style="22" customWidth="1"/>
    <col min="3574" max="3574" width="6.26953125" style="22" customWidth="1"/>
    <col min="3575" max="3575" width="5.7265625" style="22" customWidth="1"/>
    <col min="3576" max="3576" width="5.7265625" style="22" bestFit="1" customWidth="1"/>
    <col min="3577" max="3577" width="5.81640625" style="22" bestFit="1" customWidth="1"/>
    <col min="3578" max="3578" width="9.453125" style="22" customWidth="1"/>
    <col min="3579" max="3579" width="5.1796875" style="22" customWidth="1"/>
    <col min="3580" max="3580" width="9.7265625" style="22" customWidth="1"/>
    <col min="3581" max="3581" width="6.7265625" style="22" bestFit="1" customWidth="1"/>
    <col min="3582" max="3582" width="4.81640625" style="22" customWidth="1"/>
    <col min="3583" max="3583" width="5.26953125" style="22" customWidth="1"/>
    <col min="3584" max="3585" width="4.453125" style="22" bestFit="1" customWidth="1"/>
    <col min="3586" max="3586" width="13.26953125" style="22" bestFit="1" customWidth="1"/>
    <col min="3587" max="3587" width="3.1796875" style="22" customWidth="1"/>
    <col min="3588" max="3588" width="5.453125" style="22" bestFit="1" customWidth="1"/>
    <col min="3589" max="3589" width="4.453125" style="22" bestFit="1" customWidth="1"/>
    <col min="3590" max="3590" width="6.453125" style="22" customWidth="1"/>
    <col min="3591" max="3591" width="5" style="22" bestFit="1" customWidth="1"/>
    <col min="3592" max="3592" width="4.54296875" style="22" bestFit="1" customWidth="1"/>
    <col min="3593" max="3593" width="4.453125" style="22" bestFit="1" customWidth="1"/>
    <col min="3594" max="3594" width="4" style="22" customWidth="1"/>
    <col min="3595" max="3822" width="11.453125" style="22"/>
    <col min="3823" max="3823" width="14.81640625" style="22" bestFit="1" customWidth="1"/>
    <col min="3824" max="3824" width="28" style="22" bestFit="1" customWidth="1"/>
    <col min="3825" max="3825" width="4.453125" style="22" bestFit="1" customWidth="1"/>
    <col min="3826" max="3826" width="8" style="22" bestFit="1" customWidth="1"/>
    <col min="3827" max="3827" width="11.453125" style="22"/>
    <col min="3828" max="3828" width="22.81640625" style="22" bestFit="1" customWidth="1"/>
    <col min="3829" max="3829" width="7" style="22" customWidth="1"/>
    <col min="3830" max="3830" width="6.26953125" style="22" customWidth="1"/>
    <col min="3831" max="3831" width="5.7265625" style="22" customWidth="1"/>
    <col min="3832" max="3832" width="5.7265625" style="22" bestFit="1" customWidth="1"/>
    <col min="3833" max="3833" width="5.81640625" style="22" bestFit="1" customWidth="1"/>
    <col min="3834" max="3834" width="9.453125" style="22" customWidth="1"/>
    <col min="3835" max="3835" width="5.1796875" style="22" customWidth="1"/>
    <col min="3836" max="3836" width="9.7265625" style="22" customWidth="1"/>
    <col min="3837" max="3837" width="6.7265625" style="22" bestFit="1" customWidth="1"/>
    <col min="3838" max="3838" width="4.81640625" style="22" customWidth="1"/>
    <col min="3839" max="3839" width="5.26953125" style="22" customWidth="1"/>
    <col min="3840" max="3841" width="4.453125" style="22" bestFit="1" customWidth="1"/>
    <col min="3842" max="3842" width="13.26953125" style="22" bestFit="1" customWidth="1"/>
    <col min="3843" max="3843" width="3.1796875" style="22" customWidth="1"/>
    <col min="3844" max="3844" width="5.453125" style="22" bestFit="1" customWidth="1"/>
    <col min="3845" max="3845" width="4.453125" style="22" bestFit="1" customWidth="1"/>
    <col min="3846" max="3846" width="6.453125" style="22" customWidth="1"/>
    <col min="3847" max="3847" width="5" style="22" bestFit="1" customWidth="1"/>
    <col min="3848" max="3848" width="4.54296875" style="22" bestFit="1" customWidth="1"/>
    <col min="3849" max="3849" width="4.453125" style="22" bestFit="1" customWidth="1"/>
    <col min="3850" max="3850" width="4" style="22" customWidth="1"/>
    <col min="3851" max="4078" width="11.453125" style="22"/>
    <col min="4079" max="4079" width="14.81640625" style="22" bestFit="1" customWidth="1"/>
    <col min="4080" max="4080" width="28" style="22" bestFit="1" customWidth="1"/>
    <col min="4081" max="4081" width="4.453125" style="22" bestFit="1" customWidth="1"/>
    <col min="4082" max="4082" width="8" style="22" bestFit="1" customWidth="1"/>
    <col min="4083" max="4083" width="11.453125" style="22"/>
    <col min="4084" max="4084" width="22.81640625" style="22" bestFit="1" customWidth="1"/>
    <col min="4085" max="4085" width="7" style="22" customWidth="1"/>
    <col min="4086" max="4086" width="6.26953125" style="22" customWidth="1"/>
    <col min="4087" max="4087" width="5.7265625" style="22" customWidth="1"/>
    <col min="4088" max="4088" width="5.7265625" style="22" bestFit="1" customWidth="1"/>
    <col min="4089" max="4089" width="5.81640625" style="22" bestFit="1" customWidth="1"/>
    <col min="4090" max="4090" width="9.453125" style="22" customWidth="1"/>
    <col min="4091" max="4091" width="5.1796875" style="22" customWidth="1"/>
    <col min="4092" max="4092" width="9.7265625" style="22" customWidth="1"/>
    <col min="4093" max="4093" width="6.7265625" style="22" bestFit="1" customWidth="1"/>
    <col min="4094" max="4094" width="4.81640625" style="22" customWidth="1"/>
    <col min="4095" max="4095" width="5.26953125" style="22" customWidth="1"/>
    <col min="4096" max="4097" width="4.453125" style="22" bestFit="1" customWidth="1"/>
    <col min="4098" max="4098" width="13.26953125" style="22" bestFit="1" customWidth="1"/>
    <col min="4099" max="4099" width="3.1796875" style="22" customWidth="1"/>
    <col min="4100" max="4100" width="5.453125" style="22" bestFit="1" customWidth="1"/>
    <col min="4101" max="4101" width="4.453125" style="22" bestFit="1" customWidth="1"/>
    <col min="4102" max="4102" width="6.453125" style="22" customWidth="1"/>
    <col min="4103" max="4103" width="5" style="22" bestFit="1" customWidth="1"/>
    <col min="4104" max="4104" width="4.54296875" style="22" bestFit="1" customWidth="1"/>
    <col min="4105" max="4105" width="4.453125" style="22" bestFit="1" customWidth="1"/>
    <col min="4106" max="4106" width="4" style="22" customWidth="1"/>
    <col min="4107" max="4334" width="11.453125" style="22"/>
    <col min="4335" max="4335" width="14.81640625" style="22" bestFit="1" customWidth="1"/>
    <col min="4336" max="4336" width="28" style="22" bestFit="1" customWidth="1"/>
    <col min="4337" max="4337" width="4.453125" style="22" bestFit="1" customWidth="1"/>
    <col min="4338" max="4338" width="8" style="22" bestFit="1" customWidth="1"/>
    <col min="4339" max="4339" width="11.453125" style="22"/>
    <col min="4340" max="4340" width="22.81640625" style="22" bestFit="1" customWidth="1"/>
    <col min="4341" max="4341" width="7" style="22" customWidth="1"/>
    <col min="4342" max="4342" width="6.26953125" style="22" customWidth="1"/>
    <col min="4343" max="4343" width="5.7265625" style="22" customWidth="1"/>
    <col min="4344" max="4344" width="5.7265625" style="22" bestFit="1" customWidth="1"/>
    <col min="4345" max="4345" width="5.81640625" style="22" bestFit="1" customWidth="1"/>
    <col min="4346" max="4346" width="9.453125" style="22" customWidth="1"/>
    <col min="4347" max="4347" width="5.1796875" style="22" customWidth="1"/>
    <col min="4348" max="4348" width="9.7265625" style="22" customWidth="1"/>
    <col min="4349" max="4349" width="6.7265625" style="22" bestFit="1" customWidth="1"/>
    <col min="4350" max="4350" width="4.81640625" style="22" customWidth="1"/>
    <col min="4351" max="4351" width="5.26953125" style="22" customWidth="1"/>
    <col min="4352" max="4353" width="4.453125" style="22" bestFit="1" customWidth="1"/>
    <col min="4354" max="4354" width="13.26953125" style="22" bestFit="1" customWidth="1"/>
    <col min="4355" max="4355" width="3.1796875" style="22" customWidth="1"/>
    <col min="4356" max="4356" width="5.453125" style="22" bestFit="1" customWidth="1"/>
    <col min="4357" max="4357" width="4.453125" style="22" bestFit="1" customWidth="1"/>
    <col min="4358" max="4358" width="6.453125" style="22" customWidth="1"/>
    <col min="4359" max="4359" width="5" style="22" bestFit="1" customWidth="1"/>
    <col min="4360" max="4360" width="4.54296875" style="22" bestFit="1" customWidth="1"/>
    <col min="4361" max="4361" width="4.453125" style="22" bestFit="1" customWidth="1"/>
    <col min="4362" max="4362" width="4" style="22" customWidth="1"/>
    <col min="4363" max="4590" width="11.453125" style="22"/>
    <col min="4591" max="4591" width="14.81640625" style="22" bestFit="1" customWidth="1"/>
    <col min="4592" max="4592" width="28" style="22" bestFit="1" customWidth="1"/>
    <col min="4593" max="4593" width="4.453125" style="22" bestFit="1" customWidth="1"/>
    <col min="4594" max="4594" width="8" style="22" bestFit="1" customWidth="1"/>
    <col min="4595" max="4595" width="11.453125" style="22"/>
    <col min="4596" max="4596" width="22.81640625" style="22" bestFit="1" customWidth="1"/>
    <col min="4597" max="4597" width="7" style="22" customWidth="1"/>
    <col min="4598" max="4598" width="6.26953125" style="22" customWidth="1"/>
    <col min="4599" max="4599" width="5.7265625" style="22" customWidth="1"/>
    <col min="4600" max="4600" width="5.7265625" style="22" bestFit="1" customWidth="1"/>
    <col min="4601" max="4601" width="5.81640625" style="22" bestFit="1" customWidth="1"/>
    <col min="4602" max="4602" width="9.453125" style="22" customWidth="1"/>
    <col min="4603" max="4603" width="5.1796875" style="22" customWidth="1"/>
    <col min="4604" max="4604" width="9.7265625" style="22" customWidth="1"/>
    <col min="4605" max="4605" width="6.7265625" style="22" bestFit="1" customWidth="1"/>
    <col min="4606" max="4606" width="4.81640625" style="22" customWidth="1"/>
    <col min="4607" max="4607" width="5.26953125" style="22" customWidth="1"/>
    <col min="4608" max="4609" width="4.453125" style="22" bestFit="1" customWidth="1"/>
    <col min="4610" max="4610" width="13.26953125" style="22" bestFit="1" customWidth="1"/>
    <col min="4611" max="4611" width="3.1796875" style="22" customWidth="1"/>
    <col min="4612" max="4612" width="5.453125" style="22" bestFit="1" customWidth="1"/>
    <col min="4613" max="4613" width="4.453125" style="22" bestFit="1" customWidth="1"/>
    <col min="4614" max="4614" width="6.453125" style="22" customWidth="1"/>
    <col min="4615" max="4615" width="5" style="22" bestFit="1" customWidth="1"/>
    <col min="4616" max="4616" width="4.54296875" style="22" bestFit="1" customWidth="1"/>
    <col min="4617" max="4617" width="4.453125" style="22" bestFit="1" customWidth="1"/>
    <col min="4618" max="4618" width="4" style="22" customWidth="1"/>
    <col min="4619" max="4846" width="11.453125" style="22"/>
    <col min="4847" max="4847" width="14.81640625" style="22" bestFit="1" customWidth="1"/>
    <col min="4848" max="4848" width="28" style="22" bestFit="1" customWidth="1"/>
    <col min="4849" max="4849" width="4.453125" style="22" bestFit="1" customWidth="1"/>
    <col min="4850" max="4850" width="8" style="22" bestFit="1" customWidth="1"/>
    <col min="4851" max="4851" width="11.453125" style="22"/>
    <col min="4852" max="4852" width="22.81640625" style="22" bestFit="1" customWidth="1"/>
    <col min="4853" max="4853" width="7" style="22" customWidth="1"/>
    <col min="4854" max="4854" width="6.26953125" style="22" customWidth="1"/>
    <col min="4855" max="4855" width="5.7265625" style="22" customWidth="1"/>
    <col min="4856" max="4856" width="5.7265625" style="22" bestFit="1" customWidth="1"/>
    <col min="4857" max="4857" width="5.81640625" style="22" bestFit="1" customWidth="1"/>
    <col min="4858" max="4858" width="9.453125" style="22" customWidth="1"/>
    <col min="4859" max="4859" width="5.1796875" style="22" customWidth="1"/>
    <col min="4860" max="4860" width="9.7265625" style="22" customWidth="1"/>
    <col min="4861" max="4861" width="6.7265625" style="22" bestFit="1" customWidth="1"/>
    <col min="4862" max="4862" width="4.81640625" style="22" customWidth="1"/>
    <col min="4863" max="4863" width="5.26953125" style="22" customWidth="1"/>
    <col min="4864" max="4865" width="4.453125" style="22" bestFit="1" customWidth="1"/>
    <col min="4866" max="4866" width="13.26953125" style="22" bestFit="1" customWidth="1"/>
    <col min="4867" max="4867" width="3.1796875" style="22" customWidth="1"/>
    <col min="4868" max="4868" width="5.453125" style="22" bestFit="1" customWidth="1"/>
    <col min="4869" max="4869" width="4.453125" style="22" bestFit="1" customWidth="1"/>
    <col min="4870" max="4870" width="6.453125" style="22" customWidth="1"/>
    <col min="4871" max="4871" width="5" style="22" bestFit="1" customWidth="1"/>
    <col min="4872" max="4872" width="4.54296875" style="22" bestFit="1" customWidth="1"/>
    <col min="4873" max="4873" width="4.453125" style="22" bestFit="1" customWidth="1"/>
    <col min="4874" max="4874" width="4" style="22" customWidth="1"/>
    <col min="4875" max="5102" width="11.453125" style="22"/>
    <col min="5103" max="5103" width="14.81640625" style="22" bestFit="1" customWidth="1"/>
    <col min="5104" max="5104" width="28" style="22" bestFit="1" customWidth="1"/>
    <col min="5105" max="5105" width="4.453125" style="22" bestFit="1" customWidth="1"/>
    <col min="5106" max="5106" width="8" style="22" bestFit="1" customWidth="1"/>
    <col min="5107" max="5107" width="11.453125" style="22"/>
    <col min="5108" max="5108" width="22.81640625" style="22" bestFit="1" customWidth="1"/>
    <col min="5109" max="5109" width="7" style="22" customWidth="1"/>
    <col min="5110" max="5110" width="6.26953125" style="22" customWidth="1"/>
    <col min="5111" max="5111" width="5.7265625" style="22" customWidth="1"/>
    <col min="5112" max="5112" width="5.7265625" style="22" bestFit="1" customWidth="1"/>
    <col min="5113" max="5113" width="5.81640625" style="22" bestFit="1" customWidth="1"/>
    <col min="5114" max="5114" width="9.453125" style="22" customWidth="1"/>
    <col min="5115" max="5115" width="5.1796875" style="22" customWidth="1"/>
    <col min="5116" max="5116" width="9.7265625" style="22" customWidth="1"/>
    <col min="5117" max="5117" width="6.7265625" style="22" bestFit="1" customWidth="1"/>
    <col min="5118" max="5118" width="4.81640625" style="22" customWidth="1"/>
    <col min="5119" max="5119" width="5.26953125" style="22" customWidth="1"/>
    <col min="5120" max="5121" width="4.453125" style="22" bestFit="1" customWidth="1"/>
    <col min="5122" max="5122" width="13.26953125" style="22" bestFit="1" customWidth="1"/>
    <col min="5123" max="5123" width="3.1796875" style="22" customWidth="1"/>
    <col min="5124" max="5124" width="5.453125" style="22" bestFit="1" customWidth="1"/>
    <col min="5125" max="5125" width="4.453125" style="22" bestFit="1" customWidth="1"/>
    <col min="5126" max="5126" width="6.453125" style="22" customWidth="1"/>
    <col min="5127" max="5127" width="5" style="22" bestFit="1" customWidth="1"/>
    <col min="5128" max="5128" width="4.54296875" style="22" bestFit="1" customWidth="1"/>
    <col min="5129" max="5129" width="4.453125" style="22" bestFit="1" customWidth="1"/>
    <col min="5130" max="5130" width="4" style="22" customWidth="1"/>
    <col min="5131" max="5358" width="11.453125" style="22"/>
    <col min="5359" max="5359" width="14.81640625" style="22" bestFit="1" customWidth="1"/>
    <col min="5360" max="5360" width="28" style="22" bestFit="1" customWidth="1"/>
    <col min="5361" max="5361" width="4.453125" style="22" bestFit="1" customWidth="1"/>
    <col min="5362" max="5362" width="8" style="22" bestFit="1" customWidth="1"/>
    <col min="5363" max="5363" width="11.453125" style="22"/>
    <col min="5364" max="5364" width="22.81640625" style="22" bestFit="1" customWidth="1"/>
    <col min="5365" max="5365" width="7" style="22" customWidth="1"/>
    <col min="5366" max="5366" width="6.26953125" style="22" customWidth="1"/>
    <col min="5367" max="5367" width="5.7265625" style="22" customWidth="1"/>
    <col min="5368" max="5368" width="5.7265625" style="22" bestFit="1" customWidth="1"/>
    <col min="5369" max="5369" width="5.81640625" style="22" bestFit="1" customWidth="1"/>
    <col min="5370" max="5370" width="9.453125" style="22" customWidth="1"/>
    <col min="5371" max="5371" width="5.1796875" style="22" customWidth="1"/>
    <col min="5372" max="5372" width="9.7265625" style="22" customWidth="1"/>
    <col min="5373" max="5373" width="6.7265625" style="22" bestFit="1" customWidth="1"/>
    <col min="5374" max="5374" width="4.81640625" style="22" customWidth="1"/>
    <col min="5375" max="5375" width="5.26953125" style="22" customWidth="1"/>
    <col min="5376" max="5377" width="4.453125" style="22" bestFit="1" customWidth="1"/>
    <col min="5378" max="5378" width="13.26953125" style="22" bestFit="1" customWidth="1"/>
    <col min="5379" max="5379" width="3.1796875" style="22" customWidth="1"/>
    <col min="5380" max="5380" width="5.453125" style="22" bestFit="1" customWidth="1"/>
    <col min="5381" max="5381" width="4.453125" style="22" bestFit="1" customWidth="1"/>
    <col min="5382" max="5382" width="6.453125" style="22" customWidth="1"/>
    <col min="5383" max="5383" width="5" style="22" bestFit="1" customWidth="1"/>
    <col min="5384" max="5384" width="4.54296875" style="22" bestFit="1" customWidth="1"/>
    <col min="5385" max="5385" width="4.453125" style="22" bestFit="1" customWidth="1"/>
    <col min="5386" max="5386" width="4" style="22" customWidth="1"/>
    <col min="5387" max="5614" width="11.453125" style="22"/>
    <col min="5615" max="5615" width="14.81640625" style="22" bestFit="1" customWidth="1"/>
    <col min="5616" max="5616" width="28" style="22" bestFit="1" customWidth="1"/>
    <col min="5617" max="5617" width="4.453125" style="22" bestFit="1" customWidth="1"/>
    <col min="5618" max="5618" width="8" style="22" bestFit="1" customWidth="1"/>
    <col min="5619" max="5619" width="11.453125" style="22"/>
    <col min="5620" max="5620" width="22.81640625" style="22" bestFit="1" customWidth="1"/>
    <col min="5621" max="5621" width="7" style="22" customWidth="1"/>
    <col min="5622" max="5622" width="6.26953125" style="22" customWidth="1"/>
    <col min="5623" max="5623" width="5.7265625" style="22" customWidth="1"/>
    <col min="5624" max="5624" width="5.7265625" style="22" bestFit="1" customWidth="1"/>
    <col min="5625" max="5625" width="5.81640625" style="22" bestFit="1" customWidth="1"/>
    <col min="5626" max="5626" width="9.453125" style="22" customWidth="1"/>
    <col min="5627" max="5627" width="5.1796875" style="22" customWidth="1"/>
    <col min="5628" max="5628" width="9.7265625" style="22" customWidth="1"/>
    <col min="5629" max="5629" width="6.7265625" style="22" bestFit="1" customWidth="1"/>
    <col min="5630" max="5630" width="4.81640625" style="22" customWidth="1"/>
    <col min="5631" max="5631" width="5.26953125" style="22" customWidth="1"/>
    <col min="5632" max="5633" width="4.453125" style="22" bestFit="1" customWidth="1"/>
    <col min="5634" max="5634" width="13.26953125" style="22" bestFit="1" customWidth="1"/>
    <col min="5635" max="5635" width="3.1796875" style="22" customWidth="1"/>
    <col min="5636" max="5636" width="5.453125" style="22" bestFit="1" customWidth="1"/>
    <col min="5637" max="5637" width="4.453125" style="22" bestFit="1" customWidth="1"/>
    <col min="5638" max="5638" width="6.453125" style="22" customWidth="1"/>
    <col min="5639" max="5639" width="5" style="22" bestFit="1" customWidth="1"/>
    <col min="5640" max="5640" width="4.54296875" style="22" bestFit="1" customWidth="1"/>
    <col min="5641" max="5641" width="4.453125" style="22" bestFit="1" customWidth="1"/>
    <col min="5642" max="5642" width="4" style="22" customWidth="1"/>
    <col min="5643" max="5870" width="11.453125" style="22"/>
    <col min="5871" max="5871" width="14.81640625" style="22" bestFit="1" customWidth="1"/>
    <col min="5872" max="5872" width="28" style="22" bestFit="1" customWidth="1"/>
    <col min="5873" max="5873" width="4.453125" style="22" bestFit="1" customWidth="1"/>
    <col min="5874" max="5874" width="8" style="22" bestFit="1" customWidth="1"/>
    <col min="5875" max="5875" width="11.453125" style="22"/>
    <col min="5876" max="5876" width="22.81640625" style="22" bestFit="1" customWidth="1"/>
    <col min="5877" max="5877" width="7" style="22" customWidth="1"/>
    <col min="5878" max="5878" width="6.26953125" style="22" customWidth="1"/>
    <col min="5879" max="5879" width="5.7265625" style="22" customWidth="1"/>
    <col min="5880" max="5880" width="5.7265625" style="22" bestFit="1" customWidth="1"/>
    <col min="5881" max="5881" width="5.81640625" style="22" bestFit="1" customWidth="1"/>
    <col min="5882" max="5882" width="9.453125" style="22" customWidth="1"/>
    <col min="5883" max="5883" width="5.1796875" style="22" customWidth="1"/>
    <col min="5884" max="5884" width="9.7265625" style="22" customWidth="1"/>
    <col min="5885" max="5885" width="6.7265625" style="22" bestFit="1" customWidth="1"/>
    <col min="5886" max="5886" width="4.81640625" style="22" customWidth="1"/>
    <col min="5887" max="5887" width="5.26953125" style="22" customWidth="1"/>
    <col min="5888" max="5889" width="4.453125" style="22" bestFit="1" customWidth="1"/>
    <col min="5890" max="5890" width="13.26953125" style="22" bestFit="1" customWidth="1"/>
    <col min="5891" max="5891" width="3.1796875" style="22" customWidth="1"/>
    <col min="5892" max="5892" width="5.453125" style="22" bestFit="1" customWidth="1"/>
    <col min="5893" max="5893" width="4.453125" style="22" bestFit="1" customWidth="1"/>
    <col min="5894" max="5894" width="6.453125" style="22" customWidth="1"/>
    <col min="5895" max="5895" width="5" style="22" bestFit="1" customWidth="1"/>
    <col min="5896" max="5896" width="4.54296875" style="22" bestFit="1" customWidth="1"/>
    <col min="5897" max="5897" width="4.453125" style="22" bestFit="1" customWidth="1"/>
    <col min="5898" max="5898" width="4" style="22" customWidth="1"/>
    <col min="5899" max="6126" width="11.453125" style="22"/>
    <col min="6127" max="6127" width="14.81640625" style="22" bestFit="1" customWidth="1"/>
    <col min="6128" max="6128" width="28" style="22" bestFit="1" customWidth="1"/>
    <col min="6129" max="6129" width="4.453125" style="22" bestFit="1" customWidth="1"/>
    <col min="6130" max="6130" width="8" style="22" bestFit="1" customWidth="1"/>
    <col min="6131" max="6131" width="11.453125" style="22"/>
    <col min="6132" max="6132" width="22.81640625" style="22" bestFit="1" customWidth="1"/>
    <col min="6133" max="6133" width="7" style="22" customWidth="1"/>
    <col min="6134" max="6134" width="6.26953125" style="22" customWidth="1"/>
    <col min="6135" max="6135" width="5.7265625" style="22" customWidth="1"/>
    <col min="6136" max="6136" width="5.7265625" style="22" bestFit="1" customWidth="1"/>
    <col min="6137" max="6137" width="5.81640625" style="22" bestFit="1" customWidth="1"/>
    <col min="6138" max="6138" width="9.453125" style="22" customWidth="1"/>
    <col min="6139" max="6139" width="5.1796875" style="22" customWidth="1"/>
    <col min="6140" max="6140" width="9.7265625" style="22" customWidth="1"/>
    <col min="6141" max="6141" width="6.7265625" style="22" bestFit="1" customWidth="1"/>
    <col min="6142" max="6142" width="4.81640625" style="22" customWidth="1"/>
    <col min="6143" max="6143" width="5.26953125" style="22" customWidth="1"/>
    <col min="6144" max="6145" width="4.453125" style="22" bestFit="1" customWidth="1"/>
    <col min="6146" max="6146" width="13.26953125" style="22" bestFit="1" customWidth="1"/>
    <col min="6147" max="6147" width="3.1796875" style="22" customWidth="1"/>
    <col min="6148" max="6148" width="5.453125" style="22" bestFit="1" customWidth="1"/>
    <col min="6149" max="6149" width="4.453125" style="22" bestFit="1" customWidth="1"/>
    <col min="6150" max="6150" width="6.453125" style="22" customWidth="1"/>
    <col min="6151" max="6151" width="5" style="22" bestFit="1" customWidth="1"/>
    <col min="6152" max="6152" width="4.54296875" style="22" bestFit="1" customWidth="1"/>
    <col min="6153" max="6153" width="4.453125" style="22" bestFit="1" customWidth="1"/>
    <col min="6154" max="6154" width="4" style="22" customWidth="1"/>
    <col min="6155" max="6382" width="11.453125" style="22"/>
    <col min="6383" max="6383" width="14.81640625" style="22" bestFit="1" customWidth="1"/>
    <col min="6384" max="6384" width="28" style="22" bestFit="1" customWidth="1"/>
    <col min="6385" max="6385" width="4.453125" style="22" bestFit="1" customWidth="1"/>
    <col min="6386" max="6386" width="8" style="22" bestFit="1" customWidth="1"/>
    <col min="6387" max="6387" width="11.453125" style="22"/>
    <col min="6388" max="6388" width="22.81640625" style="22" bestFit="1" customWidth="1"/>
    <col min="6389" max="6389" width="7" style="22" customWidth="1"/>
    <col min="6390" max="6390" width="6.26953125" style="22" customWidth="1"/>
    <col min="6391" max="6391" width="5.7265625" style="22" customWidth="1"/>
    <col min="6392" max="6392" width="5.7265625" style="22" bestFit="1" customWidth="1"/>
    <col min="6393" max="6393" width="5.81640625" style="22" bestFit="1" customWidth="1"/>
    <col min="6394" max="6394" width="9.453125" style="22" customWidth="1"/>
    <col min="6395" max="6395" width="5.1796875" style="22" customWidth="1"/>
    <col min="6396" max="6396" width="9.7265625" style="22" customWidth="1"/>
    <col min="6397" max="6397" width="6.7265625" style="22" bestFit="1" customWidth="1"/>
    <col min="6398" max="6398" width="4.81640625" style="22" customWidth="1"/>
    <col min="6399" max="6399" width="5.26953125" style="22" customWidth="1"/>
    <col min="6400" max="6401" width="4.453125" style="22" bestFit="1" customWidth="1"/>
    <col min="6402" max="6402" width="13.26953125" style="22" bestFit="1" customWidth="1"/>
    <col min="6403" max="6403" width="3.1796875" style="22" customWidth="1"/>
    <col min="6404" max="6404" width="5.453125" style="22" bestFit="1" customWidth="1"/>
    <col min="6405" max="6405" width="4.453125" style="22" bestFit="1" customWidth="1"/>
    <col min="6406" max="6406" width="6.453125" style="22" customWidth="1"/>
    <col min="6407" max="6407" width="5" style="22" bestFit="1" customWidth="1"/>
    <col min="6408" max="6408" width="4.54296875" style="22" bestFit="1" customWidth="1"/>
    <col min="6409" max="6409" width="4.453125" style="22" bestFit="1" customWidth="1"/>
    <col min="6410" max="6410" width="4" style="22" customWidth="1"/>
    <col min="6411" max="6638" width="11.453125" style="22"/>
    <col min="6639" max="6639" width="14.81640625" style="22" bestFit="1" customWidth="1"/>
    <col min="6640" max="6640" width="28" style="22" bestFit="1" customWidth="1"/>
    <col min="6641" max="6641" width="4.453125" style="22" bestFit="1" customWidth="1"/>
    <col min="6642" max="6642" width="8" style="22" bestFit="1" customWidth="1"/>
    <col min="6643" max="6643" width="11.453125" style="22"/>
    <col min="6644" max="6644" width="22.81640625" style="22" bestFit="1" customWidth="1"/>
    <col min="6645" max="6645" width="7" style="22" customWidth="1"/>
    <col min="6646" max="6646" width="6.26953125" style="22" customWidth="1"/>
    <col min="6647" max="6647" width="5.7265625" style="22" customWidth="1"/>
    <col min="6648" max="6648" width="5.7265625" style="22" bestFit="1" customWidth="1"/>
    <col min="6649" max="6649" width="5.81640625" style="22" bestFit="1" customWidth="1"/>
    <col min="6650" max="6650" width="9.453125" style="22" customWidth="1"/>
    <col min="6651" max="6651" width="5.1796875" style="22" customWidth="1"/>
    <col min="6652" max="6652" width="9.7265625" style="22" customWidth="1"/>
    <col min="6653" max="6653" width="6.7265625" style="22" bestFit="1" customWidth="1"/>
    <col min="6654" max="6654" width="4.81640625" style="22" customWidth="1"/>
    <col min="6655" max="6655" width="5.26953125" style="22" customWidth="1"/>
    <col min="6656" max="6657" width="4.453125" style="22" bestFit="1" customWidth="1"/>
    <col min="6658" max="6658" width="13.26953125" style="22" bestFit="1" customWidth="1"/>
    <col min="6659" max="6659" width="3.1796875" style="22" customWidth="1"/>
    <col min="6660" max="6660" width="5.453125" style="22" bestFit="1" customWidth="1"/>
    <col min="6661" max="6661" width="4.453125" style="22" bestFit="1" customWidth="1"/>
    <col min="6662" max="6662" width="6.453125" style="22" customWidth="1"/>
    <col min="6663" max="6663" width="5" style="22" bestFit="1" customWidth="1"/>
    <col min="6664" max="6664" width="4.54296875" style="22" bestFit="1" customWidth="1"/>
    <col min="6665" max="6665" width="4.453125" style="22" bestFit="1" customWidth="1"/>
    <col min="6666" max="6666" width="4" style="22" customWidth="1"/>
    <col min="6667" max="6894" width="11.453125" style="22"/>
    <col min="6895" max="6895" width="14.81640625" style="22" bestFit="1" customWidth="1"/>
    <col min="6896" max="6896" width="28" style="22" bestFit="1" customWidth="1"/>
    <col min="6897" max="6897" width="4.453125" style="22" bestFit="1" customWidth="1"/>
    <col min="6898" max="6898" width="8" style="22" bestFit="1" customWidth="1"/>
    <col min="6899" max="6899" width="11.453125" style="22"/>
    <col min="6900" max="6900" width="22.81640625" style="22" bestFit="1" customWidth="1"/>
    <col min="6901" max="6901" width="7" style="22" customWidth="1"/>
    <col min="6902" max="6902" width="6.26953125" style="22" customWidth="1"/>
    <col min="6903" max="6903" width="5.7265625" style="22" customWidth="1"/>
    <col min="6904" max="6904" width="5.7265625" style="22" bestFit="1" customWidth="1"/>
    <col min="6905" max="6905" width="5.81640625" style="22" bestFit="1" customWidth="1"/>
    <col min="6906" max="6906" width="9.453125" style="22" customWidth="1"/>
    <col min="6907" max="6907" width="5.1796875" style="22" customWidth="1"/>
    <col min="6908" max="6908" width="9.7265625" style="22" customWidth="1"/>
    <col min="6909" max="6909" width="6.7265625" style="22" bestFit="1" customWidth="1"/>
    <col min="6910" max="6910" width="4.81640625" style="22" customWidth="1"/>
    <col min="6911" max="6911" width="5.26953125" style="22" customWidth="1"/>
    <col min="6912" max="6913" width="4.453125" style="22" bestFit="1" customWidth="1"/>
    <col min="6914" max="6914" width="13.26953125" style="22" bestFit="1" customWidth="1"/>
    <col min="6915" max="6915" width="3.1796875" style="22" customWidth="1"/>
    <col min="6916" max="6916" width="5.453125" style="22" bestFit="1" customWidth="1"/>
    <col min="6917" max="6917" width="4.453125" style="22" bestFit="1" customWidth="1"/>
    <col min="6918" max="6918" width="6.453125" style="22" customWidth="1"/>
    <col min="6919" max="6919" width="5" style="22" bestFit="1" customWidth="1"/>
    <col min="6920" max="6920" width="4.54296875" style="22" bestFit="1" customWidth="1"/>
    <col min="6921" max="6921" width="4.453125" style="22" bestFit="1" customWidth="1"/>
    <col min="6922" max="6922" width="4" style="22" customWidth="1"/>
    <col min="6923" max="7150" width="11.453125" style="22"/>
    <col min="7151" max="7151" width="14.81640625" style="22" bestFit="1" customWidth="1"/>
    <col min="7152" max="7152" width="28" style="22" bestFit="1" customWidth="1"/>
    <col min="7153" max="7153" width="4.453125" style="22" bestFit="1" customWidth="1"/>
    <col min="7154" max="7154" width="8" style="22" bestFit="1" customWidth="1"/>
    <col min="7155" max="7155" width="11.453125" style="22"/>
    <col min="7156" max="7156" width="22.81640625" style="22" bestFit="1" customWidth="1"/>
    <col min="7157" max="7157" width="7" style="22" customWidth="1"/>
    <col min="7158" max="7158" width="6.26953125" style="22" customWidth="1"/>
    <col min="7159" max="7159" width="5.7265625" style="22" customWidth="1"/>
    <col min="7160" max="7160" width="5.7265625" style="22" bestFit="1" customWidth="1"/>
    <col min="7161" max="7161" width="5.81640625" style="22" bestFit="1" customWidth="1"/>
    <col min="7162" max="7162" width="9.453125" style="22" customWidth="1"/>
    <col min="7163" max="7163" width="5.1796875" style="22" customWidth="1"/>
    <col min="7164" max="7164" width="9.7265625" style="22" customWidth="1"/>
    <col min="7165" max="7165" width="6.7265625" style="22" bestFit="1" customWidth="1"/>
    <col min="7166" max="7166" width="4.81640625" style="22" customWidth="1"/>
    <col min="7167" max="7167" width="5.26953125" style="22" customWidth="1"/>
    <col min="7168" max="7169" width="4.453125" style="22" bestFit="1" customWidth="1"/>
    <col min="7170" max="7170" width="13.26953125" style="22" bestFit="1" customWidth="1"/>
    <col min="7171" max="7171" width="3.1796875" style="22" customWidth="1"/>
    <col min="7172" max="7172" width="5.453125" style="22" bestFit="1" customWidth="1"/>
    <col min="7173" max="7173" width="4.453125" style="22" bestFit="1" customWidth="1"/>
    <col min="7174" max="7174" width="6.453125" style="22" customWidth="1"/>
    <col min="7175" max="7175" width="5" style="22" bestFit="1" customWidth="1"/>
    <col min="7176" max="7176" width="4.54296875" style="22" bestFit="1" customWidth="1"/>
    <col min="7177" max="7177" width="4.453125" style="22" bestFit="1" customWidth="1"/>
    <col min="7178" max="7178" width="4" style="22" customWidth="1"/>
    <col min="7179" max="7406" width="11.453125" style="22"/>
    <col min="7407" max="7407" width="14.81640625" style="22" bestFit="1" customWidth="1"/>
    <col min="7408" max="7408" width="28" style="22" bestFit="1" customWidth="1"/>
    <col min="7409" max="7409" width="4.453125" style="22" bestFit="1" customWidth="1"/>
    <col min="7410" max="7410" width="8" style="22" bestFit="1" customWidth="1"/>
    <col min="7411" max="7411" width="11.453125" style="22"/>
    <col min="7412" max="7412" width="22.81640625" style="22" bestFit="1" customWidth="1"/>
    <col min="7413" max="7413" width="7" style="22" customWidth="1"/>
    <col min="7414" max="7414" width="6.26953125" style="22" customWidth="1"/>
    <col min="7415" max="7415" width="5.7265625" style="22" customWidth="1"/>
    <col min="7416" max="7416" width="5.7265625" style="22" bestFit="1" customWidth="1"/>
    <col min="7417" max="7417" width="5.81640625" style="22" bestFit="1" customWidth="1"/>
    <col min="7418" max="7418" width="9.453125" style="22" customWidth="1"/>
    <col min="7419" max="7419" width="5.1796875" style="22" customWidth="1"/>
    <col min="7420" max="7420" width="9.7265625" style="22" customWidth="1"/>
    <col min="7421" max="7421" width="6.7265625" style="22" bestFit="1" customWidth="1"/>
    <col min="7422" max="7422" width="4.81640625" style="22" customWidth="1"/>
    <col min="7423" max="7423" width="5.26953125" style="22" customWidth="1"/>
    <col min="7424" max="7425" width="4.453125" style="22" bestFit="1" customWidth="1"/>
    <col min="7426" max="7426" width="13.26953125" style="22" bestFit="1" customWidth="1"/>
    <col min="7427" max="7427" width="3.1796875" style="22" customWidth="1"/>
    <col min="7428" max="7428" width="5.453125" style="22" bestFit="1" customWidth="1"/>
    <col min="7429" max="7429" width="4.453125" style="22" bestFit="1" customWidth="1"/>
    <col min="7430" max="7430" width="6.453125" style="22" customWidth="1"/>
    <col min="7431" max="7431" width="5" style="22" bestFit="1" customWidth="1"/>
    <col min="7432" max="7432" width="4.54296875" style="22" bestFit="1" customWidth="1"/>
    <col min="7433" max="7433" width="4.453125" style="22" bestFit="1" customWidth="1"/>
    <col min="7434" max="7434" width="4" style="22" customWidth="1"/>
    <col min="7435" max="7662" width="11.453125" style="22"/>
    <col min="7663" max="7663" width="14.81640625" style="22" bestFit="1" customWidth="1"/>
    <col min="7664" max="7664" width="28" style="22" bestFit="1" customWidth="1"/>
    <col min="7665" max="7665" width="4.453125" style="22" bestFit="1" customWidth="1"/>
    <col min="7666" max="7666" width="8" style="22" bestFit="1" customWidth="1"/>
    <col min="7667" max="7667" width="11.453125" style="22"/>
    <col min="7668" max="7668" width="22.81640625" style="22" bestFit="1" customWidth="1"/>
    <col min="7669" max="7669" width="7" style="22" customWidth="1"/>
    <col min="7670" max="7670" width="6.26953125" style="22" customWidth="1"/>
    <col min="7671" max="7671" width="5.7265625" style="22" customWidth="1"/>
    <col min="7672" max="7672" width="5.7265625" style="22" bestFit="1" customWidth="1"/>
    <col min="7673" max="7673" width="5.81640625" style="22" bestFit="1" customWidth="1"/>
    <col min="7674" max="7674" width="9.453125" style="22" customWidth="1"/>
    <col min="7675" max="7675" width="5.1796875" style="22" customWidth="1"/>
    <col min="7676" max="7676" width="9.7265625" style="22" customWidth="1"/>
    <col min="7677" max="7677" width="6.7265625" style="22" bestFit="1" customWidth="1"/>
    <col min="7678" max="7678" width="4.81640625" style="22" customWidth="1"/>
    <col min="7679" max="7679" width="5.26953125" style="22" customWidth="1"/>
    <col min="7680" max="7681" width="4.453125" style="22" bestFit="1" customWidth="1"/>
    <col min="7682" max="7682" width="13.26953125" style="22" bestFit="1" customWidth="1"/>
    <col min="7683" max="7683" width="3.1796875" style="22" customWidth="1"/>
    <col min="7684" max="7684" width="5.453125" style="22" bestFit="1" customWidth="1"/>
    <col min="7685" max="7685" width="4.453125" style="22" bestFit="1" customWidth="1"/>
    <col min="7686" max="7686" width="6.453125" style="22" customWidth="1"/>
    <col min="7687" max="7687" width="5" style="22" bestFit="1" customWidth="1"/>
    <col min="7688" max="7688" width="4.54296875" style="22" bestFit="1" customWidth="1"/>
    <col min="7689" max="7689" width="4.453125" style="22" bestFit="1" customWidth="1"/>
    <col min="7690" max="7690" width="4" style="22" customWidth="1"/>
    <col min="7691" max="7918" width="11.453125" style="22"/>
    <col min="7919" max="7919" width="14.81640625" style="22" bestFit="1" customWidth="1"/>
    <col min="7920" max="7920" width="28" style="22" bestFit="1" customWidth="1"/>
    <col min="7921" max="7921" width="4.453125" style="22" bestFit="1" customWidth="1"/>
    <col min="7922" max="7922" width="8" style="22" bestFit="1" customWidth="1"/>
    <col min="7923" max="7923" width="11.453125" style="22"/>
    <col min="7924" max="7924" width="22.81640625" style="22" bestFit="1" customWidth="1"/>
    <col min="7925" max="7925" width="7" style="22" customWidth="1"/>
    <col min="7926" max="7926" width="6.26953125" style="22" customWidth="1"/>
    <col min="7927" max="7927" width="5.7265625" style="22" customWidth="1"/>
    <col min="7928" max="7928" width="5.7265625" style="22" bestFit="1" customWidth="1"/>
    <col min="7929" max="7929" width="5.81640625" style="22" bestFit="1" customWidth="1"/>
    <col min="7930" max="7930" width="9.453125" style="22" customWidth="1"/>
    <col min="7931" max="7931" width="5.1796875" style="22" customWidth="1"/>
    <col min="7932" max="7932" width="9.7265625" style="22" customWidth="1"/>
    <col min="7933" max="7933" width="6.7265625" style="22" bestFit="1" customWidth="1"/>
    <col min="7934" max="7934" width="4.81640625" style="22" customWidth="1"/>
    <col min="7935" max="7935" width="5.26953125" style="22" customWidth="1"/>
    <col min="7936" max="7937" width="4.453125" style="22" bestFit="1" customWidth="1"/>
    <col min="7938" max="7938" width="13.26953125" style="22" bestFit="1" customWidth="1"/>
    <col min="7939" max="7939" width="3.1796875" style="22" customWidth="1"/>
    <col min="7940" max="7940" width="5.453125" style="22" bestFit="1" customWidth="1"/>
    <col min="7941" max="7941" width="4.453125" style="22" bestFit="1" customWidth="1"/>
    <col min="7942" max="7942" width="6.453125" style="22" customWidth="1"/>
    <col min="7943" max="7943" width="5" style="22" bestFit="1" customWidth="1"/>
    <col min="7944" max="7944" width="4.54296875" style="22" bestFit="1" customWidth="1"/>
    <col min="7945" max="7945" width="4.453125" style="22" bestFit="1" customWidth="1"/>
    <col min="7946" max="7946" width="4" style="22" customWidth="1"/>
    <col min="7947" max="8174" width="11.453125" style="22"/>
    <col min="8175" max="8175" width="14.81640625" style="22" bestFit="1" customWidth="1"/>
    <col min="8176" max="8176" width="28" style="22" bestFit="1" customWidth="1"/>
    <col min="8177" max="8177" width="4.453125" style="22" bestFit="1" customWidth="1"/>
    <col min="8178" max="8178" width="8" style="22" bestFit="1" customWidth="1"/>
    <col min="8179" max="8179" width="11.453125" style="22"/>
    <col min="8180" max="8180" width="22.81640625" style="22" bestFit="1" customWidth="1"/>
    <col min="8181" max="8181" width="7" style="22" customWidth="1"/>
    <col min="8182" max="8182" width="6.26953125" style="22" customWidth="1"/>
    <col min="8183" max="8183" width="5.7265625" style="22" customWidth="1"/>
    <col min="8184" max="8184" width="5.7265625" style="22" bestFit="1" customWidth="1"/>
    <col min="8185" max="8185" width="5.81640625" style="22" bestFit="1" customWidth="1"/>
    <col min="8186" max="8186" width="9.453125" style="22" customWidth="1"/>
    <col min="8187" max="8187" width="5.1796875" style="22" customWidth="1"/>
    <col min="8188" max="8188" width="9.7265625" style="22" customWidth="1"/>
    <col min="8189" max="8189" width="6.7265625" style="22" bestFit="1" customWidth="1"/>
    <col min="8190" max="8190" width="4.81640625" style="22" customWidth="1"/>
    <col min="8191" max="8191" width="5.26953125" style="22" customWidth="1"/>
    <col min="8192" max="8193" width="4.453125" style="22" bestFit="1" customWidth="1"/>
    <col min="8194" max="8194" width="13.26953125" style="22" bestFit="1" customWidth="1"/>
    <col min="8195" max="8195" width="3.1796875" style="22" customWidth="1"/>
    <col min="8196" max="8196" width="5.453125" style="22" bestFit="1" customWidth="1"/>
    <col min="8197" max="8197" width="4.453125" style="22" bestFit="1" customWidth="1"/>
    <col min="8198" max="8198" width="6.453125" style="22" customWidth="1"/>
    <col min="8199" max="8199" width="5" style="22" bestFit="1" customWidth="1"/>
    <col min="8200" max="8200" width="4.54296875" style="22" bestFit="1" customWidth="1"/>
    <col min="8201" max="8201" width="4.453125" style="22" bestFit="1" customWidth="1"/>
    <col min="8202" max="8202" width="4" style="22" customWidth="1"/>
    <col min="8203" max="8430" width="11.453125" style="22"/>
    <col min="8431" max="8431" width="14.81640625" style="22" bestFit="1" customWidth="1"/>
    <col min="8432" max="8432" width="28" style="22" bestFit="1" customWidth="1"/>
    <col min="8433" max="8433" width="4.453125" style="22" bestFit="1" customWidth="1"/>
    <col min="8434" max="8434" width="8" style="22" bestFit="1" customWidth="1"/>
    <col min="8435" max="8435" width="11.453125" style="22"/>
    <col min="8436" max="8436" width="22.81640625" style="22" bestFit="1" customWidth="1"/>
    <col min="8437" max="8437" width="7" style="22" customWidth="1"/>
    <col min="8438" max="8438" width="6.26953125" style="22" customWidth="1"/>
    <col min="8439" max="8439" width="5.7265625" style="22" customWidth="1"/>
    <col min="8440" max="8440" width="5.7265625" style="22" bestFit="1" customWidth="1"/>
    <col min="8441" max="8441" width="5.81640625" style="22" bestFit="1" customWidth="1"/>
    <col min="8442" max="8442" width="9.453125" style="22" customWidth="1"/>
    <col min="8443" max="8443" width="5.1796875" style="22" customWidth="1"/>
    <col min="8444" max="8444" width="9.7265625" style="22" customWidth="1"/>
    <col min="8445" max="8445" width="6.7265625" style="22" bestFit="1" customWidth="1"/>
    <col min="8446" max="8446" width="4.81640625" style="22" customWidth="1"/>
    <col min="8447" max="8447" width="5.26953125" style="22" customWidth="1"/>
    <col min="8448" max="8449" width="4.453125" style="22" bestFit="1" customWidth="1"/>
    <col min="8450" max="8450" width="13.26953125" style="22" bestFit="1" customWidth="1"/>
    <col min="8451" max="8451" width="3.1796875" style="22" customWidth="1"/>
    <col min="8452" max="8452" width="5.453125" style="22" bestFit="1" customWidth="1"/>
    <col min="8453" max="8453" width="4.453125" style="22" bestFit="1" customWidth="1"/>
    <col min="8454" max="8454" width="6.453125" style="22" customWidth="1"/>
    <col min="8455" max="8455" width="5" style="22" bestFit="1" customWidth="1"/>
    <col min="8456" max="8456" width="4.54296875" style="22" bestFit="1" customWidth="1"/>
    <col min="8457" max="8457" width="4.453125" style="22" bestFit="1" customWidth="1"/>
    <col min="8458" max="8458" width="4" style="22" customWidth="1"/>
    <col min="8459" max="8686" width="11.453125" style="22"/>
    <col min="8687" max="8687" width="14.81640625" style="22" bestFit="1" customWidth="1"/>
    <col min="8688" max="8688" width="28" style="22" bestFit="1" customWidth="1"/>
    <col min="8689" max="8689" width="4.453125" style="22" bestFit="1" customWidth="1"/>
    <col min="8690" max="8690" width="8" style="22" bestFit="1" customWidth="1"/>
    <col min="8691" max="8691" width="11.453125" style="22"/>
    <col min="8692" max="8692" width="22.81640625" style="22" bestFit="1" customWidth="1"/>
    <col min="8693" max="8693" width="7" style="22" customWidth="1"/>
    <col min="8694" max="8694" width="6.26953125" style="22" customWidth="1"/>
    <col min="8695" max="8695" width="5.7265625" style="22" customWidth="1"/>
    <col min="8696" max="8696" width="5.7265625" style="22" bestFit="1" customWidth="1"/>
    <col min="8697" max="8697" width="5.81640625" style="22" bestFit="1" customWidth="1"/>
    <col min="8698" max="8698" width="9.453125" style="22" customWidth="1"/>
    <col min="8699" max="8699" width="5.1796875" style="22" customWidth="1"/>
    <col min="8700" max="8700" width="9.7265625" style="22" customWidth="1"/>
    <col min="8701" max="8701" width="6.7265625" style="22" bestFit="1" customWidth="1"/>
    <col min="8702" max="8702" width="4.81640625" style="22" customWidth="1"/>
    <col min="8703" max="8703" width="5.26953125" style="22" customWidth="1"/>
    <col min="8704" max="8705" width="4.453125" style="22" bestFit="1" customWidth="1"/>
    <col min="8706" max="8706" width="13.26953125" style="22" bestFit="1" customWidth="1"/>
    <col min="8707" max="8707" width="3.1796875" style="22" customWidth="1"/>
    <col min="8708" max="8708" width="5.453125" style="22" bestFit="1" customWidth="1"/>
    <col min="8709" max="8709" width="4.453125" style="22" bestFit="1" customWidth="1"/>
    <col min="8710" max="8710" width="6.453125" style="22" customWidth="1"/>
    <col min="8711" max="8711" width="5" style="22" bestFit="1" customWidth="1"/>
    <col min="8712" max="8712" width="4.54296875" style="22" bestFit="1" customWidth="1"/>
    <col min="8713" max="8713" width="4.453125" style="22" bestFit="1" customWidth="1"/>
    <col min="8714" max="8714" width="4" style="22" customWidth="1"/>
    <col min="8715" max="8942" width="11.453125" style="22"/>
    <col min="8943" max="8943" width="14.81640625" style="22" bestFit="1" customWidth="1"/>
    <col min="8944" max="8944" width="28" style="22" bestFit="1" customWidth="1"/>
    <col min="8945" max="8945" width="4.453125" style="22" bestFit="1" customWidth="1"/>
    <col min="8946" max="8946" width="8" style="22" bestFit="1" customWidth="1"/>
    <col min="8947" max="8947" width="11.453125" style="22"/>
    <col min="8948" max="8948" width="22.81640625" style="22" bestFit="1" customWidth="1"/>
    <col min="8949" max="8949" width="7" style="22" customWidth="1"/>
    <col min="8950" max="8950" width="6.26953125" style="22" customWidth="1"/>
    <col min="8951" max="8951" width="5.7265625" style="22" customWidth="1"/>
    <col min="8952" max="8952" width="5.7265625" style="22" bestFit="1" customWidth="1"/>
    <col min="8953" max="8953" width="5.81640625" style="22" bestFit="1" customWidth="1"/>
    <col min="8954" max="8954" width="9.453125" style="22" customWidth="1"/>
    <col min="8955" max="8955" width="5.1796875" style="22" customWidth="1"/>
    <col min="8956" max="8956" width="9.7265625" style="22" customWidth="1"/>
    <col min="8957" max="8957" width="6.7265625" style="22" bestFit="1" customWidth="1"/>
    <col min="8958" max="8958" width="4.81640625" style="22" customWidth="1"/>
    <col min="8959" max="8959" width="5.26953125" style="22" customWidth="1"/>
    <col min="8960" max="8961" width="4.453125" style="22" bestFit="1" customWidth="1"/>
    <col min="8962" max="8962" width="13.26953125" style="22" bestFit="1" customWidth="1"/>
    <col min="8963" max="8963" width="3.1796875" style="22" customWidth="1"/>
    <col min="8964" max="8964" width="5.453125" style="22" bestFit="1" customWidth="1"/>
    <col min="8965" max="8965" width="4.453125" style="22" bestFit="1" customWidth="1"/>
    <col min="8966" max="8966" width="6.453125" style="22" customWidth="1"/>
    <col min="8967" max="8967" width="5" style="22" bestFit="1" customWidth="1"/>
    <col min="8968" max="8968" width="4.54296875" style="22" bestFit="1" customWidth="1"/>
    <col min="8969" max="8969" width="4.453125" style="22" bestFit="1" customWidth="1"/>
    <col min="8970" max="8970" width="4" style="22" customWidth="1"/>
    <col min="8971" max="9198" width="11.453125" style="22"/>
    <col min="9199" max="9199" width="14.81640625" style="22" bestFit="1" customWidth="1"/>
    <col min="9200" max="9200" width="28" style="22" bestFit="1" customWidth="1"/>
    <col min="9201" max="9201" width="4.453125" style="22" bestFit="1" customWidth="1"/>
    <col min="9202" max="9202" width="8" style="22" bestFit="1" customWidth="1"/>
    <col min="9203" max="9203" width="11.453125" style="22"/>
    <col min="9204" max="9204" width="22.81640625" style="22" bestFit="1" customWidth="1"/>
    <col min="9205" max="9205" width="7" style="22" customWidth="1"/>
    <col min="9206" max="9206" width="6.26953125" style="22" customWidth="1"/>
    <col min="9207" max="9207" width="5.7265625" style="22" customWidth="1"/>
    <col min="9208" max="9208" width="5.7265625" style="22" bestFit="1" customWidth="1"/>
    <col min="9209" max="9209" width="5.81640625" style="22" bestFit="1" customWidth="1"/>
    <col min="9210" max="9210" width="9.453125" style="22" customWidth="1"/>
    <col min="9211" max="9211" width="5.1796875" style="22" customWidth="1"/>
    <col min="9212" max="9212" width="9.7265625" style="22" customWidth="1"/>
    <col min="9213" max="9213" width="6.7265625" style="22" bestFit="1" customWidth="1"/>
    <col min="9214" max="9214" width="4.81640625" style="22" customWidth="1"/>
    <col min="9215" max="9215" width="5.26953125" style="22" customWidth="1"/>
    <col min="9216" max="9217" width="4.453125" style="22" bestFit="1" customWidth="1"/>
    <col min="9218" max="9218" width="13.26953125" style="22" bestFit="1" customWidth="1"/>
    <col min="9219" max="9219" width="3.1796875" style="22" customWidth="1"/>
    <col min="9220" max="9220" width="5.453125" style="22" bestFit="1" customWidth="1"/>
    <col min="9221" max="9221" width="4.453125" style="22" bestFit="1" customWidth="1"/>
    <col min="9222" max="9222" width="6.453125" style="22" customWidth="1"/>
    <col min="9223" max="9223" width="5" style="22" bestFit="1" customWidth="1"/>
    <col min="9224" max="9224" width="4.54296875" style="22" bestFit="1" customWidth="1"/>
    <col min="9225" max="9225" width="4.453125" style="22" bestFit="1" customWidth="1"/>
    <col min="9226" max="9226" width="4" style="22" customWidth="1"/>
    <col min="9227" max="9454" width="11.453125" style="22"/>
    <col min="9455" max="9455" width="14.81640625" style="22" bestFit="1" customWidth="1"/>
    <col min="9456" max="9456" width="28" style="22" bestFit="1" customWidth="1"/>
    <col min="9457" max="9457" width="4.453125" style="22" bestFit="1" customWidth="1"/>
    <col min="9458" max="9458" width="8" style="22" bestFit="1" customWidth="1"/>
    <col min="9459" max="9459" width="11.453125" style="22"/>
    <col min="9460" max="9460" width="22.81640625" style="22" bestFit="1" customWidth="1"/>
    <col min="9461" max="9461" width="7" style="22" customWidth="1"/>
    <col min="9462" max="9462" width="6.26953125" style="22" customWidth="1"/>
    <col min="9463" max="9463" width="5.7265625" style="22" customWidth="1"/>
    <col min="9464" max="9464" width="5.7265625" style="22" bestFit="1" customWidth="1"/>
    <col min="9465" max="9465" width="5.81640625" style="22" bestFit="1" customWidth="1"/>
    <col min="9466" max="9466" width="9.453125" style="22" customWidth="1"/>
    <col min="9467" max="9467" width="5.1796875" style="22" customWidth="1"/>
    <col min="9468" max="9468" width="9.7265625" style="22" customWidth="1"/>
    <col min="9469" max="9469" width="6.7265625" style="22" bestFit="1" customWidth="1"/>
    <col min="9470" max="9470" width="4.81640625" style="22" customWidth="1"/>
    <col min="9471" max="9471" width="5.26953125" style="22" customWidth="1"/>
    <col min="9472" max="9473" width="4.453125" style="22" bestFit="1" customWidth="1"/>
    <col min="9474" max="9474" width="13.26953125" style="22" bestFit="1" customWidth="1"/>
    <col min="9475" max="9475" width="3.1796875" style="22" customWidth="1"/>
    <col min="9476" max="9476" width="5.453125" style="22" bestFit="1" customWidth="1"/>
    <col min="9477" max="9477" width="4.453125" style="22" bestFit="1" customWidth="1"/>
    <col min="9478" max="9478" width="6.453125" style="22" customWidth="1"/>
    <col min="9479" max="9479" width="5" style="22" bestFit="1" customWidth="1"/>
    <col min="9480" max="9480" width="4.54296875" style="22" bestFit="1" customWidth="1"/>
    <col min="9481" max="9481" width="4.453125" style="22" bestFit="1" customWidth="1"/>
    <col min="9482" max="9482" width="4" style="22" customWidth="1"/>
    <col min="9483" max="9710" width="11.453125" style="22"/>
    <col min="9711" max="9711" width="14.81640625" style="22" bestFit="1" customWidth="1"/>
    <col min="9712" max="9712" width="28" style="22" bestFit="1" customWidth="1"/>
    <col min="9713" max="9713" width="4.453125" style="22" bestFit="1" customWidth="1"/>
    <col min="9714" max="9714" width="8" style="22" bestFit="1" customWidth="1"/>
    <col min="9715" max="9715" width="11.453125" style="22"/>
    <col min="9716" max="9716" width="22.81640625" style="22" bestFit="1" customWidth="1"/>
    <col min="9717" max="9717" width="7" style="22" customWidth="1"/>
    <col min="9718" max="9718" width="6.26953125" style="22" customWidth="1"/>
    <col min="9719" max="9719" width="5.7265625" style="22" customWidth="1"/>
    <col min="9720" max="9720" width="5.7265625" style="22" bestFit="1" customWidth="1"/>
    <col min="9721" max="9721" width="5.81640625" style="22" bestFit="1" customWidth="1"/>
    <col min="9722" max="9722" width="9.453125" style="22" customWidth="1"/>
    <col min="9723" max="9723" width="5.1796875" style="22" customWidth="1"/>
    <col min="9724" max="9724" width="9.7265625" style="22" customWidth="1"/>
    <col min="9725" max="9725" width="6.7265625" style="22" bestFit="1" customWidth="1"/>
    <col min="9726" max="9726" width="4.81640625" style="22" customWidth="1"/>
    <col min="9727" max="9727" width="5.26953125" style="22" customWidth="1"/>
    <col min="9728" max="9729" width="4.453125" style="22" bestFit="1" customWidth="1"/>
    <col min="9730" max="9730" width="13.26953125" style="22" bestFit="1" customWidth="1"/>
    <col min="9731" max="9731" width="3.1796875" style="22" customWidth="1"/>
    <col min="9732" max="9732" width="5.453125" style="22" bestFit="1" customWidth="1"/>
    <col min="9733" max="9733" width="4.453125" style="22" bestFit="1" customWidth="1"/>
    <col min="9734" max="9734" width="6.453125" style="22" customWidth="1"/>
    <col min="9735" max="9735" width="5" style="22" bestFit="1" customWidth="1"/>
    <col min="9736" max="9736" width="4.54296875" style="22" bestFit="1" customWidth="1"/>
    <col min="9737" max="9737" width="4.453125" style="22" bestFit="1" customWidth="1"/>
    <col min="9738" max="9738" width="4" style="22" customWidth="1"/>
    <col min="9739" max="9966" width="11.453125" style="22"/>
    <col min="9967" max="9967" width="14.81640625" style="22" bestFit="1" customWidth="1"/>
    <col min="9968" max="9968" width="28" style="22" bestFit="1" customWidth="1"/>
    <col min="9969" max="9969" width="4.453125" style="22" bestFit="1" customWidth="1"/>
    <col min="9970" max="9970" width="8" style="22" bestFit="1" customWidth="1"/>
    <col min="9971" max="9971" width="11.453125" style="22"/>
    <col min="9972" max="9972" width="22.81640625" style="22" bestFit="1" customWidth="1"/>
    <col min="9973" max="9973" width="7" style="22" customWidth="1"/>
    <col min="9974" max="9974" width="6.26953125" style="22" customWidth="1"/>
    <col min="9975" max="9975" width="5.7265625" style="22" customWidth="1"/>
    <col min="9976" max="9976" width="5.7265625" style="22" bestFit="1" customWidth="1"/>
    <col min="9977" max="9977" width="5.81640625" style="22" bestFit="1" customWidth="1"/>
    <col min="9978" max="9978" width="9.453125" style="22" customWidth="1"/>
    <col min="9979" max="9979" width="5.1796875" style="22" customWidth="1"/>
    <col min="9980" max="9980" width="9.7265625" style="22" customWidth="1"/>
    <col min="9981" max="9981" width="6.7265625" style="22" bestFit="1" customWidth="1"/>
    <col min="9982" max="9982" width="4.81640625" style="22" customWidth="1"/>
    <col min="9983" max="9983" width="5.26953125" style="22" customWidth="1"/>
    <col min="9984" max="9985" width="4.453125" style="22" bestFit="1" customWidth="1"/>
    <col min="9986" max="9986" width="13.26953125" style="22" bestFit="1" customWidth="1"/>
    <col min="9987" max="9987" width="3.1796875" style="22" customWidth="1"/>
    <col min="9988" max="9988" width="5.453125" style="22" bestFit="1" customWidth="1"/>
    <col min="9989" max="9989" width="4.453125" style="22" bestFit="1" customWidth="1"/>
    <col min="9990" max="9990" width="6.453125" style="22" customWidth="1"/>
    <col min="9991" max="9991" width="5" style="22" bestFit="1" customWidth="1"/>
    <col min="9992" max="9992" width="4.54296875" style="22" bestFit="1" customWidth="1"/>
    <col min="9993" max="9993" width="4.453125" style="22" bestFit="1" customWidth="1"/>
    <col min="9994" max="9994" width="4" style="22" customWidth="1"/>
    <col min="9995" max="10222" width="11.453125" style="22"/>
    <col min="10223" max="10223" width="14.81640625" style="22" bestFit="1" customWidth="1"/>
    <col min="10224" max="10224" width="28" style="22" bestFit="1" customWidth="1"/>
    <col min="10225" max="10225" width="4.453125" style="22" bestFit="1" customWidth="1"/>
    <col min="10226" max="10226" width="8" style="22" bestFit="1" customWidth="1"/>
    <col min="10227" max="10227" width="11.453125" style="22"/>
    <col min="10228" max="10228" width="22.81640625" style="22" bestFit="1" customWidth="1"/>
    <col min="10229" max="10229" width="7" style="22" customWidth="1"/>
    <col min="10230" max="10230" width="6.26953125" style="22" customWidth="1"/>
    <col min="10231" max="10231" width="5.7265625" style="22" customWidth="1"/>
    <col min="10232" max="10232" width="5.7265625" style="22" bestFit="1" customWidth="1"/>
    <col min="10233" max="10233" width="5.81640625" style="22" bestFit="1" customWidth="1"/>
    <col min="10234" max="10234" width="9.453125" style="22" customWidth="1"/>
    <col min="10235" max="10235" width="5.1796875" style="22" customWidth="1"/>
    <col min="10236" max="10236" width="9.7265625" style="22" customWidth="1"/>
    <col min="10237" max="10237" width="6.7265625" style="22" bestFit="1" customWidth="1"/>
    <col min="10238" max="10238" width="4.81640625" style="22" customWidth="1"/>
    <col min="10239" max="10239" width="5.26953125" style="22" customWidth="1"/>
    <col min="10240" max="10241" width="4.453125" style="22" bestFit="1" customWidth="1"/>
    <col min="10242" max="10242" width="13.26953125" style="22" bestFit="1" customWidth="1"/>
    <col min="10243" max="10243" width="3.1796875" style="22" customWidth="1"/>
    <col min="10244" max="10244" width="5.453125" style="22" bestFit="1" customWidth="1"/>
    <col min="10245" max="10245" width="4.453125" style="22" bestFit="1" customWidth="1"/>
    <col min="10246" max="10246" width="6.453125" style="22" customWidth="1"/>
    <col min="10247" max="10247" width="5" style="22" bestFit="1" customWidth="1"/>
    <col min="10248" max="10248" width="4.54296875" style="22" bestFit="1" customWidth="1"/>
    <col min="10249" max="10249" width="4.453125" style="22" bestFit="1" customWidth="1"/>
    <col min="10250" max="10250" width="4" style="22" customWidth="1"/>
    <col min="10251" max="10478" width="11.453125" style="22"/>
    <col min="10479" max="10479" width="14.81640625" style="22" bestFit="1" customWidth="1"/>
    <col min="10480" max="10480" width="28" style="22" bestFit="1" customWidth="1"/>
    <col min="10481" max="10481" width="4.453125" style="22" bestFit="1" customWidth="1"/>
    <col min="10482" max="10482" width="8" style="22" bestFit="1" customWidth="1"/>
    <col min="10483" max="10483" width="11.453125" style="22"/>
    <col min="10484" max="10484" width="22.81640625" style="22" bestFit="1" customWidth="1"/>
    <col min="10485" max="10485" width="7" style="22" customWidth="1"/>
    <col min="10486" max="10486" width="6.26953125" style="22" customWidth="1"/>
    <col min="10487" max="10487" width="5.7265625" style="22" customWidth="1"/>
    <col min="10488" max="10488" width="5.7265625" style="22" bestFit="1" customWidth="1"/>
    <col min="10489" max="10489" width="5.81640625" style="22" bestFit="1" customWidth="1"/>
    <col min="10490" max="10490" width="9.453125" style="22" customWidth="1"/>
    <col min="10491" max="10491" width="5.1796875" style="22" customWidth="1"/>
    <col min="10492" max="10492" width="9.7265625" style="22" customWidth="1"/>
    <col min="10493" max="10493" width="6.7265625" style="22" bestFit="1" customWidth="1"/>
    <col min="10494" max="10494" width="4.81640625" style="22" customWidth="1"/>
    <col min="10495" max="10495" width="5.26953125" style="22" customWidth="1"/>
    <col min="10496" max="10497" width="4.453125" style="22" bestFit="1" customWidth="1"/>
    <col min="10498" max="10498" width="13.26953125" style="22" bestFit="1" customWidth="1"/>
    <col min="10499" max="10499" width="3.1796875" style="22" customWidth="1"/>
    <col min="10500" max="10500" width="5.453125" style="22" bestFit="1" customWidth="1"/>
    <col min="10501" max="10501" width="4.453125" style="22" bestFit="1" customWidth="1"/>
    <col min="10502" max="10502" width="6.453125" style="22" customWidth="1"/>
    <col min="10503" max="10503" width="5" style="22" bestFit="1" customWidth="1"/>
    <col min="10504" max="10504" width="4.54296875" style="22" bestFit="1" customWidth="1"/>
    <col min="10505" max="10505" width="4.453125" style="22" bestFit="1" customWidth="1"/>
    <col min="10506" max="10506" width="4" style="22" customWidth="1"/>
    <col min="10507" max="10734" width="11.453125" style="22"/>
    <col min="10735" max="10735" width="14.81640625" style="22" bestFit="1" customWidth="1"/>
    <col min="10736" max="10736" width="28" style="22" bestFit="1" customWidth="1"/>
    <col min="10737" max="10737" width="4.453125" style="22" bestFit="1" customWidth="1"/>
    <col min="10738" max="10738" width="8" style="22" bestFit="1" customWidth="1"/>
    <col min="10739" max="10739" width="11.453125" style="22"/>
    <col min="10740" max="10740" width="22.81640625" style="22" bestFit="1" customWidth="1"/>
    <col min="10741" max="10741" width="7" style="22" customWidth="1"/>
    <col min="10742" max="10742" width="6.26953125" style="22" customWidth="1"/>
    <col min="10743" max="10743" width="5.7265625" style="22" customWidth="1"/>
    <col min="10744" max="10744" width="5.7265625" style="22" bestFit="1" customWidth="1"/>
    <col min="10745" max="10745" width="5.81640625" style="22" bestFit="1" customWidth="1"/>
    <col min="10746" max="10746" width="9.453125" style="22" customWidth="1"/>
    <col min="10747" max="10747" width="5.1796875" style="22" customWidth="1"/>
    <col min="10748" max="10748" width="9.7265625" style="22" customWidth="1"/>
    <col min="10749" max="10749" width="6.7265625" style="22" bestFit="1" customWidth="1"/>
    <col min="10750" max="10750" width="4.81640625" style="22" customWidth="1"/>
    <col min="10751" max="10751" width="5.26953125" style="22" customWidth="1"/>
    <col min="10752" max="10753" width="4.453125" style="22" bestFit="1" customWidth="1"/>
    <col min="10754" max="10754" width="13.26953125" style="22" bestFit="1" customWidth="1"/>
    <col min="10755" max="10755" width="3.1796875" style="22" customWidth="1"/>
    <col min="10756" max="10756" width="5.453125" style="22" bestFit="1" customWidth="1"/>
    <col min="10757" max="10757" width="4.453125" style="22" bestFit="1" customWidth="1"/>
    <col min="10758" max="10758" width="6.453125" style="22" customWidth="1"/>
    <col min="10759" max="10759" width="5" style="22" bestFit="1" customWidth="1"/>
    <col min="10760" max="10760" width="4.54296875" style="22" bestFit="1" customWidth="1"/>
    <col min="10761" max="10761" width="4.453125" style="22" bestFit="1" customWidth="1"/>
    <col min="10762" max="10762" width="4" style="22" customWidth="1"/>
    <col min="10763" max="10990" width="11.453125" style="22"/>
    <col min="10991" max="10991" width="14.81640625" style="22" bestFit="1" customWidth="1"/>
    <col min="10992" max="10992" width="28" style="22" bestFit="1" customWidth="1"/>
    <col min="10993" max="10993" width="4.453125" style="22" bestFit="1" customWidth="1"/>
    <col min="10994" max="10994" width="8" style="22" bestFit="1" customWidth="1"/>
    <col min="10995" max="10995" width="11.453125" style="22"/>
    <col min="10996" max="10996" width="22.81640625" style="22" bestFit="1" customWidth="1"/>
    <col min="10997" max="10997" width="7" style="22" customWidth="1"/>
    <col min="10998" max="10998" width="6.26953125" style="22" customWidth="1"/>
    <col min="10999" max="10999" width="5.7265625" style="22" customWidth="1"/>
    <col min="11000" max="11000" width="5.7265625" style="22" bestFit="1" customWidth="1"/>
    <col min="11001" max="11001" width="5.81640625" style="22" bestFit="1" customWidth="1"/>
    <col min="11002" max="11002" width="9.453125" style="22" customWidth="1"/>
    <col min="11003" max="11003" width="5.1796875" style="22" customWidth="1"/>
    <col min="11004" max="11004" width="9.7265625" style="22" customWidth="1"/>
    <col min="11005" max="11005" width="6.7265625" style="22" bestFit="1" customWidth="1"/>
    <col min="11006" max="11006" width="4.81640625" style="22" customWidth="1"/>
    <col min="11007" max="11007" width="5.26953125" style="22" customWidth="1"/>
    <col min="11008" max="11009" width="4.453125" style="22" bestFit="1" customWidth="1"/>
    <col min="11010" max="11010" width="13.26953125" style="22" bestFit="1" customWidth="1"/>
    <col min="11011" max="11011" width="3.1796875" style="22" customWidth="1"/>
    <col min="11012" max="11012" width="5.453125" style="22" bestFit="1" customWidth="1"/>
    <col min="11013" max="11013" width="4.453125" style="22" bestFit="1" customWidth="1"/>
    <col min="11014" max="11014" width="6.453125" style="22" customWidth="1"/>
    <col min="11015" max="11015" width="5" style="22" bestFit="1" customWidth="1"/>
    <col min="11016" max="11016" width="4.54296875" style="22" bestFit="1" customWidth="1"/>
    <col min="11017" max="11017" width="4.453125" style="22" bestFit="1" customWidth="1"/>
    <col min="11018" max="11018" width="4" style="22" customWidth="1"/>
    <col min="11019" max="11246" width="11.453125" style="22"/>
    <col min="11247" max="11247" width="14.81640625" style="22" bestFit="1" customWidth="1"/>
    <col min="11248" max="11248" width="28" style="22" bestFit="1" customWidth="1"/>
    <col min="11249" max="11249" width="4.453125" style="22" bestFit="1" customWidth="1"/>
    <col min="11250" max="11250" width="8" style="22" bestFit="1" customWidth="1"/>
    <col min="11251" max="11251" width="11.453125" style="22"/>
    <col min="11252" max="11252" width="22.81640625" style="22" bestFit="1" customWidth="1"/>
    <col min="11253" max="11253" width="7" style="22" customWidth="1"/>
    <col min="11254" max="11254" width="6.26953125" style="22" customWidth="1"/>
    <col min="11255" max="11255" width="5.7265625" style="22" customWidth="1"/>
    <col min="11256" max="11256" width="5.7265625" style="22" bestFit="1" customWidth="1"/>
    <col min="11257" max="11257" width="5.81640625" style="22" bestFit="1" customWidth="1"/>
    <col min="11258" max="11258" width="9.453125" style="22" customWidth="1"/>
    <col min="11259" max="11259" width="5.1796875" style="22" customWidth="1"/>
    <col min="11260" max="11260" width="9.7265625" style="22" customWidth="1"/>
    <col min="11261" max="11261" width="6.7265625" style="22" bestFit="1" customWidth="1"/>
    <col min="11262" max="11262" width="4.81640625" style="22" customWidth="1"/>
    <col min="11263" max="11263" width="5.26953125" style="22" customWidth="1"/>
    <col min="11264" max="11265" width="4.453125" style="22" bestFit="1" customWidth="1"/>
    <col min="11266" max="11266" width="13.26953125" style="22" bestFit="1" customWidth="1"/>
    <col min="11267" max="11267" width="3.1796875" style="22" customWidth="1"/>
    <col min="11268" max="11268" width="5.453125" style="22" bestFit="1" customWidth="1"/>
    <col min="11269" max="11269" width="4.453125" style="22" bestFit="1" customWidth="1"/>
    <col min="11270" max="11270" width="6.453125" style="22" customWidth="1"/>
    <col min="11271" max="11271" width="5" style="22" bestFit="1" customWidth="1"/>
    <col min="11272" max="11272" width="4.54296875" style="22" bestFit="1" customWidth="1"/>
    <col min="11273" max="11273" width="4.453125" style="22" bestFit="1" customWidth="1"/>
    <col min="11274" max="11274" width="4" style="22" customWidth="1"/>
    <col min="11275" max="11502" width="11.453125" style="22"/>
    <col min="11503" max="11503" width="14.81640625" style="22" bestFit="1" customWidth="1"/>
    <col min="11504" max="11504" width="28" style="22" bestFit="1" customWidth="1"/>
    <col min="11505" max="11505" width="4.453125" style="22" bestFit="1" customWidth="1"/>
    <col min="11506" max="11506" width="8" style="22" bestFit="1" customWidth="1"/>
    <col min="11507" max="11507" width="11.453125" style="22"/>
    <col min="11508" max="11508" width="22.81640625" style="22" bestFit="1" customWidth="1"/>
    <col min="11509" max="11509" width="7" style="22" customWidth="1"/>
    <col min="11510" max="11510" width="6.26953125" style="22" customWidth="1"/>
    <col min="11511" max="11511" width="5.7265625" style="22" customWidth="1"/>
    <col min="11512" max="11512" width="5.7265625" style="22" bestFit="1" customWidth="1"/>
    <col min="11513" max="11513" width="5.81640625" style="22" bestFit="1" customWidth="1"/>
    <col min="11514" max="11514" width="9.453125" style="22" customWidth="1"/>
    <col min="11515" max="11515" width="5.1796875" style="22" customWidth="1"/>
    <col min="11516" max="11516" width="9.7265625" style="22" customWidth="1"/>
    <col min="11517" max="11517" width="6.7265625" style="22" bestFit="1" customWidth="1"/>
    <col min="11518" max="11518" width="4.81640625" style="22" customWidth="1"/>
    <col min="11519" max="11519" width="5.26953125" style="22" customWidth="1"/>
    <col min="11520" max="11521" width="4.453125" style="22" bestFit="1" customWidth="1"/>
    <col min="11522" max="11522" width="13.26953125" style="22" bestFit="1" customWidth="1"/>
    <col min="11523" max="11523" width="3.1796875" style="22" customWidth="1"/>
    <col min="11524" max="11524" width="5.453125" style="22" bestFit="1" customWidth="1"/>
    <col min="11525" max="11525" width="4.453125" style="22" bestFit="1" customWidth="1"/>
    <col min="11526" max="11526" width="6.453125" style="22" customWidth="1"/>
    <col min="11527" max="11527" width="5" style="22" bestFit="1" customWidth="1"/>
    <col min="11528" max="11528" width="4.54296875" style="22" bestFit="1" customWidth="1"/>
    <col min="11529" max="11529" width="4.453125" style="22" bestFit="1" customWidth="1"/>
    <col min="11530" max="11530" width="4" style="22" customWidth="1"/>
    <col min="11531" max="11758" width="11.453125" style="22"/>
    <col min="11759" max="11759" width="14.81640625" style="22" bestFit="1" customWidth="1"/>
    <col min="11760" max="11760" width="28" style="22" bestFit="1" customWidth="1"/>
    <col min="11761" max="11761" width="4.453125" style="22" bestFit="1" customWidth="1"/>
    <col min="11762" max="11762" width="8" style="22" bestFit="1" customWidth="1"/>
    <col min="11763" max="11763" width="11.453125" style="22"/>
    <col min="11764" max="11764" width="22.81640625" style="22" bestFit="1" customWidth="1"/>
    <col min="11765" max="11765" width="7" style="22" customWidth="1"/>
    <col min="11766" max="11766" width="6.26953125" style="22" customWidth="1"/>
    <col min="11767" max="11767" width="5.7265625" style="22" customWidth="1"/>
    <col min="11768" max="11768" width="5.7265625" style="22" bestFit="1" customWidth="1"/>
    <col min="11769" max="11769" width="5.81640625" style="22" bestFit="1" customWidth="1"/>
    <col min="11770" max="11770" width="9.453125" style="22" customWidth="1"/>
    <col min="11771" max="11771" width="5.1796875" style="22" customWidth="1"/>
    <col min="11772" max="11772" width="9.7265625" style="22" customWidth="1"/>
    <col min="11773" max="11773" width="6.7265625" style="22" bestFit="1" customWidth="1"/>
    <col min="11774" max="11774" width="4.81640625" style="22" customWidth="1"/>
    <col min="11775" max="11775" width="5.26953125" style="22" customWidth="1"/>
    <col min="11776" max="11777" width="4.453125" style="22" bestFit="1" customWidth="1"/>
    <col min="11778" max="11778" width="13.26953125" style="22" bestFit="1" customWidth="1"/>
    <col min="11779" max="11779" width="3.1796875" style="22" customWidth="1"/>
    <col min="11780" max="11780" width="5.453125" style="22" bestFit="1" customWidth="1"/>
    <col min="11781" max="11781" width="4.453125" style="22" bestFit="1" customWidth="1"/>
    <col min="11782" max="11782" width="6.453125" style="22" customWidth="1"/>
    <col min="11783" max="11783" width="5" style="22" bestFit="1" customWidth="1"/>
    <col min="11784" max="11784" width="4.54296875" style="22" bestFit="1" customWidth="1"/>
    <col min="11785" max="11785" width="4.453125" style="22" bestFit="1" customWidth="1"/>
    <col min="11786" max="11786" width="4" style="22" customWidth="1"/>
    <col min="11787" max="12014" width="11.453125" style="22"/>
    <col min="12015" max="12015" width="14.81640625" style="22" bestFit="1" customWidth="1"/>
    <col min="12016" max="12016" width="28" style="22" bestFit="1" customWidth="1"/>
    <col min="12017" max="12017" width="4.453125" style="22" bestFit="1" customWidth="1"/>
    <col min="12018" max="12018" width="8" style="22" bestFit="1" customWidth="1"/>
    <col min="12019" max="12019" width="11.453125" style="22"/>
    <col min="12020" max="12020" width="22.81640625" style="22" bestFit="1" customWidth="1"/>
    <col min="12021" max="12021" width="7" style="22" customWidth="1"/>
    <col min="12022" max="12022" width="6.26953125" style="22" customWidth="1"/>
    <col min="12023" max="12023" width="5.7265625" style="22" customWidth="1"/>
    <col min="12024" max="12024" width="5.7265625" style="22" bestFit="1" customWidth="1"/>
    <col min="12025" max="12025" width="5.81640625" style="22" bestFit="1" customWidth="1"/>
    <col min="12026" max="12026" width="9.453125" style="22" customWidth="1"/>
    <col min="12027" max="12027" width="5.1796875" style="22" customWidth="1"/>
    <col min="12028" max="12028" width="9.7265625" style="22" customWidth="1"/>
    <col min="12029" max="12029" width="6.7265625" style="22" bestFit="1" customWidth="1"/>
    <col min="12030" max="12030" width="4.81640625" style="22" customWidth="1"/>
    <col min="12031" max="12031" width="5.26953125" style="22" customWidth="1"/>
    <col min="12032" max="12033" width="4.453125" style="22" bestFit="1" customWidth="1"/>
    <col min="12034" max="12034" width="13.26953125" style="22" bestFit="1" customWidth="1"/>
    <col min="12035" max="12035" width="3.1796875" style="22" customWidth="1"/>
    <col min="12036" max="12036" width="5.453125" style="22" bestFit="1" customWidth="1"/>
    <col min="12037" max="12037" width="4.453125" style="22" bestFit="1" customWidth="1"/>
    <col min="12038" max="12038" width="6.453125" style="22" customWidth="1"/>
    <col min="12039" max="12039" width="5" style="22" bestFit="1" customWidth="1"/>
    <col min="12040" max="12040" width="4.54296875" style="22" bestFit="1" customWidth="1"/>
    <col min="12041" max="12041" width="4.453125" style="22" bestFit="1" customWidth="1"/>
    <col min="12042" max="12042" width="4" style="22" customWidth="1"/>
    <col min="12043" max="12270" width="11.453125" style="22"/>
    <col min="12271" max="12271" width="14.81640625" style="22" bestFit="1" customWidth="1"/>
    <col min="12272" max="12272" width="28" style="22" bestFit="1" customWidth="1"/>
    <col min="12273" max="12273" width="4.453125" style="22" bestFit="1" customWidth="1"/>
    <col min="12274" max="12274" width="8" style="22" bestFit="1" customWidth="1"/>
    <col min="12275" max="12275" width="11.453125" style="22"/>
    <col min="12276" max="12276" width="22.81640625" style="22" bestFit="1" customWidth="1"/>
    <col min="12277" max="12277" width="7" style="22" customWidth="1"/>
    <col min="12278" max="12278" width="6.26953125" style="22" customWidth="1"/>
    <col min="12279" max="12279" width="5.7265625" style="22" customWidth="1"/>
    <col min="12280" max="12280" width="5.7265625" style="22" bestFit="1" customWidth="1"/>
    <col min="12281" max="12281" width="5.81640625" style="22" bestFit="1" customWidth="1"/>
    <col min="12282" max="12282" width="9.453125" style="22" customWidth="1"/>
    <col min="12283" max="12283" width="5.1796875" style="22" customWidth="1"/>
    <col min="12284" max="12284" width="9.7265625" style="22" customWidth="1"/>
    <col min="12285" max="12285" width="6.7265625" style="22" bestFit="1" customWidth="1"/>
    <col min="12286" max="12286" width="4.81640625" style="22" customWidth="1"/>
    <col min="12287" max="12287" width="5.26953125" style="22" customWidth="1"/>
    <col min="12288" max="12289" width="4.453125" style="22" bestFit="1" customWidth="1"/>
    <col min="12290" max="12290" width="13.26953125" style="22" bestFit="1" customWidth="1"/>
    <col min="12291" max="12291" width="3.1796875" style="22" customWidth="1"/>
    <col min="12292" max="12292" width="5.453125" style="22" bestFit="1" customWidth="1"/>
    <col min="12293" max="12293" width="4.453125" style="22" bestFit="1" customWidth="1"/>
    <col min="12294" max="12294" width="6.453125" style="22" customWidth="1"/>
    <col min="12295" max="12295" width="5" style="22" bestFit="1" customWidth="1"/>
    <col min="12296" max="12296" width="4.54296875" style="22" bestFit="1" customWidth="1"/>
    <col min="12297" max="12297" width="4.453125" style="22" bestFit="1" customWidth="1"/>
    <col min="12298" max="12298" width="4" style="22" customWidth="1"/>
    <col min="12299" max="12526" width="11.453125" style="22"/>
    <col min="12527" max="12527" width="14.81640625" style="22" bestFit="1" customWidth="1"/>
    <col min="12528" max="12528" width="28" style="22" bestFit="1" customWidth="1"/>
    <col min="12529" max="12529" width="4.453125" style="22" bestFit="1" customWidth="1"/>
    <col min="12530" max="12530" width="8" style="22" bestFit="1" customWidth="1"/>
    <col min="12531" max="12531" width="11.453125" style="22"/>
    <col min="12532" max="12532" width="22.81640625" style="22" bestFit="1" customWidth="1"/>
    <col min="12533" max="12533" width="7" style="22" customWidth="1"/>
    <col min="12534" max="12534" width="6.26953125" style="22" customWidth="1"/>
    <col min="12535" max="12535" width="5.7265625" style="22" customWidth="1"/>
    <col min="12536" max="12536" width="5.7265625" style="22" bestFit="1" customWidth="1"/>
    <col min="12537" max="12537" width="5.81640625" style="22" bestFit="1" customWidth="1"/>
    <col min="12538" max="12538" width="9.453125" style="22" customWidth="1"/>
    <col min="12539" max="12539" width="5.1796875" style="22" customWidth="1"/>
    <col min="12540" max="12540" width="9.7265625" style="22" customWidth="1"/>
    <col min="12541" max="12541" width="6.7265625" style="22" bestFit="1" customWidth="1"/>
    <col min="12542" max="12542" width="4.81640625" style="22" customWidth="1"/>
    <col min="12543" max="12543" width="5.26953125" style="22" customWidth="1"/>
    <col min="12544" max="12545" width="4.453125" style="22" bestFit="1" customWidth="1"/>
    <col min="12546" max="12546" width="13.26953125" style="22" bestFit="1" customWidth="1"/>
    <col min="12547" max="12547" width="3.1796875" style="22" customWidth="1"/>
    <col min="12548" max="12548" width="5.453125" style="22" bestFit="1" customWidth="1"/>
    <col min="12549" max="12549" width="4.453125" style="22" bestFit="1" customWidth="1"/>
    <col min="12550" max="12550" width="6.453125" style="22" customWidth="1"/>
    <col min="12551" max="12551" width="5" style="22" bestFit="1" customWidth="1"/>
    <col min="12552" max="12552" width="4.54296875" style="22" bestFit="1" customWidth="1"/>
    <col min="12553" max="12553" width="4.453125" style="22" bestFit="1" customWidth="1"/>
    <col min="12554" max="12554" width="4" style="22" customWidth="1"/>
    <col min="12555" max="12782" width="11.453125" style="22"/>
    <col min="12783" max="12783" width="14.81640625" style="22" bestFit="1" customWidth="1"/>
    <col min="12784" max="12784" width="28" style="22" bestFit="1" customWidth="1"/>
    <col min="12785" max="12785" width="4.453125" style="22" bestFit="1" customWidth="1"/>
    <col min="12786" max="12786" width="8" style="22" bestFit="1" customWidth="1"/>
    <col min="12787" max="12787" width="11.453125" style="22"/>
    <col min="12788" max="12788" width="22.81640625" style="22" bestFit="1" customWidth="1"/>
    <col min="12789" max="12789" width="7" style="22" customWidth="1"/>
    <col min="12790" max="12790" width="6.26953125" style="22" customWidth="1"/>
    <col min="12791" max="12791" width="5.7265625" style="22" customWidth="1"/>
    <col min="12792" max="12792" width="5.7265625" style="22" bestFit="1" customWidth="1"/>
    <col min="12793" max="12793" width="5.81640625" style="22" bestFit="1" customWidth="1"/>
    <col min="12794" max="12794" width="9.453125" style="22" customWidth="1"/>
    <col min="12795" max="12795" width="5.1796875" style="22" customWidth="1"/>
    <col min="12796" max="12796" width="9.7265625" style="22" customWidth="1"/>
    <col min="12797" max="12797" width="6.7265625" style="22" bestFit="1" customWidth="1"/>
    <col min="12798" max="12798" width="4.81640625" style="22" customWidth="1"/>
    <col min="12799" max="12799" width="5.26953125" style="22" customWidth="1"/>
    <col min="12800" max="12801" width="4.453125" style="22" bestFit="1" customWidth="1"/>
    <col min="12802" max="12802" width="13.26953125" style="22" bestFit="1" customWidth="1"/>
    <col min="12803" max="12803" width="3.1796875" style="22" customWidth="1"/>
    <col min="12804" max="12804" width="5.453125" style="22" bestFit="1" customWidth="1"/>
    <col min="12805" max="12805" width="4.453125" style="22" bestFit="1" customWidth="1"/>
    <col min="12806" max="12806" width="6.453125" style="22" customWidth="1"/>
    <col min="12807" max="12807" width="5" style="22" bestFit="1" customWidth="1"/>
    <col min="12808" max="12808" width="4.54296875" style="22" bestFit="1" customWidth="1"/>
    <col min="12809" max="12809" width="4.453125" style="22" bestFit="1" customWidth="1"/>
    <col min="12810" max="12810" width="4" style="22" customWidth="1"/>
    <col min="12811" max="13038" width="11.453125" style="22"/>
    <col min="13039" max="13039" width="14.81640625" style="22" bestFit="1" customWidth="1"/>
    <col min="13040" max="13040" width="28" style="22" bestFit="1" customWidth="1"/>
    <col min="13041" max="13041" width="4.453125" style="22" bestFit="1" customWidth="1"/>
    <col min="13042" max="13042" width="8" style="22" bestFit="1" customWidth="1"/>
    <col min="13043" max="13043" width="11.453125" style="22"/>
    <col min="13044" max="13044" width="22.81640625" style="22" bestFit="1" customWidth="1"/>
    <col min="13045" max="13045" width="7" style="22" customWidth="1"/>
    <col min="13046" max="13046" width="6.26953125" style="22" customWidth="1"/>
    <col min="13047" max="13047" width="5.7265625" style="22" customWidth="1"/>
    <col min="13048" max="13048" width="5.7265625" style="22" bestFit="1" customWidth="1"/>
    <col min="13049" max="13049" width="5.81640625" style="22" bestFit="1" customWidth="1"/>
    <col min="13050" max="13050" width="9.453125" style="22" customWidth="1"/>
    <col min="13051" max="13051" width="5.1796875" style="22" customWidth="1"/>
    <col min="13052" max="13052" width="9.7265625" style="22" customWidth="1"/>
    <col min="13053" max="13053" width="6.7265625" style="22" bestFit="1" customWidth="1"/>
    <col min="13054" max="13054" width="4.81640625" style="22" customWidth="1"/>
    <col min="13055" max="13055" width="5.26953125" style="22" customWidth="1"/>
    <col min="13056" max="13057" width="4.453125" style="22" bestFit="1" customWidth="1"/>
    <col min="13058" max="13058" width="13.26953125" style="22" bestFit="1" customWidth="1"/>
    <col min="13059" max="13059" width="3.1796875" style="22" customWidth="1"/>
    <col min="13060" max="13060" width="5.453125" style="22" bestFit="1" customWidth="1"/>
    <col min="13061" max="13061" width="4.453125" style="22" bestFit="1" customWidth="1"/>
    <col min="13062" max="13062" width="6.453125" style="22" customWidth="1"/>
    <col min="13063" max="13063" width="5" style="22" bestFit="1" customWidth="1"/>
    <col min="13064" max="13064" width="4.54296875" style="22" bestFit="1" customWidth="1"/>
    <col min="13065" max="13065" width="4.453125" style="22" bestFit="1" customWidth="1"/>
    <col min="13066" max="13066" width="4" style="22" customWidth="1"/>
    <col min="13067" max="13294" width="11.453125" style="22"/>
    <col min="13295" max="13295" width="14.81640625" style="22" bestFit="1" customWidth="1"/>
    <col min="13296" max="13296" width="28" style="22" bestFit="1" customWidth="1"/>
    <col min="13297" max="13297" width="4.453125" style="22" bestFit="1" customWidth="1"/>
    <col min="13298" max="13298" width="8" style="22" bestFit="1" customWidth="1"/>
    <col min="13299" max="13299" width="11.453125" style="22"/>
    <col min="13300" max="13300" width="22.81640625" style="22" bestFit="1" customWidth="1"/>
    <col min="13301" max="13301" width="7" style="22" customWidth="1"/>
    <col min="13302" max="13302" width="6.26953125" style="22" customWidth="1"/>
    <col min="13303" max="13303" width="5.7265625" style="22" customWidth="1"/>
    <col min="13304" max="13304" width="5.7265625" style="22" bestFit="1" customWidth="1"/>
    <col min="13305" max="13305" width="5.81640625" style="22" bestFit="1" customWidth="1"/>
    <col min="13306" max="13306" width="9.453125" style="22" customWidth="1"/>
    <col min="13307" max="13307" width="5.1796875" style="22" customWidth="1"/>
    <col min="13308" max="13308" width="9.7265625" style="22" customWidth="1"/>
    <col min="13309" max="13309" width="6.7265625" style="22" bestFit="1" customWidth="1"/>
    <col min="13310" max="13310" width="4.81640625" style="22" customWidth="1"/>
    <col min="13311" max="13311" width="5.26953125" style="22" customWidth="1"/>
    <col min="13312" max="13313" width="4.453125" style="22" bestFit="1" customWidth="1"/>
    <col min="13314" max="13314" width="13.26953125" style="22" bestFit="1" customWidth="1"/>
    <col min="13315" max="13315" width="3.1796875" style="22" customWidth="1"/>
    <col min="13316" max="13316" width="5.453125" style="22" bestFit="1" customWidth="1"/>
    <col min="13317" max="13317" width="4.453125" style="22" bestFit="1" customWidth="1"/>
    <col min="13318" max="13318" width="6.453125" style="22" customWidth="1"/>
    <col min="13319" max="13319" width="5" style="22" bestFit="1" customWidth="1"/>
    <col min="13320" max="13320" width="4.54296875" style="22" bestFit="1" customWidth="1"/>
    <col min="13321" max="13321" width="4.453125" style="22" bestFit="1" customWidth="1"/>
    <col min="13322" max="13322" width="4" style="22" customWidth="1"/>
    <col min="13323" max="13550" width="11.453125" style="22"/>
    <col min="13551" max="13551" width="14.81640625" style="22" bestFit="1" customWidth="1"/>
    <col min="13552" max="13552" width="28" style="22" bestFit="1" customWidth="1"/>
    <col min="13553" max="13553" width="4.453125" style="22" bestFit="1" customWidth="1"/>
    <col min="13554" max="13554" width="8" style="22" bestFit="1" customWidth="1"/>
    <col min="13555" max="13555" width="11.453125" style="22"/>
    <col min="13556" max="13556" width="22.81640625" style="22" bestFit="1" customWidth="1"/>
    <col min="13557" max="13557" width="7" style="22" customWidth="1"/>
    <col min="13558" max="13558" width="6.26953125" style="22" customWidth="1"/>
    <col min="13559" max="13559" width="5.7265625" style="22" customWidth="1"/>
    <col min="13560" max="13560" width="5.7265625" style="22" bestFit="1" customWidth="1"/>
    <col min="13561" max="13561" width="5.81640625" style="22" bestFit="1" customWidth="1"/>
    <col min="13562" max="13562" width="9.453125" style="22" customWidth="1"/>
    <col min="13563" max="13563" width="5.1796875" style="22" customWidth="1"/>
    <col min="13564" max="13564" width="9.7265625" style="22" customWidth="1"/>
    <col min="13565" max="13565" width="6.7265625" style="22" bestFit="1" customWidth="1"/>
    <col min="13566" max="13566" width="4.81640625" style="22" customWidth="1"/>
    <col min="13567" max="13567" width="5.26953125" style="22" customWidth="1"/>
    <col min="13568" max="13569" width="4.453125" style="22" bestFit="1" customWidth="1"/>
    <col min="13570" max="13570" width="13.26953125" style="22" bestFit="1" customWidth="1"/>
    <col min="13571" max="13571" width="3.1796875" style="22" customWidth="1"/>
    <col min="13572" max="13572" width="5.453125" style="22" bestFit="1" customWidth="1"/>
    <col min="13573" max="13573" width="4.453125" style="22" bestFit="1" customWidth="1"/>
    <col min="13574" max="13574" width="6.453125" style="22" customWidth="1"/>
    <col min="13575" max="13575" width="5" style="22" bestFit="1" customWidth="1"/>
    <col min="13576" max="13576" width="4.54296875" style="22" bestFit="1" customWidth="1"/>
    <col min="13577" max="13577" width="4.453125" style="22" bestFit="1" customWidth="1"/>
    <col min="13578" max="13578" width="4" style="22" customWidth="1"/>
    <col min="13579" max="13806" width="11.453125" style="22"/>
    <col min="13807" max="13807" width="14.81640625" style="22" bestFit="1" customWidth="1"/>
    <col min="13808" max="13808" width="28" style="22" bestFit="1" customWidth="1"/>
    <col min="13809" max="13809" width="4.453125" style="22" bestFit="1" customWidth="1"/>
    <col min="13810" max="13810" width="8" style="22" bestFit="1" customWidth="1"/>
    <col min="13811" max="13811" width="11.453125" style="22"/>
    <col min="13812" max="13812" width="22.81640625" style="22" bestFit="1" customWidth="1"/>
    <col min="13813" max="13813" width="7" style="22" customWidth="1"/>
    <col min="13814" max="13814" width="6.26953125" style="22" customWidth="1"/>
    <col min="13815" max="13815" width="5.7265625" style="22" customWidth="1"/>
    <col min="13816" max="13816" width="5.7265625" style="22" bestFit="1" customWidth="1"/>
    <col min="13817" max="13817" width="5.81640625" style="22" bestFit="1" customWidth="1"/>
    <col min="13818" max="13818" width="9.453125" style="22" customWidth="1"/>
    <col min="13819" max="13819" width="5.1796875" style="22" customWidth="1"/>
    <col min="13820" max="13820" width="9.7265625" style="22" customWidth="1"/>
    <col min="13821" max="13821" width="6.7265625" style="22" bestFit="1" customWidth="1"/>
    <col min="13822" max="13822" width="4.81640625" style="22" customWidth="1"/>
    <col min="13823" max="13823" width="5.26953125" style="22" customWidth="1"/>
    <col min="13824" max="13825" width="4.453125" style="22" bestFit="1" customWidth="1"/>
    <col min="13826" max="13826" width="13.26953125" style="22" bestFit="1" customWidth="1"/>
    <col min="13827" max="13827" width="3.1796875" style="22" customWidth="1"/>
    <col min="13828" max="13828" width="5.453125" style="22" bestFit="1" customWidth="1"/>
    <col min="13829" max="13829" width="4.453125" style="22" bestFit="1" customWidth="1"/>
    <col min="13830" max="13830" width="6.453125" style="22" customWidth="1"/>
    <col min="13831" max="13831" width="5" style="22" bestFit="1" customWidth="1"/>
    <col min="13832" max="13832" width="4.54296875" style="22" bestFit="1" customWidth="1"/>
    <col min="13833" max="13833" width="4.453125" style="22" bestFit="1" customWidth="1"/>
    <col min="13834" max="13834" width="4" style="22" customWidth="1"/>
    <col min="13835" max="14062" width="11.453125" style="22"/>
    <col min="14063" max="14063" width="14.81640625" style="22" bestFit="1" customWidth="1"/>
    <col min="14064" max="14064" width="28" style="22" bestFit="1" customWidth="1"/>
    <col min="14065" max="14065" width="4.453125" style="22" bestFit="1" customWidth="1"/>
    <col min="14066" max="14066" width="8" style="22" bestFit="1" customWidth="1"/>
    <col min="14067" max="14067" width="11.453125" style="22"/>
    <col min="14068" max="14068" width="22.81640625" style="22" bestFit="1" customWidth="1"/>
    <col min="14069" max="14069" width="7" style="22" customWidth="1"/>
    <col min="14070" max="14070" width="6.26953125" style="22" customWidth="1"/>
    <col min="14071" max="14071" width="5.7265625" style="22" customWidth="1"/>
    <col min="14072" max="14072" width="5.7265625" style="22" bestFit="1" customWidth="1"/>
    <col min="14073" max="14073" width="5.81640625" style="22" bestFit="1" customWidth="1"/>
    <col min="14074" max="14074" width="9.453125" style="22" customWidth="1"/>
    <col min="14075" max="14075" width="5.1796875" style="22" customWidth="1"/>
    <col min="14076" max="14076" width="9.7265625" style="22" customWidth="1"/>
    <col min="14077" max="14077" width="6.7265625" style="22" bestFit="1" customWidth="1"/>
    <col min="14078" max="14078" width="4.81640625" style="22" customWidth="1"/>
    <col min="14079" max="14079" width="5.26953125" style="22" customWidth="1"/>
    <col min="14080" max="14081" width="4.453125" style="22" bestFit="1" customWidth="1"/>
    <col min="14082" max="14082" width="13.26953125" style="22" bestFit="1" customWidth="1"/>
    <col min="14083" max="14083" width="3.1796875" style="22" customWidth="1"/>
    <col min="14084" max="14084" width="5.453125" style="22" bestFit="1" customWidth="1"/>
    <col min="14085" max="14085" width="4.453125" style="22" bestFit="1" customWidth="1"/>
    <col min="14086" max="14086" width="6.453125" style="22" customWidth="1"/>
    <col min="14087" max="14087" width="5" style="22" bestFit="1" customWidth="1"/>
    <col min="14088" max="14088" width="4.54296875" style="22" bestFit="1" customWidth="1"/>
    <col min="14089" max="14089" width="4.453125" style="22" bestFit="1" customWidth="1"/>
    <col min="14090" max="14090" width="4" style="22" customWidth="1"/>
    <col min="14091" max="14318" width="11.453125" style="22"/>
    <col min="14319" max="14319" width="14.81640625" style="22" bestFit="1" customWidth="1"/>
    <col min="14320" max="14320" width="28" style="22" bestFit="1" customWidth="1"/>
    <col min="14321" max="14321" width="4.453125" style="22" bestFit="1" customWidth="1"/>
    <col min="14322" max="14322" width="8" style="22" bestFit="1" customWidth="1"/>
    <col min="14323" max="14323" width="11.453125" style="22"/>
    <col min="14324" max="14324" width="22.81640625" style="22" bestFit="1" customWidth="1"/>
    <col min="14325" max="14325" width="7" style="22" customWidth="1"/>
    <col min="14326" max="14326" width="6.26953125" style="22" customWidth="1"/>
    <col min="14327" max="14327" width="5.7265625" style="22" customWidth="1"/>
    <col min="14328" max="14328" width="5.7265625" style="22" bestFit="1" customWidth="1"/>
    <col min="14329" max="14329" width="5.81640625" style="22" bestFit="1" customWidth="1"/>
    <col min="14330" max="14330" width="9.453125" style="22" customWidth="1"/>
    <col min="14331" max="14331" width="5.1796875" style="22" customWidth="1"/>
    <col min="14332" max="14332" width="9.7265625" style="22" customWidth="1"/>
    <col min="14333" max="14333" width="6.7265625" style="22" bestFit="1" customWidth="1"/>
    <col min="14334" max="14334" width="4.81640625" style="22" customWidth="1"/>
    <col min="14335" max="14335" width="5.26953125" style="22" customWidth="1"/>
    <col min="14336" max="14337" width="4.453125" style="22" bestFit="1" customWidth="1"/>
    <col min="14338" max="14338" width="13.26953125" style="22" bestFit="1" customWidth="1"/>
    <col min="14339" max="14339" width="3.1796875" style="22" customWidth="1"/>
    <col min="14340" max="14340" width="5.453125" style="22" bestFit="1" customWidth="1"/>
    <col min="14341" max="14341" width="4.453125" style="22" bestFit="1" customWidth="1"/>
    <col min="14342" max="14342" width="6.453125" style="22" customWidth="1"/>
    <col min="14343" max="14343" width="5" style="22" bestFit="1" customWidth="1"/>
    <col min="14344" max="14344" width="4.54296875" style="22" bestFit="1" customWidth="1"/>
    <col min="14345" max="14345" width="4.453125" style="22" bestFit="1" customWidth="1"/>
    <col min="14346" max="14346" width="4" style="22" customWidth="1"/>
    <col min="14347" max="14574" width="11.453125" style="22"/>
    <col min="14575" max="14575" width="14.81640625" style="22" bestFit="1" customWidth="1"/>
    <col min="14576" max="14576" width="28" style="22" bestFit="1" customWidth="1"/>
    <col min="14577" max="14577" width="4.453125" style="22" bestFit="1" customWidth="1"/>
    <col min="14578" max="14578" width="8" style="22" bestFit="1" customWidth="1"/>
    <col min="14579" max="14579" width="11.453125" style="22"/>
    <col min="14580" max="14580" width="22.81640625" style="22" bestFit="1" customWidth="1"/>
    <col min="14581" max="14581" width="7" style="22" customWidth="1"/>
    <col min="14582" max="14582" width="6.26953125" style="22" customWidth="1"/>
    <col min="14583" max="14583" width="5.7265625" style="22" customWidth="1"/>
    <col min="14584" max="14584" width="5.7265625" style="22" bestFit="1" customWidth="1"/>
    <col min="14585" max="14585" width="5.81640625" style="22" bestFit="1" customWidth="1"/>
    <col min="14586" max="14586" width="9.453125" style="22" customWidth="1"/>
    <col min="14587" max="14587" width="5.1796875" style="22" customWidth="1"/>
    <col min="14588" max="14588" width="9.7265625" style="22" customWidth="1"/>
    <col min="14589" max="14589" width="6.7265625" style="22" bestFit="1" customWidth="1"/>
    <col min="14590" max="14590" width="4.81640625" style="22" customWidth="1"/>
    <col min="14591" max="14591" width="5.26953125" style="22" customWidth="1"/>
    <col min="14592" max="14593" width="4.453125" style="22" bestFit="1" customWidth="1"/>
    <col min="14594" max="14594" width="13.26953125" style="22" bestFit="1" customWidth="1"/>
    <col min="14595" max="14595" width="3.1796875" style="22" customWidth="1"/>
    <col min="14596" max="14596" width="5.453125" style="22" bestFit="1" customWidth="1"/>
    <col min="14597" max="14597" width="4.453125" style="22" bestFit="1" customWidth="1"/>
    <col min="14598" max="14598" width="6.453125" style="22" customWidth="1"/>
    <col min="14599" max="14599" width="5" style="22" bestFit="1" customWidth="1"/>
    <col min="14600" max="14600" width="4.54296875" style="22" bestFit="1" customWidth="1"/>
    <col min="14601" max="14601" width="4.453125" style="22" bestFit="1" customWidth="1"/>
    <col min="14602" max="14602" width="4" style="22" customWidth="1"/>
    <col min="14603" max="14830" width="11.453125" style="22"/>
    <col min="14831" max="14831" width="14.81640625" style="22" bestFit="1" customWidth="1"/>
    <col min="14832" max="14832" width="28" style="22" bestFit="1" customWidth="1"/>
    <col min="14833" max="14833" width="4.453125" style="22" bestFit="1" customWidth="1"/>
    <col min="14834" max="14834" width="8" style="22" bestFit="1" customWidth="1"/>
    <col min="14835" max="14835" width="11.453125" style="22"/>
    <col min="14836" max="14836" width="22.81640625" style="22" bestFit="1" customWidth="1"/>
    <col min="14837" max="14837" width="7" style="22" customWidth="1"/>
    <col min="14838" max="14838" width="6.26953125" style="22" customWidth="1"/>
    <col min="14839" max="14839" width="5.7265625" style="22" customWidth="1"/>
    <col min="14840" max="14840" width="5.7265625" style="22" bestFit="1" customWidth="1"/>
    <col min="14841" max="14841" width="5.81640625" style="22" bestFit="1" customWidth="1"/>
    <col min="14842" max="14842" width="9.453125" style="22" customWidth="1"/>
    <col min="14843" max="14843" width="5.1796875" style="22" customWidth="1"/>
    <col min="14844" max="14844" width="9.7265625" style="22" customWidth="1"/>
    <col min="14845" max="14845" width="6.7265625" style="22" bestFit="1" customWidth="1"/>
    <col min="14846" max="14846" width="4.81640625" style="22" customWidth="1"/>
    <col min="14847" max="14847" width="5.26953125" style="22" customWidth="1"/>
    <col min="14848" max="14849" width="4.453125" style="22" bestFit="1" customWidth="1"/>
    <col min="14850" max="14850" width="13.26953125" style="22" bestFit="1" customWidth="1"/>
    <col min="14851" max="14851" width="3.1796875" style="22" customWidth="1"/>
    <col min="14852" max="14852" width="5.453125" style="22" bestFit="1" customWidth="1"/>
    <col min="14853" max="14853" width="4.453125" style="22" bestFit="1" customWidth="1"/>
    <col min="14854" max="14854" width="6.453125" style="22" customWidth="1"/>
    <col min="14855" max="14855" width="5" style="22" bestFit="1" customWidth="1"/>
    <col min="14856" max="14856" width="4.54296875" style="22" bestFit="1" customWidth="1"/>
    <col min="14857" max="14857" width="4.453125" style="22" bestFit="1" customWidth="1"/>
    <col min="14858" max="14858" width="4" style="22" customWidth="1"/>
    <col min="14859" max="15086" width="11.453125" style="22"/>
    <col min="15087" max="15087" width="14.81640625" style="22" bestFit="1" customWidth="1"/>
    <col min="15088" max="15088" width="28" style="22" bestFit="1" customWidth="1"/>
    <col min="15089" max="15089" width="4.453125" style="22" bestFit="1" customWidth="1"/>
    <col min="15090" max="15090" width="8" style="22" bestFit="1" customWidth="1"/>
    <col min="15091" max="15091" width="11.453125" style="22"/>
    <col min="15092" max="15092" width="22.81640625" style="22" bestFit="1" customWidth="1"/>
    <col min="15093" max="15093" width="7" style="22" customWidth="1"/>
    <col min="15094" max="15094" width="6.26953125" style="22" customWidth="1"/>
    <col min="15095" max="15095" width="5.7265625" style="22" customWidth="1"/>
    <col min="15096" max="15096" width="5.7265625" style="22" bestFit="1" customWidth="1"/>
    <col min="15097" max="15097" width="5.81640625" style="22" bestFit="1" customWidth="1"/>
    <col min="15098" max="15098" width="9.453125" style="22" customWidth="1"/>
    <col min="15099" max="15099" width="5.1796875" style="22" customWidth="1"/>
    <col min="15100" max="15100" width="9.7265625" style="22" customWidth="1"/>
    <col min="15101" max="15101" width="6.7265625" style="22" bestFit="1" customWidth="1"/>
    <col min="15102" max="15102" width="4.81640625" style="22" customWidth="1"/>
    <col min="15103" max="15103" width="5.26953125" style="22" customWidth="1"/>
    <col min="15104" max="15105" width="4.453125" style="22" bestFit="1" customWidth="1"/>
    <col min="15106" max="15106" width="13.26953125" style="22" bestFit="1" customWidth="1"/>
    <col min="15107" max="15107" width="3.1796875" style="22" customWidth="1"/>
    <col min="15108" max="15108" width="5.453125" style="22" bestFit="1" customWidth="1"/>
    <col min="15109" max="15109" width="4.453125" style="22" bestFit="1" customWidth="1"/>
    <col min="15110" max="15110" width="6.453125" style="22" customWidth="1"/>
    <col min="15111" max="15111" width="5" style="22" bestFit="1" customWidth="1"/>
    <col min="15112" max="15112" width="4.54296875" style="22" bestFit="1" customWidth="1"/>
    <col min="15113" max="15113" width="4.453125" style="22" bestFit="1" customWidth="1"/>
    <col min="15114" max="15114" width="4" style="22" customWidth="1"/>
    <col min="15115" max="15342" width="11.453125" style="22"/>
    <col min="15343" max="15343" width="14.81640625" style="22" bestFit="1" customWidth="1"/>
    <col min="15344" max="15344" width="28" style="22" bestFit="1" customWidth="1"/>
    <col min="15345" max="15345" width="4.453125" style="22" bestFit="1" customWidth="1"/>
    <col min="15346" max="15346" width="8" style="22" bestFit="1" customWidth="1"/>
    <col min="15347" max="15347" width="11.453125" style="22"/>
    <col min="15348" max="15348" width="22.81640625" style="22" bestFit="1" customWidth="1"/>
    <col min="15349" max="15349" width="7" style="22" customWidth="1"/>
    <col min="15350" max="15350" width="6.26953125" style="22" customWidth="1"/>
    <col min="15351" max="15351" width="5.7265625" style="22" customWidth="1"/>
    <col min="15352" max="15352" width="5.7265625" style="22" bestFit="1" customWidth="1"/>
    <col min="15353" max="15353" width="5.81640625" style="22" bestFit="1" customWidth="1"/>
    <col min="15354" max="15354" width="9.453125" style="22" customWidth="1"/>
    <col min="15355" max="15355" width="5.1796875" style="22" customWidth="1"/>
    <col min="15356" max="15356" width="9.7265625" style="22" customWidth="1"/>
    <col min="15357" max="15357" width="6.7265625" style="22" bestFit="1" customWidth="1"/>
    <col min="15358" max="15358" width="4.81640625" style="22" customWidth="1"/>
    <col min="15359" max="15359" width="5.26953125" style="22" customWidth="1"/>
    <col min="15360" max="15361" width="4.453125" style="22" bestFit="1" customWidth="1"/>
    <col min="15362" max="15362" width="13.26953125" style="22" bestFit="1" customWidth="1"/>
    <col min="15363" max="15363" width="3.1796875" style="22" customWidth="1"/>
    <col min="15364" max="15364" width="5.453125" style="22" bestFit="1" customWidth="1"/>
    <col min="15365" max="15365" width="4.453125" style="22" bestFit="1" customWidth="1"/>
    <col min="15366" max="15366" width="6.453125" style="22" customWidth="1"/>
    <col min="15367" max="15367" width="5" style="22" bestFit="1" customWidth="1"/>
    <col min="15368" max="15368" width="4.54296875" style="22" bestFit="1" customWidth="1"/>
    <col min="15369" max="15369" width="4.453125" style="22" bestFit="1" customWidth="1"/>
    <col min="15370" max="15370" width="4" style="22" customWidth="1"/>
    <col min="15371" max="15598" width="11.453125" style="22"/>
    <col min="15599" max="15599" width="14.81640625" style="22" bestFit="1" customWidth="1"/>
    <col min="15600" max="15600" width="28" style="22" bestFit="1" customWidth="1"/>
    <col min="15601" max="15601" width="4.453125" style="22" bestFit="1" customWidth="1"/>
    <col min="15602" max="15602" width="8" style="22" bestFit="1" customWidth="1"/>
    <col min="15603" max="15603" width="11.453125" style="22"/>
    <col min="15604" max="15604" width="22.81640625" style="22" bestFit="1" customWidth="1"/>
    <col min="15605" max="15605" width="7" style="22" customWidth="1"/>
    <col min="15606" max="15606" width="6.26953125" style="22" customWidth="1"/>
    <col min="15607" max="15607" width="5.7265625" style="22" customWidth="1"/>
    <col min="15608" max="15608" width="5.7265625" style="22" bestFit="1" customWidth="1"/>
    <col min="15609" max="15609" width="5.81640625" style="22" bestFit="1" customWidth="1"/>
    <col min="15610" max="15610" width="9.453125" style="22" customWidth="1"/>
    <col min="15611" max="15611" width="5.1796875" style="22" customWidth="1"/>
    <col min="15612" max="15612" width="9.7265625" style="22" customWidth="1"/>
    <col min="15613" max="15613" width="6.7265625" style="22" bestFit="1" customWidth="1"/>
    <col min="15614" max="15614" width="4.81640625" style="22" customWidth="1"/>
    <col min="15615" max="15615" width="5.26953125" style="22" customWidth="1"/>
    <col min="15616" max="15617" width="4.453125" style="22" bestFit="1" customWidth="1"/>
    <col min="15618" max="15618" width="13.26953125" style="22" bestFit="1" customWidth="1"/>
    <col min="15619" max="15619" width="3.1796875" style="22" customWidth="1"/>
    <col min="15620" max="15620" width="5.453125" style="22" bestFit="1" customWidth="1"/>
    <col min="15621" max="15621" width="4.453125" style="22" bestFit="1" customWidth="1"/>
    <col min="15622" max="15622" width="6.453125" style="22" customWidth="1"/>
    <col min="15623" max="15623" width="5" style="22" bestFit="1" customWidth="1"/>
    <col min="15624" max="15624" width="4.54296875" style="22" bestFit="1" customWidth="1"/>
    <col min="15625" max="15625" width="4.453125" style="22" bestFit="1" customWidth="1"/>
    <col min="15626" max="15626" width="4" style="22" customWidth="1"/>
    <col min="15627" max="15854" width="11.453125" style="22"/>
    <col min="15855" max="15855" width="14.81640625" style="22" bestFit="1" customWidth="1"/>
    <col min="15856" max="15856" width="28" style="22" bestFit="1" customWidth="1"/>
    <col min="15857" max="15857" width="4.453125" style="22" bestFit="1" customWidth="1"/>
    <col min="15858" max="15858" width="8" style="22" bestFit="1" customWidth="1"/>
    <col min="15859" max="15859" width="11.453125" style="22"/>
    <col min="15860" max="15860" width="22.81640625" style="22" bestFit="1" customWidth="1"/>
    <col min="15861" max="15861" width="7" style="22" customWidth="1"/>
    <col min="15862" max="15862" width="6.26953125" style="22" customWidth="1"/>
    <col min="15863" max="15863" width="5.7265625" style="22" customWidth="1"/>
    <col min="15864" max="15864" width="5.7265625" style="22" bestFit="1" customWidth="1"/>
    <col min="15865" max="15865" width="5.81640625" style="22" bestFit="1" customWidth="1"/>
    <col min="15866" max="15866" width="9.453125" style="22" customWidth="1"/>
    <col min="15867" max="15867" width="5.1796875" style="22" customWidth="1"/>
    <col min="15868" max="15868" width="9.7265625" style="22" customWidth="1"/>
    <col min="15869" max="15869" width="6.7265625" style="22" bestFit="1" customWidth="1"/>
    <col min="15870" max="15870" width="4.81640625" style="22" customWidth="1"/>
    <col min="15871" max="15871" width="5.26953125" style="22" customWidth="1"/>
    <col min="15872" max="15873" width="4.453125" style="22" bestFit="1" customWidth="1"/>
    <col min="15874" max="15874" width="13.26953125" style="22" bestFit="1" customWidth="1"/>
    <col min="15875" max="15875" width="3.1796875" style="22" customWidth="1"/>
    <col min="15876" max="15876" width="5.453125" style="22" bestFit="1" customWidth="1"/>
    <col min="15877" max="15877" width="4.453125" style="22" bestFit="1" customWidth="1"/>
    <col min="15878" max="15878" width="6.453125" style="22" customWidth="1"/>
    <col min="15879" max="15879" width="5" style="22" bestFit="1" customWidth="1"/>
    <col min="15880" max="15880" width="4.54296875" style="22" bestFit="1" customWidth="1"/>
    <col min="15881" max="15881" width="4.453125" style="22" bestFit="1" customWidth="1"/>
    <col min="15882" max="15882" width="4" style="22" customWidth="1"/>
    <col min="15883" max="16110" width="11.453125" style="22"/>
    <col min="16111" max="16111" width="14.81640625" style="22" bestFit="1" customWidth="1"/>
    <col min="16112" max="16112" width="28" style="22" bestFit="1" customWidth="1"/>
    <col min="16113" max="16113" width="4.453125" style="22" bestFit="1" customWidth="1"/>
    <col min="16114" max="16114" width="8" style="22" bestFit="1" customWidth="1"/>
    <col min="16115" max="16115" width="11.453125" style="22"/>
    <col min="16116" max="16116" width="22.81640625" style="22" bestFit="1" customWidth="1"/>
    <col min="16117" max="16117" width="7" style="22" customWidth="1"/>
    <col min="16118" max="16118" width="6.26953125" style="22" customWidth="1"/>
    <col min="16119" max="16119" width="5.7265625" style="22" customWidth="1"/>
    <col min="16120" max="16120" width="5.7265625" style="22" bestFit="1" customWidth="1"/>
    <col min="16121" max="16121" width="5.81640625" style="22" bestFit="1" customWidth="1"/>
    <col min="16122" max="16122" width="9.453125" style="22" customWidth="1"/>
    <col min="16123" max="16123" width="5.1796875" style="22" customWidth="1"/>
    <col min="16124" max="16124" width="9.7265625" style="22" customWidth="1"/>
    <col min="16125" max="16125" width="6.7265625" style="22" bestFit="1" customWidth="1"/>
    <col min="16126" max="16126" width="4.81640625" style="22" customWidth="1"/>
    <col min="16127" max="16127" width="5.26953125" style="22" customWidth="1"/>
    <col min="16128" max="16129" width="4.453125" style="22" bestFit="1" customWidth="1"/>
    <col min="16130" max="16130" width="13.26953125" style="22" bestFit="1" customWidth="1"/>
    <col min="16131" max="16131" width="3.1796875" style="22" customWidth="1"/>
    <col min="16132" max="16132" width="5.453125" style="22" bestFit="1" customWidth="1"/>
    <col min="16133" max="16133" width="4.453125" style="22" bestFit="1" customWidth="1"/>
    <col min="16134" max="16134" width="6.453125" style="22" customWidth="1"/>
    <col min="16135" max="16135" width="5" style="22" bestFit="1" customWidth="1"/>
    <col min="16136" max="16136" width="4.54296875" style="22" bestFit="1" customWidth="1"/>
    <col min="16137" max="16137" width="4.453125" style="22" bestFit="1" customWidth="1"/>
    <col min="16138" max="16138" width="4" style="22" customWidth="1"/>
    <col min="16139" max="16384" width="11.453125" style="22"/>
  </cols>
  <sheetData>
    <row r="1" spans="1:24">
      <c r="A1" s="1"/>
      <c r="B1" s="1"/>
      <c r="C1" s="811" t="s">
        <v>0</v>
      </c>
      <c r="D1" s="812"/>
      <c r="E1" s="812"/>
      <c r="F1" s="812"/>
      <c r="G1" s="812"/>
      <c r="H1" s="813"/>
      <c r="I1" s="294"/>
      <c r="J1" s="812" t="s">
        <v>1</v>
      </c>
      <c r="K1" s="812"/>
      <c r="L1" s="812"/>
      <c r="M1" s="812"/>
      <c r="N1" s="812"/>
      <c r="O1" s="812"/>
      <c r="P1" s="812"/>
      <c r="Q1" s="1"/>
    </row>
    <row r="2" spans="1:24" ht="15" customHeight="1">
      <c r="A2" s="1"/>
      <c r="B2" s="1"/>
      <c r="C2" s="814" t="s">
        <v>2</v>
      </c>
      <c r="D2" s="815"/>
      <c r="E2" s="784" t="s">
        <v>3</v>
      </c>
      <c r="F2" s="815"/>
      <c r="G2" s="815"/>
      <c r="H2" s="815"/>
      <c r="I2" s="3"/>
      <c r="J2" s="816" t="s">
        <v>4</v>
      </c>
      <c r="K2" s="787" t="s">
        <v>5</v>
      </c>
      <c r="L2" s="818"/>
      <c r="M2" s="818"/>
      <c r="N2" s="818"/>
      <c r="O2" s="818"/>
      <c r="P2" s="819"/>
      <c r="Q2" s="1"/>
      <c r="R2" s="108"/>
      <c r="S2" s="109"/>
      <c r="T2" s="108"/>
      <c r="U2" s="110" t="s">
        <v>90</v>
      </c>
      <c r="V2" s="109"/>
      <c r="W2" s="111"/>
    </row>
    <row r="3" spans="1:24" s="308" customFormat="1" ht="39">
      <c r="A3" s="4"/>
      <c r="B3" s="4"/>
      <c r="C3" s="5"/>
      <c r="D3" s="5"/>
      <c r="E3" s="789" t="s">
        <v>263</v>
      </c>
      <c r="F3" s="815"/>
      <c r="G3" s="789" t="s">
        <v>7</v>
      </c>
      <c r="H3" s="815"/>
      <c r="I3" s="8" t="s">
        <v>264</v>
      </c>
      <c r="J3" s="817"/>
      <c r="K3" s="820"/>
      <c r="L3" s="818"/>
      <c r="M3" s="818"/>
      <c r="N3" s="818"/>
      <c r="O3" s="818"/>
      <c r="P3" s="819"/>
      <c r="Q3" s="4"/>
      <c r="R3" s="112"/>
      <c r="S3" s="113"/>
      <c r="T3" s="113"/>
      <c r="U3" s="113"/>
      <c r="V3" s="113"/>
      <c r="W3" s="111"/>
    </row>
    <row r="4" spans="1:24" ht="14.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817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265</v>
      </c>
      <c r="Q4" s="309"/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4" ht="14.5">
      <c r="A5" s="17"/>
      <c r="B5" s="18"/>
      <c r="C5" s="19">
        <f>SUM(C7:C46)-C19-C32</f>
        <v>272.91929624030632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P7+P23+P26+P37+P40+P41+P46+P43</f>
        <v>164.52629258657473</v>
      </c>
      <c r="Q5" s="309"/>
      <c r="R5" s="117">
        <f>SUM(R13:R46)</f>
        <v>164.4842925865747</v>
      </c>
      <c r="S5" s="117">
        <f>SUM(S7:S46)</f>
        <v>2.8600000000000003</v>
      </c>
      <c r="T5" s="117">
        <f>SUM(T7:T46)</f>
        <v>48.174292586574701</v>
      </c>
      <c r="U5" s="117">
        <f>SUM(U7:U46)</f>
        <v>40.805099762525607</v>
      </c>
      <c r="V5" s="117">
        <f>SUM(V7:V46)</f>
        <v>21.754900237474391</v>
      </c>
      <c r="W5" s="117">
        <f t="shared" ref="W5" si="0">SUM(W7:W46)</f>
        <v>50.89</v>
      </c>
      <c r="X5" s="41"/>
    </row>
    <row r="6" spans="1:24">
      <c r="A6" s="1"/>
      <c r="B6" s="1"/>
      <c r="C6" s="27">
        <f>C5+8-275.27-L12</f>
        <v>0.1992962403063423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>P5-161.69+8-0.12+1.23-11.9</f>
        <v>4.6292586574729455E-2</v>
      </c>
      <c r="Q6" s="28"/>
      <c r="R6" s="118">
        <f>R5-161.69+8-0.12+1.23-11.9</f>
        <v>4.2925865746994418E-3</v>
      </c>
      <c r="S6" s="36">
        <f>S5-2.86</f>
        <v>0</v>
      </c>
      <c r="T6" s="36">
        <f>T5-31.32-6.08-11.9+1.23</f>
        <v>0.10429258657470042</v>
      </c>
      <c r="U6" s="1"/>
      <c r="V6" s="310">
        <f>U5+V5-70.56+8</f>
        <v>0</v>
      </c>
      <c r="W6" s="36">
        <f>W5-50.87</f>
        <v>2.0000000000003126E-2</v>
      </c>
    </row>
    <row r="7" spans="1:24">
      <c r="A7" s="821" t="s">
        <v>15</v>
      </c>
      <c r="B7" s="1" t="s">
        <v>17</v>
      </c>
      <c r="C7" s="17">
        <f>0.4*(1+0.22/117.36)</f>
        <v>0.40074982958418542</v>
      </c>
      <c r="D7" s="822">
        <f>SUM(C7:C20)</f>
        <v>134.57929624030641</v>
      </c>
      <c r="E7" s="30"/>
      <c r="F7" s="823">
        <f>SUM(E7:E19)</f>
        <v>86.031195097422682</v>
      </c>
      <c r="G7" s="17">
        <f>C7-E7</f>
        <v>0.40074982958418542</v>
      </c>
      <c r="H7" s="823">
        <f>SUM(G6:G19)</f>
        <v>48.548101142883738</v>
      </c>
      <c r="J7" s="822">
        <f>H7-I13</f>
        <v>44.418101142883735</v>
      </c>
      <c r="K7" s="31"/>
      <c r="L7" s="31"/>
      <c r="M7" s="31"/>
      <c r="N7" s="293"/>
      <c r="O7" s="300"/>
      <c r="P7" s="810">
        <f>J7-K12-L12-M12</f>
        <v>37</v>
      </c>
      <c r="Q7" s="311"/>
      <c r="R7" s="119"/>
      <c r="S7" s="120"/>
      <c r="T7" s="121"/>
      <c r="U7" s="122"/>
      <c r="V7" s="121"/>
      <c r="W7" s="122"/>
    </row>
    <row r="8" spans="1:24">
      <c r="A8" s="821"/>
      <c r="B8" s="1" t="s">
        <v>18</v>
      </c>
      <c r="C8" s="17">
        <f>(5.49-C7-C9)*(1+0.22/117.36)</f>
        <v>5.0084526066881994</v>
      </c>
      <c r="D8" s="822"/>
      <c r="E8" s="30">
        <f>0.1*C8</f>
        <v>0.50084526066881996</v>
      </c>
      <c r="F8" s="823"/>
      <c r="G8" s="17">
        <f>0.9*C8</f>
        <v>4.5076073460193795</v>
      </c>
      <c r="H8" s="823"/>
      <c r="J8" s="822"/>
      <c r="K8" s="31"/>
      <c r="L8" s="31"/>
      <c r="M8" s="31"/>
      <c r="N8" s="293"/>
      <c r="O8" s="300"/>
      <c r="P8" s="810"/>
      <c r="Q8" s="311"/>
      <c r="R8" s="123"/>
      <c r="S8" s="124"/>
      <c r="T8" s="125"/>
      <c r="U8" s="126"/>
      <c r="V8" s="125"/>
      <c r="W8" s="126"/>
    </row>
    <row r="9" spans="1:24">
      <c r="A9" s="821"/>
      <c r="B9" s="1" t="s">
        <v>19</v>
      </c>
      <c r="C9" s="17">
        <f>0.09*(1+0.22/117.36)</f>
        <v>9.0168711656441719E-2</v>
      </c>
      <c r="D9" s="822"/>
      <c r="E9" s="30"/>
      <c r="F9" s="823"/>
      <c r="G9" s="17">
        <f t="shared" ref="G9" si="1">C9-E9</f>
        <v>9.0168711656441719E-2</v>
      </c>
      <c r="H9" s="823"/>
      <c r="J9" s="822"/>
      <c r="K9" s="31"/>
      <c r="L9" s="31"/>
      <c r="M9" s="31"/>
      <c r="N9" s="293"/>
      <c r="O9" s="300"/>
      <c r="P9" s="810"/>
      <c r="Q9" s="311"/>
      <c r="R9" s="123"/>
      <c r="S9" s="124"/>
      <c r="T9" s="125"/>
      <c r="U9" s="126"/>
      <c r="V9" s="125"/>
      <c r="W9" s="126"/>
    </row>
    <row r="10" spans="1:24" ht="13.5" customHeight="1">
      <c r="A10" s="821"/>
      <c r="B10" s="1" t="s">
        <v>20</v>
      </c>
      <c r="C10" s="17">
        <f>117.32*(1+0.22/117.36)</f>
        <v>117.53992501704157</v>
      </c>
      <c r="D10" s="822"/>
      <c r="E10" s="30">
        <f>C10*'[3]FLUX 2010'!I10/'[3]FLUX 2010'!G10</f>
        <v>78.751749761417841</v>
      </c>
      <c r="F10" s="823"/>
      <c r="G10" s="30">
        <f>C10-E10</f>
        <v>38.788175255623727</v>
      </c>
      <c r="H10" s="823"/>
      <c r="J10" s="822"/>
      <c r="K10" s="31"/>
      <c r="L10" s="31"/>
      <c r="M10" s="31"/>
      <c r="N10" s="293"/>
      <c r="O10" s="300"/>
      <c r="P10" s="810"/>
      <c r="Q10" s="311"/>
      <c r="R10" s="123"/>
      <c r="S10" s="124"/>
      <c r="T10" s="125"/>
      <c r="U10" s="126"/>
      <c r="V10" s="125"/>
      <c r="W10" s="126"/>
    </row>
    <row r="11" spans="1:24">
      <c r="A11" s="821"/>
      <c r="B11" s="1" t="s">
        <v>21</v>
      </c>
      <c r="C11" s="17"/>
      <c r="D11" s="822"/>
      <c r="E11" s="30"/>
      <c r="F11" s="823"/>
      <c r="G11" s="17">
        <f>C11-E11</f>
        <v>0</v>
      </c>
      <c r="H11" s="823"/>
      <c r="J11" s="822"/>
      <c r="K11" s="31"/>
      <c r="L11" s="31"/>
      <c r="M11" s="31"/>
      <c r="N11" s="293"/>
      <c r="O11" s="300"/>
      <c r="P11" s="810"/>
      <c r="Q11" s="311"/>
      <c r="R11" s="123"/>
      <c r="S11" s="124"/>
      <c r="T11" s="125"/>
      <c r="U11" s="126"/>
      <c r="V11" s="125"/>
      <c r="W11" s="126"/>
    </row>
    <row r="12" spans="1:24">
      <c r="A12" s="821"/>
      <c r="B12" s="1" t="s">
        <v>22</v>
      </c>
      <c r="C12" s="17">
        <f>1.46</f>
        <v>1.46</v>
      </c>
      <c r="D12" s="822"/>
      <c r="E12" s="30">
        <f t="shared" ref="E12:E18" si="2">C12-G12</f>
        <v>1.1679999999999999</v>
      </c>
      <c r="F12" s="823"/>
      <c r="G12" s="17">
        <f>0.2*C12</f>
        <v>0.29199999999999998</v>
      </c>
      <c r="H12" s="823"/>
      <c r="J12" s="822"/>
      <c r="K12" s="31">
        <f>(J7-L12)-R13</f>
        <v>1.9681011428837394</v>
      </c>
      <c r="L12" s="31">
        <f>6.18-0.73</f>
        <v>5.4499999999999993</v>
      </c>
      <c r="M12" s="31"/>
      <c r="N12" s="293"/>
      <c r="O12" s="300"/>
      <c r="P12" s="810"/>
      <c r="Q12" s="312"/>
      <c r="R12" s="123"/>
      <c r="S12" s="124"/>
      <c r="T12" s="125"/>
      <c r="U12" s="126"/>
      <c r="V12" s="125"/>
      <c r="W12" s="126"/>
    </row>
    <row r="13" spans="1:24">
      <c r="A13" s="821"/>
      <c r="B13" s="1" t="s">
        <v>23</v>
      </c>
      <c r="C13" s="17"/>
      <c r="D13" s="822"/>
      <c r="E13" s="30">
        <f t="shared" si="2"/>
        <v>0</v>
      </c>
      <c r="F13" s="823"/>
      <c r="G13" s="17"/>
      <c r="H13" s="823"/>
      <c r="I13" s="34">
        <f>2.85+1.28</f>
        <v>4.13</v>
      </c>
      <c r="J13" s="822"/>
      <c r="K13" s="31"/>
      <c r="L13" s="31"/>
      <c r="M13" s="31"/>
      <c r="N13" s="293"/>
      <c r="O13" s="300"/>
      <c r="P13" s="810"/>
      <c r="Q13" s="1"/>
      <c r="R13" s="123">
        <f>SUM(S7:W19)</f>
        <v>37</v>
      </c>
      <c r="S13" s="127">
        <v>0.28999999999999998</v>
      </c>
      <c r="T13" s="125">
        <f>10.73+0.96</f>
        <v>11.690000000000001</v>
      </c>
      <c r="U13" s="125">
        <f>23.98*12.6/(12.6+11)</f>
        <v>12.802881355932204</v>
      </c>
      <c r="V13" s="125">
        <f>23.98*11/(12.6+11)</f>
        <v>11.177118644067797</v>
      </c>
      <c r="W13" s="125">
        <f>1.04</f>
        <v>1.04</v>
      </c>
      <c r="X13" s="34"/>
    </row>
    <row r="14" spans="1:24">
      <c r="A14" s="821"/>
      <c r="B14" s="1" t="s">
        <v>24</v>
      </c>
      <c r="C14" s="17"/>
      <c r="D14" s="822"/>
      <c r="E14" s="30">
        <f t="shared" si="2"/>
        <v>0</v>
      </c>
      <c r="F14" s="823"/>
      <c r="G14" s="17"/>
      <c r="H14" s="823"/>
      <c r="J14" s="822"/>
      <c r="K14" s="31"/>
      <c r="L14" s="31"/>
      <c r="M14" s="31"/>
      <c r="N14" s="293"/>
      <c r="O14" s="300"/>
      <c r="P14" s="810"/>
      <c r="Q14" s="1"/>
      <c r="R14" s="123"/>
      <c r="S14" s="124"/>
      <c r="T14" s="125"/>
      <c r="U14" s="126"/>
      <c r="V14" s="125"/>
      <c r="W14" s="126"/>
    </row>
    <row r="15" spans="1:24">
      <c r="A15" s="821"/>
      <c r="B15" s="1" t="s">
        <v>25</v>
      </c>
      <c r="C15" s="17">
        <f>[3]électricité!D30*0.086</f>
        <v>7.5335997971706095E-8</v>
      </c>
      <c r="D15" s="822"/>
      <c r="E15" s="30">
        <f t="shared" si="2"/>
        <v>7.5335997971706095E-8</v>
      </c>
      <c r="F15" s="823"/>
      <c r="G15" s="17"/>
      <c r="H15" s="823"/>
      <c r="J15" s="822"/>
      <c r="K15" s="31"/>
      <c r="L15" s="31"/>
      <c r="M15" s="31"/>
      <c r="N15" s="293"/>
      <c r="O15" s="300"/>
      <c r="P15" s="810"/>
      <c r="Q15" s="1"/>
      <c r="R15" s="123"/>
      <c r="S15" s="124"/>
      <c r="T15" s="125"/>
      <c r="U15" s="126"/>
      <c r="V15" s="125"/>
      <c r="W15" s="126"/>
    </row>
    <row r="16" spans="1:24">
      <c r="A16" s="821"/>
      <c r="B16" s="1" t="s">
        <v>26</v>
      </c>
      <c r="C16" s="17">
        <v>0</v>
      </c>
      <c r="D16" s="822"/>
      <c r="E16" s="30">
        <f t="shared" si="2"/>
        <v>0</v>
      </c>
      <c r="F16" s="823"/>
      <c r="G16" s="17"/>
      <c r="H16" s="823"/>
      <c r="J16" s="822"/>
      <c r="K16" s="31"/>
      <c r="L16" s="31"/>
      <c r="M16" s="31"/>
      <c r="N16" s="293"/>
      <c r="O16" s="300"/>
      <c r="P16" s="810"/>
      <c r="Q16" s="1"/>
      <c r="R16" s="123"/>
      <c r="S16" s="124"/>
      <c r="T16" s="125"/>
      <c r="U16" s="126"/>
      <c r="V16" s="125"/>
      <c r="W16" s="126"/>
    </row>
    <row r="17" spans="1:23">
      <c r="A17" s="821"/>
      <c r="B17" s="1" t="s">
        <v>27</v>
      </c>
      <c r="C17" s="17">
        <f>1.36+0.14-0.19</f>
        <v>1.31</v>
      </c>
      <c r="D17" s="822"/>
      <c r="E17" s="30">
        <f t="shared" si="2"/>
        <v>0.81220000000000003</v>
      </c>
      <c r="F17" s="823"/>
      <c r="G17" s="17">
        <f>0.38*C17</f>
        <v>0.49780000000000002</v>
      </c>
      <c r="H17" s="823"/>
      <c r="J17" s="822"/>
      <c r="K17" s="31"/>
      <c r="L17" s="31"/>
      <c r="M17" s="31"/>
      <c r="N17" s="293"/>
      <c r="O17" s="300"/>
      <c r="P17" s="810"/>
      <c r="Q17" s="1"/>
      <c r="R17" s="123"/>
      <c r="S17" s="124"/>
      <c r="T17" s="125"/>
      <c r="U17" s="126"/>
      <c r="V17" s="125"/>
      <c r="W17" s="126"/>
    </row>
    <row r="18" spans="1:23">
      <c r="A18" s="821"/>
      <c r="B18" s="1" t="s">
        <v>28</v>
      </c>
      <c r="C18" s="17">
        <v>5.22</v>
      </c>
      <c r="D18" s="822"/>
      <c r="E18" s="30">
        <f t="shared" si="2"/>
        <v>3.2363999999999997</v>
      </c>
      <c r="F18" s="823"/>
      <c r="G18" s="17">
        <f>0.38*C18</f>
        <v>1.9836</v>
      </c>
      <c r="H18" s="823"/>
      <c r="J18" s="822"/>
      <c r="K18" s="31"/>
      <c r="L18" s="31"/>
      <c r="M18" s="31"/>
      <c r="N18" s="293"/>
      <c r="O18" s="300"/>
      <c r="P18" s="810"/>
      <c r="Q18" s="1"/>
      <c r="R18" s="123"/>
      <c r="S18" s="124"/>
      <c r="T18" s="125"/>
      <c r="U18" s="126"/>
      <c r="V18" s="125"/>
      <c r="W18" s="126"/>
    </row>
    <row r="19" spans="1:23">
      <c r="A19" s="821"/>
      <c r="B19" s="1" t="s">
        <v>29</v>
      </c>
      <c r="C19" s="17">
        <f>2.74+0.81</f>
        <v>3.5500000000000003</v>
      </c>
      <c r="D19" s="822"/>
      <c r="E19" s="30">
        <f>C19-G19</f>
        <v>1.5619999999999998</v>
      </c>
      <c r="F19" s="823"/>
      <c r="G19" s="17">
        <f>0.56*C19</f>
        <v>1.9880000000000004</v>
      </c>
      <c r="H19" s="823"/>
      <c r="J19" s="822"/>
      <c r="K19" s="31"/>
      <c r="L19" s="31"/>
      <c r="M19" s="31"/>
      <c r="N19" s="293"/>
      <c r="O19" s="300"/>
      <c r="P19" s="810"/>
      <c r="Q19" s="1"/>
      <c r="R19" s="128"/>
      <c r="S19" s="129"/>
      <c r="T19" s="130"/>
      <c r="U19" s="131"/>
      <c r="V19" s="130"/>
      <c r="W19" s="131"/>
    </row>
    <row r="20" spans="1:23" ht="13.5" thickBot="1">
      <c r="A20" s="1"/>
      <c r="B20" s="1"/>
      <c r="C20" s="1"/>
      <c r="D20" s="36">
        <f>SUM(C7:C19)-(117.36+6.18-0.73+5.22+1.36+2.74+0.81+1.46+0.22)</f>
        <v>-4.0703759693627717E-2</v>
      </c>
      <c r="E20" s="17"/>
      <c r="F20" s="36">
        <f>SUM(C12:C19)-SUM(G12:G19)-6.52-0.32</f>
        <v>-6.1399924664001737E-2</v>
      </c>
      <c r="G20" s="17"/>
      <c r="H20" s="36">
        <f>SUM(G12:G19)-5.07+0.32</f>
        <v>1.1399999999999799E-2</v>
      </c>
      <c r="I20" s="1"/>
      <c r="J20" s="1"/>
      <c r="K20" s="62">
        <f>81.34-E10-K12</f>
        <v>0.62014909569842303</v>
      </c>
      <c r="L20" s="1"/>
      <c r="M20" s="1"/>
      <c r="N20" s="1"/>
      <c r="O20" s="1"/>
      <c r="P20" s="37">
        <f>P7-37</f>
        <v>0</v>
      </c>
      <c r="Q20" s="313"/>
      <c r="R20" s="17"/>
      <c r="S20" s="1"/>
      <c r="T20" s="17"/>
      <c r="U20" s="1"/>
      <c r="V20" s="17"/>
      <c r="W20" s="1"/>
    </row>
    <row r="21" spans="1:23">
      <c r="A21" s="829" t="s">
        <v>13</v>
      </c>
      <c r="B21" s="1" t="s">
        <v>21</v>
      </c>
      <c r="C21" s="17"/>
      <c r="D21" s="805">
        <f>SUM(C21:C24)</f>
        <v>38.920000000000009</v>
      </c>
      <c r="F21" s="805"/>
      <c r="G21" s="17">
        <f t="shared" ref="G21:G45" si="3">C21-E21</f>
        <v>0</v>
      </c>
      <c r="H21" s="832">
        <f>SUM(G21:G24)</f>
        <v>38.330000000000013</v>
      </c>
      <c r="I21" s="17"/>
      <c r="J21" s="832">
        <f>H21</f>
        <v>38.330000000000013</v>
      </c>
      <c r="K21" s="824"/>
      <c r="L21" s="824"/>
      <c r="M21" s="824"/>
      <c r="N21" s="38"/>
      <c r="O21" s="38"/>
      <c r="P21" s="38"/>
      <c r="Q21" s="1"/>
      <c r="R21" s="314"/>
      <c r="S21" s="315"/>
      <c r="T21" s="316"/>
      <c r="U21" s="316"/>
      <c r="V21" s="316"/>
      <c r="W21" s="317"/>
    </row>
    <row r="22" spans="1:23">
      <c r="A22" s="829"/>
      <c r="B22" s="1" t="s">
        <v>30</v>
      </c>
      <c r="C22" s="17">
        <v>0.2</v>
      </c>
      <c r="D22" s="819"/>
      <c r="F22" s="819"/>
      <c r="G22" s="17">
        <f t="shared" si="3"/>
        <v>0.2</v>
      </c>
      <c r="H22" s="833"/>
      <c r="I22" s="17"/>
      <c r="J22" s="832"/>
      <c r="K22" s="824"/>
      <c r="L22" s="824"/>
      <c r="M22" s="824"/>
      <c r="N22" s="295"/>
      <c r="O22" s="40"/>
      <c r="P22" s="40"/>
      <c r="Q22" s="1"/>
      <c r="R22" s="318"/>
      <c r="S22" s="319"/>
      <c r="T22" s="320"/>
      <c r="U22" s="320"/>
      <c r="V22" s="320"/>
      <c r="W22" s="321"/>
    </row>
    <row r="23" spans="1:23">
      <c r="A23" s="829"/>
      <c r="B23" s="1" t="s">
        <v>31</v>
      </c>
      <c r="C23" s="17"/>
      <c r="D23" s="819"/>
      <c r="E23" s="41"/>
      <c r="F23" s="819"/>
      <c r="G23" s="17">
        <f t="shared" si="3"/>
        <v>0</v>
      </c>
      <c r="H23" s="833"/>
      <c r="I23" s="17"/>
      <c r="J23" s="832"/>
      <c r="K23" s="824"/>
      <c r="L23" s="824"/>
      <c r="M23" s="824"/>
      <c r="N23" s="295">
        <f>C32</f>
        <v>2</v>
      </c>
      <c r="O23" s="40">
        <f>C19</f>
        <v>3.5500000000000003</v>
      </c>
      <c r="P23" s="40">
        <f>J21-N23-O23</f>
        <v>32.780000000000015</v>
      </c>
      <c r="Q23" s="1"/>
      <c r="R23" s="318">
        <f>SUM(S23:W23)</f>
        <v>33.32115764979639</v>
      </c>
      <c r="S23" s="322">
        <v>0.3</v>
      </c>
      <c r="T23" s="322">
        <f>(11.86+0.62-0.47)*P23/(P23+G32)</f>
        <v>11.451070389761487</v>
      </c>
      <c r="U23" s="322">
        <f>(22.56*16.7/(16.7+5.7))*P23/(P23+G32)</f>
        <v>16.036538269758161</v>
      </c>
      <c r="V23" s="322">
        <f>(22.56*5.7/(16.7+5.7))*P23/(P23+G32)</f>
        <v>5.4735489902767389</v>
      </c>
      <c r="W23" s="323">
        <v>0.06</v>
      </c>
    </row>
    <row r="24" spans="1:23">
      <c r="A24" s="829"/>
      <c r="B24" s="1" t="s">
        <v>32</v>
      </c>
      <c r="C24" s="17">
        <f>40.34-C45</f>
        <v>38.720000000000006</v>
      </c>
      <c r="D24" s="819"/>
      <c r="E24" s="22">
        <f>1.4-0.81</f>
        <v>0.58999999999999986</v>
      </c>
      <c r="F24" s="819"/>
      <c r="G24" s="17">
        <f t="shared" si="3"/>
        <v>38.13000000000001</v>
      </c>
      <c r="H24" s="833"/>
      <c r="I24" s="42"/>
      <c r="J24" s="832"/>
      <c r="K24" s="824"/>
      <c r="L24" s="824"/>
      <c r="M24" s="824"/>
      <c r="N24" s="295"/>
      <c r="O24" s="40"/>
      <c r="P24" s="40"/>
      <c r="Q24" s="1"/>
      <c r="R24" s="324"/>
      <c r="S24" s="325"/>
      <c r="T24" s="326"/>
      <c r="U24" s="326"/>
      <c r="V24" s="326"/>
      <c r="W24" s="327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P23+G32-35.4+0.47</f>
        <v>-0.54999999999998184</v>
      </c>
      <c r="Q25" s="1"/>
      <c r="R25" s="328"/>
      <c r="S25" s="329"/>
      <c r="T25" s="280"/>
      <c r="U25" s="280"/>
      <c r="V25" s="280"/>
      <c r="W25" s="330"/>
    </row>
    <row r="26" spans="1:23">
      <c r="A26" s="825" t="s">
        <v>14</v>
      </c>
      <c r="B26" s="1" t="s">
        <v>21</v>
      </c>
      <c r="C26" s="43"/>
      <c r="D26" s="838">
        <f>SUM(C26:C32)</f>
        <v>2.74</v>
      </c>
      <c r="E26" s="43"/>
      <c r="F26" s="826"/>
      <c r="G26" s="41">
        <f>C26-E26</f>
        <v>0</v>
      </c>
      <c r="H26" s="826">
        <f>SUM(G26:G32)</f>
        <v>2.1920000000000002</v>
      </c>
      <c r="I26" s="1"/>
      <c r="J26" s="838">
        <f>H26</f>
        <v>2.1920000000000002</v>
      </c>
      <c r="K26" s="828"/>
      <c r="L26" s="828"/>
      <c r="M26" s="828"/>
      <c r="N26" s="801"/>
      <c r="O26" s="836"/>
      <c r="P26" s="836">
        <f>J26-K26-M26</f>
        <v>2.1920000000000002</v>
      </c>
      <c r="Q26" s="1"/>
      <c r="R26" s="331"/>
      <c r="S26" s="332"/>
      <c r="T26" s="332"/>
      <c r="U26" s="332"/>
      <c r="V26" s="333"/>
      <c r="W26" s="334"/>
    </row>
    <row r="27" spans="1:23">
      <c r="A27" s="825"/>
      <c r="B27" s="1" t="s">
        <v>22</v>
      </c>
      <c r="C27" s="43">
        <f>0.2+0.54</f>
        <v>0.74</v>
      </c>
      <c r="D27" s="838"/>
      <c r="E27" s="43">
        <f>C27*0.2</f>
        <v>0.14799999999999999</v>
      </c>
      <c r="F27" s="826"/>
      <c r="G27" s="41">
        <f t="shared" ref="G27:G32" si="4">C27-E27</f>
        <v>0.59199999999999997</v>
      </c>
      <c r="H27" s="826"/>
      <c r="I27" s="1"/>
      <c r="J27" s="838"/>
      <c r="K27" s="828"/>
      <c r="L27" s="828"/>
      <c r="M27" s="828"/>
      <c r="N27" s="801"/>
      <c r="O27" s="836"/>
      <c r="P27" s="836"/>
      <c r="Q27" s="1"/>
      <c r="R27" s="318"/>
      <c r="S27" s="320"/>
      <c r="T27" s="320"/>
      <c r="U27" s="320"/>
      <c r="V27" s="319"/>
      <c r="W27" s="335"/>
    </row>
    <row r="28" spans="1:23">
      <c r="A28" s="825"/>
      <c r="B28" s="1" t="s">
        <v>26</v>
      </c>
      <c r="C28" s="43"/>
      <c r="D28" s="838"/>
      <c r="E28" s="43"/>
      <c r="F28" s="826"/>
      <c r="G28" s="41">
        <f t="shared" si="4"/>
        <v>0</v>
      </c>
      <c r="H28" s="826"/>
      <c r="I28" s="1"/>
      <c r="J28" s="838"/>
      <c r="K28" s="828"/>
      <c r="L28" s="828" t="e">
        <v>#REF!</v>
      </c>
      <c r="M28" s="828"/>
      <c r="N28" s="801" t="e">
        <v>#REF!</v>
      </c>
      <c r="O28" s="836" t="e">
        <v>#REF!</v>
      </c>
      <c r="P28" s="836"/>
      <c r="Q28" s="1"/>
      <c r="R28" s="318"/>
      <c r="S28" s="320"/>
      <c r="T28" s="320"/>
      <c r="U28" s="320"/>
      <c r="V28" s="319"/>
      <c r="W28" s="335"/>
    </row>
    <row r="29" spans="1:23">
      <c r="A29" s="825"/>
      <c r="B29" s="1" t="s">
        <v>23</v>
      </c>
      <c r="C29" s="336">
        <v>0</v>
      </c>
      <c r="D29" s="838"/>
      <c r="E29" s="43">
        <f t="shared" ref="E29:E31" si="5">C29*0.2</f>
        <v>0</v>
      </c>
      <c r="F29" s="826"/>
      <c r="G29" s="41">
        <f>C29-E29</f>
        <v>0</v>
      </c>
      <c r="H29" s="826"/>
      <c r="I29" s="1"/>
      <c r="J29" s="838"/>
      <c r="K29" s="828"/>
      <c r="L29" s="828" t="e">
        <v>#REF!</v>
      </c>
      <c r="M29" s="828"/>
      <c r="N29" s="801" t="e">
        <v>#REF!</v>
      </c>
      <c r="O29" s="836" t="e">
        <v>#REF!</v>
      </c>
      <c r="P29" s="836"/>
      <c r="Q29" s="1"/>
      <c r="R29" s="337">
        <f>SUM(S29:W29)</f>
        <v>3.4388423502036063</v>
      </c>
      <c r="S29" s="338">
        <f>0.05</f>
        <v>0.05</v>
      </c>
      <c r="T29" s="338">
        <f>(11.86+0.62-0.47)*G32/(P23+G32)+1.25</f>
        <v>1.8089296102385104</v>
      </c>
      <c r="U29" s="338">
        <f>(22.56*16.7/(16.7+5.7))*G32/(P23+G32)+0.93*7.3/(7.3+0.7)-U38</f>
        <v>1.2313724445275489</v>
      </c>
      <c r="V29" s="338">
        <f>(22.56*5.7/(16.7+5.7))*G32/(P23+G32)+0.93*0.7/(7.3+0.7)</f>
        <v>0.34854029543754661</v>
      </c>
      <c r="W29" s="339">
        <v>0</v>
      </c>
    </row>
    <row r="30" spans="1:23">
      <c r="A30" s="825"/>
      <c r="B30" s="1" t="s">
        <v>24</v>
      </c>
      <c r="C30" s="43"/>
      <c r="D30" s="838"/>
      <c r="E30" s="43">
        <f t="shared" si="5"/>
        <v>0</v>
      </c>
      <c r="F30" s="826"/>
      <c r="G30" s="41">
        <f t="shared" si="4"/>
        <v>0</v>
      </c>
      <c r="H30" s="826"/>
      <c r="I30" s="1"/>
      <c r="J30" s="838"/>
      <c r="K30" s="828"/>
      <c r="L30" s="828"/>
      <c r="M30" s="828"/>
      <c r="N30" s="801"/>
      <c r="O30" s="836"/>
      <c r="P30" s="836"/>
      <c r="Q30" s="1"/>
      <c r="R30" s="318"/>
      <c r="S30" s="320"/>
      <c r="T30" s="320"/>
      <c r="U30" s="320"/>
      <c r="V30" s="319"/>
      <c r="W30" s="335"/>
    </row>
    <row r="31" spans="1:23">
      <c r="A31" s="825"/>
      <c r="B31" s="1" t="s">
        <v>33</v>
      </c>
      <c r="C31" s="43"/>
      <c r="D31" s="838"/>
      <c r="E31" s="43">
        <f t="shared" si="5"/>
        <v>0</v>
      </c>
      <c r="F31" s="826"/>
      <c r="G31" s="41">
        <f t="shared" si="4"/>
        <v>0</v>
      </c>
      <c r="H31" s="826"/>
      <c r="I31" s="1"/>
      <c r="J31" s="838"/>
      <c r="K31" s="828"/>
      <c r="L31" s="828"/>
      <c r="M31" s="828"/>
      <c r="N31" s="801"/>
      <c r="O31" s="836"/>
      <c r="P31" s="836"/>
      <c r="Q31" s="1"/>
      <c r="R31" s="318"/>
      <c r="S31" s="320"/>
      <c r="T31" s="320"/>
      <c r="U31" s="320"/>
      <c r="V31" s="319"/>
      <c r="W31" s="335"/>
    </row>
    <row r="32" spans="1:23">
      <c r="A32" s="825"/>
      <c r="B32" s="1" t="s">
        <v>29</v>
      </c>
      <c r="C32" s="43">
        <v>2</v>
      </c>
      <c r="D32" s="838"/>
      <c r="E32" s="43">
        <f>C32*0.2</f>
        <v>0.4</v>
      </c>
      <c r="F32" s="826"/>
      <c r="G32" s="41">
        <f t="shared" si="4"/>
        <v>1.6</v>
      </c>
      <c r="H32" s="826"/>
      <c r="I32" s="1"/>
      <c r="J32" s="838"/>
      <c r="K32" s="828"/>
      <c r="L32" s="828"/>
      <c r="M32" s="828"/>
      <c r="N32" s="801"/>
      <c r="O32" s="836"/>
      <c r="P32" s="836"/>
      <c r="Q32" s="1"/>
      <c r="R32" s="324"/>
      <c r="S32" s="326"/>
      <c r="T32" s="326"/>
      <c r="U32" s="326"/>
      <c r="V32" s="325"/>
      <c r="W32" s="340"/>
    </row>
    <row r="33" spans="1:24">
      <c r="A33" s="296"/>
      <c r="B33" s="1"/>
      <c r="C33" s="34"/>
      <c r="D33" s="307"/>
      <c r="E33" s="34"/>
      <c r="F33" s="297"/>
      <c r="G33" s="41"/>
      <c r="H33" s="297"/>
      <c r="I33" s="1"/>
      <c r="J33" s="307"/>
      <c r="K33" s="297"/>
      <c r="L33" s="297"/>
      <c r="M33" s="297"/>
      <c r="N33" s="297"/>
      <c r="O33" s="297"/>
      <c r="P33" s="297"/>
      <c r="Q33" s="1"/>
      <c r="R33" s="341"/>
      <c r="S33" s="342"/>
      <c r="T33" s="342"/>
      <c r="U33" s="342"/>
      <c r="V33" s="342"/>
      <c r="W33" s="321"/>
    </row>
    <row r="34" spans="1:24">
      <c r="A34" s="296"/>
      <c r="B34" s="1"/>
      <c r="C34" s="34"/>
      <c r="D34" s="307"/>
      <c r="E34" s="34"/>
      <c r="F34" s="297"/>
      <c r="G34" s="41"/>
      <c r="H34" s="297"/>
      <c r="I34" s="1"/>
      <c r="J34" s="307"/>
      <c r="K34" s="297"/>
      <c r="L34" s="297"/>
      <c r="M34" s="297"/>
      <c r="N34" s="297"/>
      <c r="O34" s="297"/>
      <c r="P34" s="297"/>
      <c r="Q34" s="1"/>
      <c r="R34" s="341"/>
      <c r="S34" s="342"/>
      <c r="T34" s="342"/>
      <c r="U34" s="342"/>
      <c r="V34" s="342"/>
      <c r="W34" s="321"/>
    </row>
    <row r="35" spans="1:24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343">
        <f>SUM(G36:G41,G26:G31,G21:G23)-10.91+8</f>
        <v>0.78200000000000003</v>
      </c>
      <c r="Q35" s="1"/>
      <c r="R35" s="328"/>
      <c r="S35" s="329"/>
      <c r="T35" s="280"/>
      <c r="U35" s="280"/>
      <c r="V35" s="280"/>
      <c r="W35" s="330"/>
      <c r="X35" s="344">
        <f>SUM(U23:V38)-22.56-0.93</f>
        <v>-3.8857805861880479E-15</v>
      </c>
    </row>
    <row r="36" spans="1:24">
      <c r="A36" s="834" t="s">
        <v>34</v>
      </c>
      <c r="B36" s="1" t="s">
        <v>21</v>
      </c>
      <c r="D36" s="834">
        <f>SUM(C36:C46)</f>
        <v>102.23</v>
      </c>
      <c r="E36" s="302"/>
      <c r="F36" s="839"/>
      <c r="G36" s="17">
        <f t="shared" si="3"/>
        <v>0</v>
      </c>
      <c r="H36" s="834">
        <f>SUM(G36:G46)</f>
        <v>97.17</v>
      </c>
      <c r="I36" s="301"/>
      <c r="J36" s="301"/>
      <c r="K36" s="301"/>
      <c r="L36" s="301"/>
      <c r="M36" s="301"/>
      <c r="N36" s="301"/>
      <c r="O36" s="301"/>
      <c r="P36" s="49"/>
      <c r="R36" s="345"/>
      <c r="S36" s="332"/>
      <c r="T36" s="346"/>
      <c r="U36" s="332"/>
      <c r="V36" s="347"/>
      <c r="W36" s="348"/>
    </row>
    <row r="37" spans="1:24">
      <c r="A37" s="834"/>
      <c r="B37" s="1" t="s">
        <v>23</v>
      </c>
      <c r="C37" s="41">
        <f>9.8-8-C22</f>
        <v>1.6000000000000008</v>
      </c>
      <c r="D37" s="834"/>
      <c r="E37" s="302">
        <v>0</v>
      </c>
      <c r="F37" s="839"/>
      <c r="G37" s="17">
        <f>C37-E37</f>
        <v>1.6000000000000008</v>
      </c>
      <c r="H37" s="834"/>
      <c r="I37" s="301"/>
      <c r="J37" s="301"/>
      <c r="K37" s="301"/>
      <c r="L37" s="301"/>
      <c r="M37" s="301"/>
      <c r="N37" s="301"/>
      <c r="O37" s="301"/>
      <c r="P37" s="51">
        <f>SUM(G36:G40)</f>
        <v>2.2000000000000006</v>
      </c>
      <c r="R37" s="341">
        <f>SUM(S37:W39)</f>
        <v>0.4</v>
      </c>
      <c r="S37" s="251"/>
      <c r="T37" s="251"/>
      <c r="U37" s="251"/>
      <c r="V37" s="251">
        <v>0</v>
      </c>
      <c r="W37" s="349"/>
    </row>
    <row r="38" spans="1:24">
      <c r="A38" s="834"/>
      <c r="B38" s="1" t="s">
        <v>33</v>
      </c>
      <c r="C38" s="41"/>
      <c r="D38" s="834"/>
      <c r="E38" s="302"/>
      <c r="F38" s="839"/>
      <c r="G38" s="17">
        <f t="shared" si="3"/>
        <v>0</v>
      </c>
      <c r="H38" s="834"/>
      <c r="I38" s="301"/>
      <c r="J38" s="301"/>
      <c r="K38" s="301"/>
      <c r="L38" s="301"/>
      <c r="M38" s="301"/>
      <c r="N38" s="50">
        <f>SUM(P23,P26,P37)-R23-R29-R37</f>
        <v>1.200000000002166E-2</v>
      </c>
      <c r="O38" s="301"/>
      <c r="P38" s="53"/>
      <c r="R38" s="341"/>
      <c r="S38" s="350"/>
      <c r="T38" s="250">
        <v>0</v>
      </c>
      <c r="U38" s="251">
        <f>G40</f>
        <v>0.4</v>
      </c>
      <c r="V38" s="322">
        <v>0</v>
      </c>
      <c r="W38" s="330"/>
    </row>
    <row r="39" spans="1:24" ht="13.5" thickBot="1">
      <c r="A39" s="834"/>
      <c r="B39" s="1" t="s">
        <v>35</v>
      </c>
      <c r="C39" s="41">
        <v>0.2</v>
      </c>
      <c r="D39" s="834"/>
      <c r="E39" s="302"/>
      <c r="F39" s="839"/>
      <c r="G39" s="17">
        <f t="shared" si="3"/>
        <v>0.2</v>
      </c>
      <c r="H39" s="834"/>
      <c r="I39" s="301"/>
      <c r="J39" s="301"/>
      <c r="K39" s="301"/>
      <c r="L39" s="301"/>
      <c r="M39" s="301"/>
      <c r="N39" s="301"/>
      <c r="O39" s="301"/>
      <c r="P39" s="53"/>
      <c r="R39" s="341"/>
      <c r="S39" s="351"/>
      <c r="T39" s="352"/>
      <c r="U39" s="352"/>
      <c r="V39" s="353"/>
      <c r="W39" s="354"/>
    </row>
    <row r="40" spans="1:24">
      <c r="A40" s="834"/>
      <c r="B40" s="1" t="s">
        <v>36</v>
      </c>
      <c r="C40" s="41">
        <v>0.4</v>
      </c>
      <c r="D40" s="834"/>
      <c r="E40" s="302"/>
      <c r="F40" s="839"/>
      <c r="G40" s="17">
        <f t="shared" si="3"/>
        <v>0.4</v>
      </c>
      <c r="H40" s="834"/>
      <c r="I40" s="301"/>
      <c r="J40" s="301"/>
      <c r="K40" s="301"/>
      <c r="L40" s="301"/>
      <c r="M40" s="301"/>
      <c r="N40" s="301"/>
      <c r="O40" s="301"/>
      <c r="P40" s="51">
        <f>G41</f>
        <v>0.7</v>
      </c>
      <c r="R40" s="355">
        <f>W40</f>
        <v>0.7</v>
      </c>
      <c r="S40" s="133"/>
      <c r="T40" s="134"/>
      <c r="U40" s="133"/>
      <c r="V40" s="134"/>
      <c r="W40" s="134">
        <f>G41</f>
        <v>0.7</v>
      </c>
    </row>
    <row r="41" spans="1:24">
      <c r="A41" s="834"/>
      <c r="B41" s="1" t="s">
        <v>37</v>
      </c>
      <c r="C41" s="41">
        <v>0.7</v>
      </c>
      <c r="D41" s="834"/>
      <c r="E41" s="54"/>
      <c r="F41" s="839"/>
      <c r="G41" s="17">
        <f t="shared" si="3"/>
        <v>0.7</v>
      </c>
      <c r="H41" s="834"/>
      <c r="I41" s="301"/>
      <c r="J41" s="301"/>
      <c r="K41" s="301"/>
      <c r="L41" s="301"/>
      <c r="M41" s="301"/>
      <c r="N41" s="301"/>
      <c r="O41" s="301"/>
      <c r="P41" s="51">
        <f>G42</f>
        <v>71.989999999999995</v>
      </c>
      <c r="R41" s="356">
        <f>SUM(S41:W41)</f>
        <v>71.960000000000008</v>
      </c>
      <c r="S41" s="134">
        <v>2.2200000000000002</v>
      </c>
      <c r="T41" s="134">
        <v>5.93</v>
      </c>
      <c r="U41" s="134">
        <f>14.72*8.8/(8.8+4.2)</f>
        <v>9.9643076923076954</v>
      </c>
      <c r="V41" s="134">
        <f>14.72*4.2/(8.8+4.2)</f>
        <v>4.7556923076923079</v>
      </c>
      <c r="W41" s="135">
        <f>49.09</f>
        <v>49.09</v>
      </c>
    </row>
    <row r="42" spans="1:24">
      <c r="A42" s="834"/>
      <c r="B42" s="1" t="s">
        <v>38</v>
      </c>
      <c r="C42" s="41">
        <f>91.82-C43-C17</f>
        <v>76.829999999999984</v>
      </c>
      <c r="D42" s="834"/>
      <c r="E42" s="54">
        <f>C42-G42</f>
        <v>4.8399999999999892</v>
      </c>
      <c r="F42" s="839"/>
      <c r="G42" s="17">
        <f>71.99</f>
        <v>71.989999999999995</v>
      </c>
      <c r="H42" s="834"/>
      <c r="I42" s="301"/>
      <c r="J42" s="301"/>
      <c r="K42" s="301"/>
      <c r="L42" s="301"/>
      <c r="M42" s="301"/>
      <c r="N42" s="301"/>
      <c r="O42" s="301"/>
      <c r="P42" s="53"/>
      <c r="R42" s="356"/>
      <c r="S42" s="133"/>
      <c r="T42" s="133"/>
      <c r="U42" s="133"/>
      <c r="V42" s="133"/>
      <c r="W42" s="133"/>
    </row>
    <row r="43" spans="1:24">
      <c r="A43" s="834"/>
      <c r="B43" s="1" t="s">
        <v>39</v>
      </c>
      <c r="C43" s="41">
        <v>13.68</v>
      </c>
      <c r="D43" s="834"/>
      <c r="E43" s="54"/>
      <c r="F43" s="839"/>
      <c r="G43" s="17">
        <f>13.68</f>
        <v>13.68</v>
      </c>
      <c r="H43" s="834"/>
      <c r="I43" s="301"/>
      <c r="J43" s="301"/>
      <c r="K43" s="301"/>
      <c r="L43" s="301"/>
      <c r="M43" s="301"/>
      <c r="N43" s="301"/>
      <c r="O43" s="301"/>
      <c r="P43" s="51">
        <f>G43-E53</f>
        <v>11.913402765132105</v>
      </c>
      <c r="R43" s="356">
        <f t="shared" ref="R43" si="6">SUM(S43:W43)</f>
        <v>11.913402765132105</v>
      </c>
      <c r="S43" s="134"/>
      <c r="T43" s="134">
        <f>P43</f>
        <v>11.913402765132105</v>
      </c>
      <c r="U43" s="134"/>
      <c r="V43" s="134"/>
      <c r="W43" s="134"/>
    </row>
    <row r="44" spans="1:24">
      <c r="A44" s="834"/>
      <c r="B44" s="1" t="s">
        <v>40</v>
      </c>
      <c r="C44" s="41"/>
      <c r="D44" s="834"/>
      <c r="E44" s="54"/>
      <c r="F44" s="839"/>
      <c r="G44" s="17">
        <f t="shared" si="3"/>
        <v>0</v>
      </c>
      <c r="H44" s="834"/>
      <c r="I44" s="301"/>
      <c r="J44" s="301"/>
      <c r="K44" s="301"/>
      <c r="L44" s="301"/>
      <c r="M44" s="301"/>
      <c r="N44" s="301"/>
      <c r="O44" s="301"/>
      <c r="P44" s="53"/>
      <c r="R44" s="356"/>
      <c r="S44" s="134"/>
      <c r="T44" s="134"/>
      <c r="U44" s="134"/>
      <c r="V44" s="134"/>
      <c r="W44" s="134"/>
    </row>
    <row r="45" spans="1:24">
      <c r="A45" s="834"/>
      <c r="B45" s="1" t="s">
        <v>41</v>
      </c>
      <c r="C45" s="41">
        <v>1.62</v>
      </c>
      <c r="D45" s="834"/>
      <c r="E45" s="54"/>
      <c r="F45" s="839"/>
      <c r="G45" s="17">
        <f t="shared" si="3"/>
        <v>1.62</v>
      </c>
      <c r="H45" s="834"/>
      <c r="I45" s="301"/>
      <c r="J45" s="301"/>
      <c r="K45" s="301"/>
      <c r="L45" s="301"/>
      <c r="M45" s="301"/>
      <c r="N45" s="301"/>
      <c r="O45" s="301"/>
      <c r="P45" s="53"/>
      <c r="R45" s="356"/>
      <c r="S45" s="135"/>
      <c r="T45" s="134"/>
      <c r="U45" s="135"/>
      <c r="V45" s="159"/>
      <c r="W45" s="134"/>
    </row>
    <row r="46" spans="1:24">
      <c r="A46" s="835"/>
      <c r="B46" s="1" t="s">
        <v>42</v>
      </c>
      <c r="C46" s="41">
        <f>12.42-C18</f>
        <v>7.2</v>
      </c>
      <c r="D46" s="835"/>
      <c r="E46" s="55"/>
      <c r="F46" s="840"/>
      <c r="G46" s="17">
        <f>3.42+3.44+0.12</f>
        <v>6.9799999999999995</v>
      </c>
      <c r="H46" s="835"/>
      <c r="I46" s="301"/>
      <c r="J46" s="301"/>
      <c r="K46" s="301"/>
      <c r="L46" s="301"/>
      <c r="M46" s="301"/>
      <c r="N46" s="301"/>
      <c r="O46" s="301"/>
      <c r="P46" s="56">
        <f>G46-E51</f>
        <v>5.7508898214426036</v>
      </c>
      <c r="R46" s="357">
        <f>SUM(S46:W46)</f>
        <v>5.7508898214426036</v>
      </c>
      <c r="S46" s="161"/>
      <c r="T46" s="162">
        <f>P46-U46</f>
        <v>5.3808898214426035</v>
      </c>
      <c r="U46" s="163">
        <f>0.31+0.06</f>
        <v>0.37</v>
      </c>
      <c r="V46" s="164"/>
      <c r="W46" s="165"/>
    </row>
    <row r="47" spans="1:24">
      <c r="A47" s="1"/>
      <c r="B47" s="1"/>
      <c r="C47" s="57"/>
      <c r="D47" s="1"/>
      <c r="E47" s="58">
        <f>SUM(E26:E27,E29:E32)-(0.5+0.08)</f>
        <v>-3.1999999999999917E-2</v>
      </c>
      <c r="F47" s="1"/>
      <c r="G47" s="17"/>
      <c r="H47" s="1"/>
      <c r="I47" s="1"/>
      <c r="J47" s="1"/>
      <c r="K47" s="1"/>
      <c r="L47" s="1"/>
      <c r="M47" s="1"/>
      <c r="N47" s="1"/>
      <c r="O47" s="1"/>
      <c r="P47" s="59">
        <f>G42-71.99</f>
        <v>0</v>
      </c>
      <c r="Q47" s="1"/>
      <c r="R47" s="358"/>
    </row>
    <row r="48" spans="1:24">
      <c r="B48" s="1"/>
      <c r="C48" s="60"/>
      <c r="D48" s="61"/>
      <c r="E48" s="62">
        <f>E42-(83.02-78.11+0.14-0.19-0.07)</f>
        <v>4.9999999999993605E-2</v>
      </c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>
        <f>G46-3.42-3.44-0.12</f>
        <v>-3.3306690738754696E-16</v>
      </c>
      <c r="Q48" s="1"/>
      <c r="R48" s="344"/>
    </row>
    <row r="49" spans="1:17">
      <c r="C49" s="66"/>
      <c r="D49" s="61"/>
      <c r="E49" s="62">
        <f>E46-(3.65-3.22-0.57+0.36)</f>
        <v>-0.21999999999999975</v>
      </c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  <c r="Q49" s="1"/>
    </row>
    <row r="50" spans="1:17">
      <c r="A50" s="22" t="s">
        <v>43</v>
      </c>
      <c r="C50" s="66"/>
      <c r="D50" s="61"/>
      <c r="G50" s="61"/>
      <c r="H50" s="61"/>
      <c r="I50" s="34"/>
      <c r="J50" s="67"/>
      <c r="K50" s="67"/>
      <c r="L50" s="64"/>
      <c r="M50" s="61"/>
      <c r="N50" s="67"/>
      <c r="O50" s="67"/>
      <c r="P50" s="1"/>
      <c r="Q50" s="1"/>
    </row>
    <row r="51" spans="1:17">
      <c r="B51" s="1" t="s">
        <v>44</v>
      </c>
      <c r="C51" s="68"/>
      <c r="D51" s="61"/>
      <c r="E51" s="17">
        <f>[4]Table10s2!$S$21*1000/4000000</f>
        <v>1.2291101785573955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Q51" s="1"/>
    </row>
    <row r="52" spans="1:17">
      <c r="B52" s="1" t="s">
        <v>41</v>
      </c>
      <c r="C52" s="69"/>
      <c r="D52" s="17"/>
      <c r="E52" s="70">
        <f>G45</f>
        <v>1.62</v>
      </c>
      <c r="G52" s="61"/>
      <c r="H52" s="61"/>
      <c r="I52" s="34"/>
      <c r="J52" s="67"/>
      <c r="K52" s="67"/>
      <c r="L52" s="64"/>
      <c r="M52" s="61"/>
      <c r="N52" s="67"/>
      <c r="O52" s="67"/>
      <c r="P52" s="1"/>
      <c r="Q52" s="1"/>
    </row>
    <row r="53" spans="1:17">
      <c r="B53" s="1" t="s">
        <v>39</v>
      </c>
      <c r="C53" s="69"/>
      <c r="D53" s="17"/>
      <c r="E53" s="71">
        <f>(([4]Table10s2!$S$20+[4]Table10s2!$S$22)*1000-E52*2.394*1000000)/3200000</f>
        <v>1.7665972348678951</v>
      </c>
      <c r="G53" s="61"/>
      <c r="H53" s="61"/>
      <c r="I53" s="34"/>
      <c r="J53" s="67"/>
      <c r="K53" s="67"/>
      <c r="L53" s="64"/>
      <c r="M53" s="64"/>
      <c r="N53" s="67"/>
      <c r="O53" s="67"/>
      <c r="P53" s="1"/>
      <c r="Q53" s="1"/>
    </row>
    <row r="54" spans="1:17">
      <c r="B54" s="1"/>
      <c r="C54" s="69"/>
      <c r="D54" s="17"/>
      <c r="E54" s="359"/>
      <c r="F54" s="359"/>
      <c r="G54" s="61"/>
      <c r="H54" s="61"/>
      <c r="I54" s="34"/>
      <c r="J54" s="67"/>
      <c r="K54" s="67"/>
      <c r="L54" s="64"/>
      <c r="M54" s="61"/>
      <c r="N54" s="67"/>
      <c r="O54" s="67"/>
      <c r="P54" s="1"/>
      <c r="Q54" s="1"/>
    </row>
    <row r="55" spans="1:17">
      <c r="B55" s="1"/>
      <c r="C55" s="69"/>
      <c r="D55" s="17"/>
      <c r="E55" s="359"/>
      <c r="F55" s="359"/>
      <c r="G55" s="61"/>
      <c r="H55" s="61"/>
      <c r="I55" s="34"/>
      <c r="J55" s="67"/>
      <c r="K55" s="67"/>
      <c r="L55" s="66"/>
      <c r="M55" s="61"/>
      <c r="N55" s="60"/>
      <c r="O55" s="60"/>
      <c r="P55" s="1"/>
      <c r="Q55" s="1"/>
    </row>
    <row r="56" spans="1:17">
      <c r="B56" s="1"/>
      <c r="C56" s="69"/>
      <c r="D56" s="17"/>
      <c r="E56" s="359"/>
      <c r="F56" s="359"/>
      <c r="G56" s="61"/>
      <c r="H56" s="61"/>
      <c r="I56" s="34"/>
      <c r="J56" s="67"/>
      <c r="K56" s="67"/>
      <c r="L56" s="64"/>
      <c r="M56" s="61"/>
      <c r="N56" s="67"/>
      <c r="O56" s="67"/>
      <c r="P56" s="1"/>
      <c r="Q56" s="1"/>
    </row>
    <row r="57" spans="1:17">
      <c r="B57" s="1"/>
      <c r="C57" s="69"/>
      <c r="D57" s="17"/>
      <c r="E57" s="359"/>
      <c r="F57" s="359"/>
      <c r="G57" s="61"/>
      <c r="H57" s="61"/>
      <c r="I57" s="67"/>
      <c r="J57" s="67"/>
      <c r="K57" s="67"/>
      <c r="L57" s="64"/>
      <c r="M57" s="61"/>
      <c r="N57" s="67"/>
      <c r="O57" s="67"/>
      <c r="P57" s="1"/>
      <c r="Q57" s="1"/>
    </row>
    <row r="58" spans="1:17">
      <c r="B58" s="1"/>
      <c r="C58" s="360"/>
      <c r="D58" s="360"/>
      <c r="E58" s="360"/>
      <c r="F58" s="360"/>
      <c r="G58" s="61"/>
      <c r="H58" s="61"/>
      <c r="I58" s="67"/>
      <c r="J58" s="67"/>
      <c r="K58" s="67"/>
      <c r="L58" s="64"/>
      <c r="M58" s="64"/>
      <c r="N58" s="64"/>
      <c r="O58" s="64"/>
      <c r="P58" s="1"/>
      <c r="Q58" s="1"/>
    </row>
    <row r="59" spans="1:17">
      <c r="B59" s="1"/>
      <c r="C59" s="61"/>
      <c r="D59" s="61"/>
      <c r="E59" s="61"/>
      <c r="F59" s="61"/>
      <c r="G59" s="61"/>
      <c r="H59" s="61"/>
      <c r="I59" s="67"/>
      <c r="J59" s="67"/>
      <c r="K59" s="67"/>
      <c r="L59" s="64"/>
      <c r="M59" s="361"/>
      <c r="N59" s="362"/>
      <c r="O59" s="362"/>
      <c r="P59" s="1"/>
      <c r="Q59" s="1"/>
    </row>
    <row r="60" spans="1:17">
      <c r="B60" s="1"/>
      <c r="C60" s="61"/>
      <c r="D60" s="61"/>
      <c r="E60" s="61"/>
      <c r="F60" s="61"/>
      <c r="G60" s="61"/>
      <c r="H60" s="61"/>
      <c r="I60" s="67"/>
      <c r="J60" s="67"/>
      <c r="K60" s="67"/>
      <c r="L60" s="64"/>
      <c r="M60" s="361"/>
      <c r="N60" s="362"/>
      <c r="O60" s="362"/>
      <c r="P60" s="1"/>
      <c r="Q60" s="1"/>
    </row>
    <row r="64" spans="1:17">
      <c r="C64" s="363"/>
    </row>
    <row r="65" spans="3:3">
      <c r="C65" s="364"/>
    </row>
    <row r="66" spans="3:3">
      <c r="C66" s="363"/>
    </row>
    <row r="67" spans="3:3">
      <c r="C67" s="363"/>
    </row>
    <row r="68" spans="3:3">
      <c r="C68" s="365"/>
    </row>
  </sheetData>
  <mergeCells count="37">
    <mergeCell ref="P7:P19"/>
    <mergeCell ref="C1:H1"/>
    <mergeCell ref="J1:P1"/>
    <mergeCell ref="C2:D2"/>
    <mergeCell ref="E2:H2"/>
    <mergeCell ref="J2:J4"/>
    <mergeCell ref="K2:P3"/>
    <mergeCell ref="E3:F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N26:N32"/>
    <mergeCell ref="O26:O32"/>
    <mergeCell ref="P26:P32"/>
    <mergeCell ref="A36:A46"/>
    <mergeCell ref="D36:D46"/>
    <mergeCell ref="F36:F46"/>
    <mergeCell ref="H36:H4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topLeftCell="A10" workbookViewId="0"/>
  </sheetViews>
  <sheetFormatPr baseColWidth="10" defaultRowHeight="13"/>
  <cols>
    <col min="1" max="1" width="11.453125" style="22"/>
    <col min="2" max="2" width="22.81640625" style="22" bestFit="1" customWidth="1"/>
    <col min="3" max="3" width="7" style="22" customWidth="1"/>
    <col min="4" max="4" width="6.26953125" style="22" customWidth="1"/>
    <col min="5" max="5" width="5.7265625" style="22" customWidth="1"/>
    <col min="6" max="6" width="7" style="22" bestFit="1" customWidth="1"/>
    <col min="7" max="7" width="5.81640625" style="22" bestFit="1" customWidth="1"/>
    <col min="8" max="8" width="9.453125" style="22" customWidth="1"/>
    <col min="9" max="9" width="9.26953125" style="22" customWidth="1"/>
    <col min="10" max="10" width="9.7265625" style="22" customWidth="1"/>
    <col min="11" max="11" width="9.453125" style="22" customWidth="1"/>
    <col min="12" max="12" width="4.81640625" style="22" customWidth="1"/>
    <col min="13" max="13" width="5.26953125" style="22" customWidth="1"/>
    <col min="14" max="14" width="18.7265625" style="22" bestFit="1" customWidth="1"/>
    <col min="15" max="15" width="4.453125" style="22" bestFit="1" customWidth="1"/>
    <col min="16" max="16" width="19.26953125" style="22" customWidth="1"/>
    <col min="17" max="17" width="6" style="22" customWidth="1"/>
    <col min="18" max="18" width="17.7265625" style="22" bestFit="1" customWidth="1"/>
    <col min="19" max="19" width="9.1796875" style="22" customWidth="1"/>
    <col min="20" max="20" width="12.26953125" style="22" customWidth="1"/>
    <col min="21" max="21" width="11.453125" style="22"/>
    <col min="22" max="22" width="10.54296875" style="22" customWidth="1"/>
    <col min="23" max="23" width="12.1796875" style="22" customWidth="1"/>
    <col min="24" max="24" width="21.26953125" style="22" bestFit="1" customWidth="1"/>
    <col min="25" max="238" width="11.453125" style="22"/>
    <col min="239" max="239" width="14.81640625" style="22" bestFit="1" customWidth="1"/>
    <col min="240" max="240" width="28" style="22" bestFit="1" customWidth="1"/>
    <col min="241" max="241" width="4.453125" style="22" bestFit="1" customWidth="1"/>
    <col min="242" max="242" width="8" style="22" bestFit="1" customWidth="1"/>
    <col min="243" max="243" width="11.453125" style="22"/>
    <col min="244" max="244" width="22.81640625" style="22" bestFit="1" customWidth="1"/>
    <col min="245" max="245" width="7" style="22" customWidth="1"/>
    <col min="246" max="246" width="6.26953125" style="22" customWidth="1"/>
    <col min="247" max="247" width="5.7265625" style="22" customWidth="1"/>
    <col min="248" max="248" width="5.7265625" style="22" bestFit="1" customWidth="1"/>
    <col min="249" max="249" width="5.81640625" style="22" bestFit="1" customWidth="1"/>
    <col min="250" max="250" width="9.453125" style="22" customWidth="1"/>
    <col min="251" max="251" width="5.1796875" style="22" customWidth="1"/>
    <col min="252" max="252" width="9.7265625" style="22" customWidth="1"/>
    <col min="253" max="253" width="6.7265625" style="22" bestFit="1" customWidth="1"/>
    <col min="254" max="254" width="4.81640625" style="22" customWidth="1"/>
    <col min="255" max="255" width="5.26953125" style="22" customWidth="1"/>
    <col min="256" max="257" width="4.453125" style="22" bestFit="1" customWidth="1"/>
    <col min="258" max="258" width="13.26953125" style="22" bestFit="1" customWidth="1"/>
    <col min="259" max="259" width="3.1796875" style="22" customWidth="1"/>
    <col min="260" max="260" width="5.453125" style="22" bestFit="1" customWidth="1"/>
    <col min="261" max="261" width="4.453125" style="22" bestFit="1" customWidth="1"/>
    <col min="262" max="262" width="6.453125" style="22" customWidth="1"/>
    <col min="263" max="263" width="5" style="22" bestFit="1" customWidth="1"/>
    <col min="264" max="264" width="4.54296875" style="22" bestFit="1" customWidth="1"/>
    <col min="265" max="265" width="4.453125" style="22" bestFit="1" customWidth="1"/>
    <col min="266" max="266" width="4" style="22" customWidth="1"/>
    <col min="267" max="494" width="11.453125" style="22"/>
    <col min="495" max="495" width="14.81640625" style="22" bestFit="1" customWidth="1"/>
    <col min="496" max="496" width="28" style="22" bestFit="1" customWidth="1"/>
    <col min="497" max="497" width="4.453125" style="22" bestFit="1" customWidth="1"/>
    <col min="498" max="498" width="8" style="22" bestFit="1" customWidth="1"/>
    <col min="499" max="499" width="11.453125" style="22"/>
    <col min="500" max="500" width="22.81640625" style="22" bestFit="1" customWidth="1"/>
    <col min="501" max="501" width="7" style="22" customWidth="1"/>
    <col min="502" max="502" width="6.26953125" style="22" customWidth="1"/>
    <col min="503" max="503" width="5.7265625" style="22" customWidth="1"/>
    <col min="504" max="504" width="5.7265625" style="22" bestFit="1" customWidth="1"/>
    <col min="505" max="505" width="5.81640625" style="22" bestFit="1" customWidth="1"/>
    <col min="506" max="506" width="9.453125" style="22" customWidth="1"/>
    <col min="507" max="507" width="5.1796875" style="22" customWidth="1"/>
    <col min="508" max="508" width="9.7265625" style="22" customWidth="1"/>
    <col min="509" max="509" width="6.7265625" style="22" bestFit="1" customWidth="1"/>
    <col min="510" max="510" width="4.81640625" style="22" customWidth="1"/>
    <col min="511" max="511" width="5.26953125" style="22" customWidth="1"/>
    <col min="512" max="513" width="4.453125" style="22" bestFit="1" customWidth="1"/>
    <col min="514" max="514" width="13.26953125" style="22" bestFit="1" customWidth="1"/>
    <col min="515" max="515" width="3.1796875" style="22" customWidth="1"/>
    <col min="516" max="516" width="5.453125" style="22" bestFit="1" customWidth="1"/>
    <col min="517" max="517" width="4.453125" style="22" bestFit="1" customWidth="1"/>
    <col min="518" max="518" width="6.453125" style="22" customWidth="1"/>
    <col min="519" max="519" width="5" style="22" bestFit="1" customWidth="1"/>
    <col min="520" max="520" width="4.54296875" style="22" bestFit="1" customWidth="1"/>
    <col min="521" max="521" width="4.453125" style="22" bestFit="1" customWidth="1"/>
    <col min="522" max="522" width="4" style="22" customWidth="1"/>
    <col min="523" max="750" width="11.453125" style="22"/>
    <col min="751" max="751" width="14.81640625" style="22" bestFit="1" customWidth="1"/>
    <col min="752" max="752" width="28" style="22" bestFit="1" customWidth="1"/>
    <col min="753" max="753" width="4.453125" style="22" bestFit="1" customWidth="1"/>
    <col min="754" max="754" width="8" style="22" bestFit="1" customWidth="1"/>
    <col min="755" max="755" width="11.453125" style="22"/>
    <col min="756" max="756" width="22.81640625" style="22" bestFit="1" customWidth="1"/>
    <col min="757" max="757" width="7" style="22" customWidth="1"/>
    <col min="758" max="758" width="6.26953125" style="22" customWidth="1"/>
    <col min="759" max="759" width="5.7265625" style="22" customWidth="1"/>
    <col min="760" max="760" width="5.7265625" style="22" bestFit="1" customWidth="1"/>
    <col min="761" max="761" width="5.81640625" style="22" bestFit="1" customWidth="1"/>
    <col min="762" max="762" width="9.453125" style="22" customWidth="1"/>
    <col min="763" max="763" width="5.1796875" style="22" customWidth="1"/>
    <col min="764" max="764" width="9.7265625" style="22" customWidth="1"/>
    <col min="765" max="765" width="6.7265625" style="22" bestFit="1" customWidth="1"/>
    <col min="766" max="766" width="4.81640625" style="22" customWidth="1"/>
    <col min="767" max="767" width="5.26953125" style="22" customWidth="1"/>
    <col min="768" max="769" width="4.453125" style="22" bestFit="1" customWidth="1"/>
    <col min="770" max="770" width="13.26953125" style="22" bestFit="1" customWidth="1"/>
    <col min="771" max="771" width="3.1796875" style="22" customWidth="1"/>
    <col min="772" max="772" width="5.453125" style="22" bestFit="1" customWidth="1"/>
    <col min="773" max="773" width="4.453125" style="22" bestFit="1" customWidth="1"/>
    <col min="774" max="774" width="6.453125" style="22" customWidth="1"/>
    <col min="775" max="775" width="5" style="22" bestFit="1" customWidth="1"/>
    <col min="776" max="776" width="4.54296875" style="22" bestFit="1" customWidth="1"/>
    <col min="777" max="777" width="4.453125" style="22" bestFit="1" customWidth="1"/>
    <col min="778" max="778" width="4" style="22" customWidth="1"/>
    <col min="779" max="1006" width="11.453125" style="22"/>
    <col min="1007" max="1007" width="14.81640625" style="22" bestFit="1" customWidth="1"/>
    <col min="1008" max="1008" width="28" style="22" bestFit="1" customWidth="1"/>
    <col min="1009" max="1009" width="4.453125" style="22" bestFit="1" customWidth="1"/>
    <col min="1010" max="1010" width="8" style="22" bestFit="1" customWidth="1"/>
    <col min="1011" max="1011" width="11.453125" style="22"/>
    <col min="1012" max="1012" width="22.81640625" style="22" bestFit="1" customWidth="1"/>
    <col min="1013" max="1013" width="7" style="22" customWidth="1"/>
    <col min="1014" max="1014" width="6.26953125" style="22" customWidth="1"/>
    <col min="1015" max="1015" width="5.7265625" style="22" customWidth="1"/>
    <col min="1016" max="1016" width="5.7265625" style="22" bestFit="1" customWidth="1"/>
    <col min="1017" max="1017" width="5.81640625" style="22" bestFit="1" customWidth="1"/>
    <col min="1018" max="1018" width="9.453125" style="22" customWidth="1"/>
    <col min="1019" max="1019" width="5.1796875" style="22" customWidth="1"/>
    <col min="1020" max="1020" width="9.7265625" style="22" customWidth="1"/>
    <col min="1021" max="1021" width="6.7265625" style="22" bestFit="1" customWidth="1"/>
    <col min="1022" max="1022" width="4.81640625" style="22" customWidth="1"/>
    <col min="1023" max="1023" width="5.26953125" style="22" customWidth="1"/>
    <col min="1024" max="1025" width="4.453125" style="22" bestFit="1" customWidth="1"/>
    <col min="1026" max="1026" width="13.26953125" style="22" bestFit="1" customWidth="1"/>
    <col min="1027" max="1027" width="3.1796875" style="22" customWidth="1"/>
    <col min="1028" max="1028" width="5.453125" style="22" bestFit="1" customWidth="1"/>
    <col min="1029" max="1029" width="4.453125" style="22" bestFit="1" customWidth="1"/>
    <col min="1030" max="1030" width="6.453125" style="22" customWidth="1"/>
    <col min="1031" max="1031" width="5" style="22" bestFit="1" customWidth="1"/>
    <col min="1032" max="1032" width="4.54296875" style="22" bestFit="1" customWidth="1"/>
    <col min="1033" max="1033" width="4.453125" style="22" bestFit="1" customWidth="1"/>
    <col min="1034" max="1034" width="4" style="22" customWidth="1"/>
    <col min="1035" max="1262" width="11.453125" style="22"/>
    <col min="1263" max="1263" width="14.81640625" style="22" bestFit="1" customWidth="1"/>
    <col min="1264" max="1264" width="28" style="22" bestFit="1" customWidth="1"/>
    <col min="1265" max="1265" width="4.453125" style="22" bestFit="1" customWidth="1"/>
    <col min="1266" max="1266" width="8" style="22" bestFit="1" customWidth="1"/>
    <col min="1267" max="1267" width="11.453125" style="22"/>
    <col min="1268" max="1268" width="22.81640625" style="22" bestFit="1" customWidth="1"/>
    <col min="1269" max="1269" width="7" style="22" customWidth="1"/>
    <col min="1270" max="1270" width="6.26953125" style="22" customWidth="1"/>
    <col min="1271" max="1271" width="5.7265625" style="22" customWidth="1"/>
    <col min="1272" max="1272" width="5.7265625" style="22" bestFit="1" customWidth="1"/>
    <col min="1273" max="1273" width="5.81640625" style="22" bestFit="1" customWidth="1"/>
    <col min="1274" max="1274" width="9.453125" style="22" customWidth="1"/>
    <col min="1275" max="1275" width="5.1796875" style="22" customWidth="1"/>
    <col min="1276" max="1276" width="9.7265625" style="22" customWidth="1"/>
    <col min="1277" max="1277" width="6.7265625" style="22" bestFit="1" customWidth="1"/>
    <col min="1278" max="1278" width="4.81640625" style="22" customWidth="1"/>
    <col min="1279" max="1279" width="5.26953125" style="22" customWidth="1"/>
    <col min="1280" max="1281" width="4.453125" style="22" bestFit="1" customWidth="1"/>
    <col min="1282" max="1282" width="13.26953125" style="22" bestFit="1" customWidth="1"/>
    <col min="1283" max="1283" width="3.1796875" style="22" customWidth="1"/>
    <col min="1284" max="1284" width="5.453125" style="22" bestFit="1" customWidth="1"/>
    <col min="1285" max="1285" width="4.453125" style="22" bestFit="1" customWidth="1"/>
    <col min="1286" max="1286" width="6.453125" style="22" customWidth="1"/>
    <col min="1287" max="1287" width="5" style="22" bestFit="1" customWidth="1"/>
    <col min="1288" max="1288" width="4.54296875" style="22" bestFit="1" customWidth="1"/>
    <col min="1289" max="1289" width="4.453125" style="22" bestFit="1" customWidth="1"/>
    <col min="1290" max="1290" width="4" style="22" customWidth="1"/>
    <col min="1291" max="1518" width="11.453125" style="22"/>
    <col min="1519" max="1519" width="14.81640625" style="22" bestFit="1" customWidth="1"/>
    <col min="1520" max="1520" width="28" style="22" bestFit="1" customWidth="1"/>
    <col min="1521" max="1521" width="4.453125" style="22" bestFit="1" customWidth="1"/>
    <col min="1522" max="1522" width="8" style="22" bestFit="1" customWidth="1"/>
    <col min="1523" max="1523" width="11.453125" style="22"/>
    <col min="1524" max="1524" width="22.81640625" style="22" bestFit="1" customWidth="1"/>
    <col min="1525" max="1525" width="7" style="22" customWidth="1"/>
    <col min="1526" max="1526" width="6.26953125" style="22" customWidth="1"/>
    <col min="1527" max="1527" width="5.7265625" style="22" customWidth="1"/>
    <col min="1528" max="1528" width="5.7265625" style="22" bestFit="1" customWidth="1"/>
    <col min="1529" max="1529" width="5.81640625" style="22" bestFit="1" customWidth="1"/>
    <col min="1530" max="1530" width="9.453125" style="22" customWidth="1"/>
    <col min="1531" max="1531" width="5.1796875" style="22" customWidth="1"/>
    <col min="1532" max="1532" width="9.7265625" style="22" customWidth="1"/>
    <col min="1533" max="1533" width="6.7265625" style="22" bestFit="1" customWidth="1"/>
    <col min="1534" max="1534" width="4.81640625" style="22" customWidth="1"/>
    <col min="1535" max="1535" width="5.26953125" style="22" customWidth="1"/>
    <col min="1536" max="1537" width="4.453125" style="22" bestFit="1" customWidth="1"/>
    <col min="1538" max="1538" width="13.26953125" style="22" bestFit="1" customWidth="1"/>
    <col min="1539" max="1539" width="3.1796875" style="22" customWidth="1"/>
    <col min="1540" max="1540" width="5.453125" style="22" bestFit="1" customWidth="1"/>
    <col min="1541" max="1541" width="4.453125" style="22" bestFit="1" customWidth="1"/>
    <col min="1542" max="1542" width="6.453125" style="22" customWidth="1"/>
    <col min="1543" max="1543" width="5" style="22" bestFit="1" customWidth="1"/>
    <col min="1544" max="1544" width="4.54296875" style="22" bestFit="1" customWidth="1"/>
    <col min="1545" max="1545" width="4.453125" style="22" bestFit="1" customWidth="1"/>
    <col min="1546" max="1546" width="4" style="22" customWidth="1"/>
    <col min="1547" max="1774" width="11.453125" style="22"/>
    <col min="1775" max="1775" width="14.81640625" style="22" bestFit="1" customWidth="1"/>
    <col min="1776" max="1776" width="28" style="22" bestFit="1" customWidth="1"/>
    <col min="1777" max="1777" width="4.453125" style="22" bestFit="1" customWidth="1"/>
    <col min="1778" max="1778" width="8" style="22" bestFit="1" customWidth="1"/>
    <col min="1779" max="1779" width="11.453125" style="22"/>
    <col min="1780" max="1780" width="22.81640625" style="22" bestFit="1" customWidth="1"/>
    <col min="1781" max="1781" width="7" style="22" customWidth="1"/>
    <col min="1782" max="1782" width="6.26953125" style="22" customWidth="1"/>
    <col min="1783" max="1783" width="5.7265625" style="22" customWidth="1"/>
    <col min="1784" max="1784" width="5.7265625" style="22" bestFit="1" customWidth="1"/>
    <col min="1785" max="1785" width="5.81640625" style="22" bestFit="1" customWidth="1"/>
    <col min="1786" max="1786" width="9.453125" style="22" customWidth="1"/>
    <col min="1787" max="1787" width="5.1796875" style="22" customWidth="1"/>
    <col min="1788" max="1788" width="9.7265625" style="22" customWidth="1"/>
    <col min="1789" max="1789" width="6.7265625" style="22" bestFit="1" customWidth="1"/>
    <col min="1790" max="1790" width="4.81640625" style="22" customWidth="1"/>
    <col min="1791" max="1791" width="5.26953125" style="22" customWidth="1"/>
    <col min="1792" max="1793" width="4.453125" style="22" bestFit="1" customWidth="1"/>
    <col min="1794" max="1794" width="13.26953125" style="22" bestFit="1" customWidth="1"/>
    <col min="1795" max="1795" width="3.1796875" style="22" customWidth="1"/>
    <col min="1796" max="1796" width="5.453125" style="22" bestFit="1" customWidth="1"/>
    <col min="1797" max="1797" width="4.453125" style="22" bestFit="1" customWidth="1"/>
    <col min="1798" max="1798" width="6.453125" style="22" customWidth="1"/>
    <col min="1799" max="1799" width="5" style="22" bestFit="1" customWidth="1"/>
    <col min="1800" max="1800" width="4.54296875" style="22" bestFit="1" customWidth="1"/>
    <col min="1801" max="1801" width="4.453125" style="22" bestFit="1" customWidth="1"/>
    <col min="1802" max="1802" width="4" style="22" customWidth="1"/>
    <col min="1803" max="2030" width="11.453125" style="22"/>
    <col min="2031" max="2031" width="14.81640625" style="22" bestFit="1" customWidth="1"/>
    <col min="2032" max="2032" width="28" style="22" bestFit="1" customWidth="1"/>
    <col min="2033" max="2033" width="4.453125" style="22" bestFit="1" customWidth="1"/>
    <col min="2034" max="2034" width="8" style="22" bestFit="1" customWidth="1"/>
    <col min="2035" max="2035" width="11.453125" style="22"/>
    <col min="2036" max="2036" width="22.81640625" style="22" bestFit="1" customWidth="1"/>
    <col min="2037" max="2037" width="7" style="22" customWidth="1"/>
    <col min="2038" max="2038" width="6.26953125" style="22" customWidth="1"/>
    <col min="2039" max="2039" width="5.7265625" style="22" customWidth="1"/>
    <col min="2040" max="2040" width="5.7265625" style="22" bestFit="1" customWidth="1"/>
    <col min="2041" max="2041" width="5.81640625" style="22" bestFit="1" customWidth="1"/>
    <col min="2042" max="2042" width="9.453125" style="22" customWidth="1"/>
    <col min="2043" max="2043" width="5.1796875" style="22" customWidth="1"/>
    <col min="2044" max="2044" width="9.7265625" style="22" customWidth="1"/>
    <col min="2045" max="2045" width="6.7265625" style="22" bestFit="1" customWidth="1"/>
    <col min="2046" max="2046" width="4.81640625" style="22" customWidth="1"/>
    <col min="2047" max="2047" width="5.26953125" style="22" customWidth="1"/>
    <col min="2048" max="2049" width="4.453125" style="22" bestFit="1" customWidth="1"/>
    <col min="2050" max="2050" width="13.26953125" style="22" bestFit="1" customWidth="1"/>
    <col min="2051" max="2051" width="3.1796875" style="22" customWidth="1"/>
    <col min="2052" max="2052" width="5.453125" style="22" bestFit="1" customWidth="1"/>
    <col min="2053" max="2053" width="4.453125" style="22" bestFit="1" customWidth="1"/>
    <col min="2054" max="2054" width="6.453125" style="22" customWidth="1"/>
    <col min="2055" max="2055" width="5" style="22" bestFit="1" customWidth="1"/>
    <col min="2056" max="2056" width="4.54296875" style="22" bestFit="1" customWidth="1"/>
    <col min="2057" max="2057" width="4.453125" style="22" bestFit="1" customWidth="1"/>
    <col min="2058" max="2058" width="4" style="22" customWidth="1"/>
    <col min="2059" max="2286" width="11.453125" style="22"/>
    <col min="2287" max="2287" width="14.81640625" style="22" bestFit="1" customWidth="1"/>
    <col min="2288" max="2288" width="28" style="22" bestFit="1" customWidth="1"/>
    <col min="2289" max="2289" width="4.453125" style="22" bestFit="1" customWidth="1"/>
    <col min="2290" max="2290" width="8" style="22" bestFit="1" customWidth="1"/>
    <col min="2291" max="2291" width="11.453125" style="22"/>
    <col min="2292" max="2292" width="22.81640625" style="22" bestFit="1" customWidth="1"/>
    <col min="2293" max="2293" width="7" style="22" customWidth="1"/>
    <col min="2294" max="2294" width="6.26953125" style="22" customWidth="1"/>
    <col min="2295" max="2295" width="5.7265625" style="22" customWidth="1"/>
    <col min="2296" max="2296" width="5.7265625" style="22" bestFit="1" customWidth="1"/>
    <col min="2297" max="2297" width="5.81640625" style="22" bestFit="1" customWidth="1"/>
    <col min="2298" max="2298" width="9.453125" style="22" customWidth="1"/>
    <col min="2299" max="2299" width="5.1796875" style="22" customWidth="1"/>
    <col min="2300" max="2300" width="9.7265625" style="22" customWidth="1"/>
    <col min="2301" max="2301" width="6.7265625" style="22" bestFit="1" customWidth="1"/>
    <col min="2302" max="2302" width="4.81640625" style="22" customWidth="1"/>
    <col min="2303" max="2303" width="5.26953125" style="22" customWidth="1"/>
    <col min="2304" max="2305" width="4.453125" style="22" bestFit="1" customWidth="1"/>
    <col min="2306" max="2306" width="13.26953125" style="22" bestFit="1" customWidth="1"/>
    <col min="2307" max="2307" width="3.1796875" style="22" customWidth="1"/>
    <col min="2308" max="2308" width="5.453125" style="22" bestFit="1" customWidth="1"/>
    <col min="2309" max="2309" width="4.453125" style="22" bestFit="1" customWidth="1"/>
    <col min="2310" max="2310" width="6.453125" style="22" customWidth="1"/>
    <col min="2311" max="2311" width="5" style="22" bestFit="1" customWidth="1"/>
    <col min="2312" max="2312" width="4.54296875" style="22" bestFit="1" customWidth="1"/>
    <col min="2313" max="2313" width="4.453125" style="22" bestFit="1" customWidth="1"/>
    <col min="2314" max="2314" width="4" style="22" customWidth="1"/>
    <col min="2315" max="2542" width="11.453125" style="22"/>
    <col min="2543" max="2543" width="14.81640625" style="22" bestFit="1" customWidth="1"/>
    <col min="2544" max="2544" width="28" style="22" bestFit="1" customWidth="1"/>
    <col min="2545" max="2545" width="4.453125" style="22" bestFit="1" customWidth="1"/>
    <col min="2546" max="2546" width="8" style="22" bestFit="1" customWidth="1"/>
    <col min="2547" max="2547" width="11.453125" style="22"/>
    <col min="2548" max="2548" width="22.81640625" style="22" bestFit="1" customWidth="1"/>
    <col min="2549" max="2549" width="7" style="22" customWidth="1"/>
    <col min="2550" max="2550" width="6.26953125" style="22" customWidth="1"/>
    <col min="2551" max="2551" width="5.7265625" style="22" customWidth="1"/>
    <col min="2552" max="2552" width="5.7265625" style="22" bestFit="1" customWidth="1"/>
    <col min="2553" max="2553" width="5.81640625" style="22" bestFit="1" customWidth="1"/>
    <col min="2554" max="2554" width="9.453125" style="22" customWidth="1"/>
    <col min="2555" max="2555" width="5.1796875" style="22" customWidth="1"/>
    <col min="2556" max="2556" width="9.7265625" style="22" customWidth="1"/>
    <col min="2557" max="2557" width="6.7265625" style="22" bestFit="1" customWidth="1"/>
    <col min="2558" max="2558" width="4.81640625" style="22" customWidth="1"/>
    <col min="2559" max="2559" width="5.26953125" style="22" customWidth="1"/>
    <col min="2560" max="2561" width="4.453125" style="22" bestFit="1" customWidth="1"/>
    <col min="2562" max="2562" width="13.26953125" style="22" bestFit="1" customWidth="1"/>
    <col min="2563" max="2563" width="3.1796875" style="22" customWidth="1"/>
    <col min="2564" max="2564" width="5.453125" style="22" bestFit="1" customWidth="1"/>
    <col min="2565" max="2565" width="4.453125" style="22" bestFit="1" customWidth="1"/>
    <col min="2566" max="2566" width="6.453125" style="22" customWidth="1"/>
    <col min="2567" max="2567" width="5" style="22" bestFit="1" customWidth="1"/>
    <col min="2568" max="2568" width="4.54296875" style="22" bestFit="1" customWidth="1"/>
    <col min="2569" max="2569" width="4.453125" style="22" bestFit="1" customWidth="1"/>
    <col min="2570" max="2570" width="4" style="22" customWidth="1"/>
    <col min="2571" max="2798" width="11.453125" style="22"/>
    <col min="2799" max="2799" width="14.81640625" style="22" bestFit="1" customWidth="1"/>
    <col min="2800" max="2800" width="28" style="22" bestFit="1" customWidth="1"/>
    <col min="2801" max="2801" width="4.453125" style="22" bestFit="1" customWidth="1"/>
    <col min="2802" max="2802" width="8" style="22" bestFit="1" customWidth="1"/>
    <col min="2803" max="2803" width="11.453125" style="22"/>
    <col min="2804" max="2804" width="22.81640625" style="22" bestFit="1" customWidth="1"/>
    <col min="2805" max="2805" width="7" style="22" customWidth="1"/>
    <col min="2806" max="2806" width="6.26953125" style="22" customWidth="1"/>
    <col min="2807" max="2807" width="5.7265625" style="22" customWidth="1"/>
    <col min="2808" max="2808" width="5.7265625" style="22" bestFit="1" customWidth="1"/>
    <col min="2809" max="2809" width="5.81640625" style="22" bestFit="1" customWidth="1"/>
    <col min="2810" max="2810" width="9.453125" style="22" customWidth="1"/>
    <col min="2811" max="2811" width="5.1796875" style="22" customWidth="1"/>
    <col min="2812" max="2812" width="9.7265625" style="22" customWidth="1"/>
    <col min="2813" max="2813" width="6.7265625" style="22" bestFit="1" customWidth="1"/>
    <col min="2814" max="2814" width="4.81640625" style="22" customWidth="1"/>
    <col min="2815" max="2815" width="5.26953125" style="22" customWidth="1"/>
    <col min="2816" max="2817" width="4.453125" style="22" bestFit="1" customWidth="1"/>
    <col min="2818" max="2818" width="13.26953125" style="22" bestFit="1" customWidth="1"/>
    <col min="2819" max="2819" width="3.1796875" style="22" customWidth="1"/>
    <col min="2820" max="2820" width="5.453125" style="22" bestFit="1" customWidth="1"/>
    <col min="2821" max="2821" width="4.453125" style="22" bestFit="1" customWidth="1"/>
    <col min="2822" max="2822" width="6.453125" style="22" customWidth="1"/>
    <col min="2823" max="2823" width="5" style="22" bestFit="1" customWidth="1"/>
    <col min="2824" max="2824" width="4.54296875" style="22" bestFit="1" customWidth="1"/>
    <col min="2825" max="2825" width="4.453125" style="22" bestFit="1" customWidth="1"/>
    <col min="2826" max="2826" width="4" style="22" customWidth="1"/>
    <col min="2827" max="3054" width="11.453125" style="22"/>
    <col min="3055" max="3055" width="14.81640625" style="22" bestFit="1" customWidth="1"/>
    <col min="3056" max="3056" width="28" style="22" bestFit="1" customWidth="1"/>
    <col min="3057" max="3057" width="4.453125" style="22" bestFit="1" customWidth="1"/>
    <col min="3058" max="3058" width="8" style="22" bestFit="1" customWidth="1"/>
    <col min="3059" max="3059" width="11.453125" style="22"/>
    <col min="3060" max="3060" width="22.81640625" style="22" bestFit="1" customWidth="1"/>
    <col min="3061" max="3061" width="7" style="22" customWidth="1"/>
    <col min="3062" max="3062" width="6.26953125" style="22" customWidth="1"/>
    <col min="3063" max="3063" width="5.7265625" style="22" customWidth="1"/>
    <col min="3064" max="3064" width="5.7265625" style="22" bestFit="1" customWidth="1"/>
    <col min="3065" max="3065" width="5.81640625" style="22" bestFit="1" customWidth="1"/>
    <col min="3066" max="3066" width="9.453125" style="22" customWidth="1"/>
    <col min="3067" max="3067" width="5.1796875" style="22" customWidth="1"/>
    <col min="3068" max="3068" width="9.7265625" style="22" customWidth="1"/>
    <col min="3069" max="3069" width="6.7265625" style="22" bestFit="1" customWidth="1"/>
    <col min="3070" max="3070" width="4.81640625" style="22" customWidth="1"/>
    <col min="3071" max="3071" width="5.26953125" style="22" customWidth="1"/>
    <col min="3072" max="3073" width="4.453125" style="22" bestFit="1" customWidth="1"/>
    <col min="3074" max="3074" width="13.26953125" style="22" bestFit="1" customWidth="1"/>
    <col min="3075" max="3075" width="3.1796875" style="22" customWidth="1"/>
    <col min="3076" max="3076" width="5.453125" style="22" bestFit="1" customWidth="1"/>
    <col min="3077" max="3077" width="4.453125" style="22" bestFit="1" customWidth="1"/>
    <col min="3078" max="3078" width="6.453125" style="22" customWidth="1"/>
    <col min="3079" max="3079" width="5" style="22" bestFit="1" customWidth="1"/>
    <col min="3080" max="3080" width="4.54296875" style="22" bestFit="1" customWidth="1"/>
    <col min="3081" max="3081" width="4.453125" style="22" bestFit="1" customWidth="1"/>
    <col min="3082" max="3082" width="4" style="22" customWidth="1"/>
    <col min="3083" max="3310" width="11.453125" style="22"/>
    <col min="3311" max="3311" width="14.81640625" style="22" bestFit="1" customWidth="1"/>
    <col min="3312" max="3312" width="28" style="22" bestFit="1" customWidth="1"/>
    <col min="3313" max="3313" width="4.453125" style="22" bestFit="1" customWidth="1"/>
    <col min="3314" max="3314" width="8" style="22" bestFit="1" customWidth="1"/>
    <col min="3315" max="3315" width="11.453125" style="22"/>
    <col min="3316" max="3316" width="22.81640625" style="22" bestFit="1" customWidth="1"/>
    <col min="3317" max="3317" width="7" style="22" customWidth="1"/>
    <col min="3318" max="3318" width="6.26953125" style="22" customWidth="1"/>
    <col min="3319" max="3319" width="5.7265625" style="22" customWidth="1"/>
    <col min="3320" max="3320" width="5.7265625" style="22" bestFit="1" customWidth="1"/>
    <col min="3321" max="3321" width="5.81640625" style="22" bestFit="1" customWidth="1"/>
    <col min="3322" max="3322" width="9.453125" style="22" customWidth="1"/>
    <col min="3323" max="3323" width="5.1796875" style="22" customWidth="1"/>
    <col min="3324" max="3324" width="9.7265625" style="22" customWidth="1"/>
    <col min="3325" max="3325" width="6.7265625" style="22" bestFit="1" customWidth="1"/>
    <col min="3326" max="3326" width="4.81640625" style="22" customWidth="1"/>
    <col min="3327" max="3327" width="5.26953125" style="22" customWidth="1"/>
    <col min="3328" max="3329" width="4.453125" style="22" bestFit="1" customWidth="1"/>
    <col min="3330" max="3330" width="13.26953125" style="22" bestFit="1" customWidth="1"/>
    <col min="3331" max="3331" width="3.1796875" style="22" customWidth="1"/>
    <col min="3332" max="3332" width="5.453125" style="22" bestFit="1" customWidth="1"/>
    <col min="3333" max="3333" width="4.453125" style="22" bestFit="1" customWidth="1"/>
    <col min="3334" max="3334" width="6.453125" style="22" customWidth="1"/>
    <col min="3335" max="3335" width="5" style="22" bestFit="1" customWidth="1"/>
    <col min="3336" max="3336" width="4.54296875" style="22" bestFit="1" customWidth="1"/>
    <col min="3337" max="3337" width="4.453125" style="22" bestFit="1" customWidth="1"/>
    <col min="3338" max="3338" width="4" style="22" customWidth="1"/>
    <col min="3339" max="3566" width="11.453125" style="22"/>
    <col min="3567" max="3567" width="14.81640625" style="22" bestFit="1" customWidth="1"/>
    <col min="3568" max="3568" width="28" style="22" bestFit="1" customWidth="1"/>
    <col min="3569" max="3569" width="4.453125" style="22" bestFit="1" customWidth="1"/>
    <col min="3570" max="3570" width="8" style="22" bestFit="1" customWidth="1"/>
    <col min="3571" max="3571" width="11.453125" style="22"/>
    <col min="3572" max="3572" width="22.81640625" style="22" bestFit="1" customWidth="1"/>
    <col min="3573" max="3573" width="7" style="22" customWidth="1"/>
    <col min="3574" max="3574" width="6.26953125" style="22" customWidth="1"/>
    <col min="3575" max="3575" width="5.7265625" style="22" customWidth="1"/>
    <col min="3576" max="3576" width="5.7265625" style="22" bestFit="1" customWidth="1"/>
    <col min="3577" max="3577" width="5.81640625" style="22" bestFit="1" customWidth="1"/>
    <col min="3578" max="3578" width="9.453125" style="22" customWidth="1"/>
    <col min="3579" max="3579" width="5.1796875" style="22" customWidth="1"/>
    <col min="3580" max="3580" width="9.7265625" style="22" customWidth="1"/>
    <col min="3581" max="3581" width="6.7265625" style="22" bestFit="1" customWidth="1"/>
    <col min="3582" max="3582" width="4.81640625" style="22" customWidth="1"/>
    <col min="3583" max="3583" width="5.26953125" style="22" customWidth="1"/>
    <col min="3584" max="3585" width="4.453125" style="22" bestFit="1" customWidth="1"/>
    <col min="3586" max="3586" width="13.26953125" style="22" bestFit="1" customWidth="1"/>
    <col min="3587" max="3587" width="3.1796875" style="22" customWidth="1"/>
    <col min="3588" max="3588" width="5.453125" style="22" bestFit="1" customWidth="1"/>
    <col min="3589" max="3589" width="4.453125" style="22" bestFit="1" customWidth="1"/>
    <col min="3590" max="3590" width="6.453125" style="22" customWidth="1"/>
    <col min="3591" max="3591" width="5" style="22" bestFit="1" customWidth="1"/>
    <col min="3592" max="3592" width="4.54296875" style="22" bestFit="1" customWidth="1"/>
    <col min="3593" max="3593" width="4.453125" style="22" bestFit="1" customWidth="1"/>
    <col min="3594" max="3594" width="4" style="22" customWidth="1"/>
    <col min="3595" max="3822" width="11.453125" style="22"/>
    <col min="3823" max="3823" width="14.81640625" style="22" bestFit="1" customWidth="1"/>
    <col min="3824" max="3824" width="28" style="22" bestFit="1" customWidth="1"/>
    <col min="3825" max="3825" width="4.453125" style="22" bestFit="1" customWidth="1"/>
    <col min="3826" max="3826" width="8" style="22" bestFit="1" customWidth="1"/>
    <col min="3827" max="3827" width="11.453125" style="22"/>
    <col min="3828" max="3828" width="22.81640625" style="22" bestFit="1" customWidth="1"/>
    <col min="3829" max="3829" width="7" style="22" customWidth="1"/>
    <col min="3830" max="3830" width="6.26953125" style="22" customWidth="1"/>
    <col min="3831" max="3831" width="5.7265625" style="22" customWidth="1"/>
    <col min="3832" max="3832" width="5.7265625" style="22" bestFit="1" customWidth="1"/>
    <col min="3833" max="3833" width="5.81640625" style="22" bestFit="1" customWidth="1"/>
    <col min="3834" max="3834" width="9.453125" style="22" customWidth="1"/>
    <col min="3835" max="3835" width="5.1796875" style="22" customWidth="1"/>
    <col min="3836" max="3836" width="9.7265625" style="22" customWidth="1"/>
    <col min="3837" max="3837" width="6.7265625" style="22" bestFit="1" customWidth="1"/>
    <col min="3838" max="3838" width="4.81640625" style="22" customWidth="1"/>
    <col min="3839" max="3839" width="5.26953125" style="22" customWidth="1"/>
    <col min="3840" max="3841" width="4.453125" style="22" bestFit="1" customWidth="1"/>
    <col min="3842" max="3842" width="13.26953125" style="22" bestFit="1" customWidth="1"/>
    <col min="3843" max="3843" width="3.1796875" style="22" customWidth="1"/>
    <col min="3844" max="3844" width="5.453125" style="22" bestFit="1" customWidth="1"/>
    <col min="3845" max="3845" width="4.453125" style="22" bestFit="1" customWidth="1"/>
    <col min="3846" max="3846" width="6.453125" style="22" customWidth="1"/>
    <col min="3847" max="3847" width="5" style="22" bestFit="1" customWidth="1"/>
    <col min="3848" max="3848" width="4.54296875" style="22" bestFit="1" customWidth="1"/>
    <col min="3849" max="3849" width="4.453125" style="22" bestFit="1" customWidth="1"/>
    <col min="3850" max="3850" width="4" style="22" customWidth="1"/>
    <col min="3851" max="4078" width="11.453125" style="22"/>
    <col min="4079" max="4079" width="14.81640625" style="22" bestFit="1" customWidth="1"/>
    <col min="4080" max="4080" width="28" style="22" bestFit="1" customWidth="1"/>
    <col min="4081" max="4081" width="4.453125" style="22" bestFit="1" customWidth="1"/>
    <col min="4082" max="4082" width="8" style="22" bestFit="1" customWidth="1"/>
    <col min="4083" max="4083" width="11.453125" style="22"/>
    <col min="4084" max="4084" width="22.81640625" style="22" bestFit="1" customWidth="1"/>
    <col min="4085" max="4085" width="7" style="22" customWidth="1"/>
    <col min="4086" max="4086" width="6.26953125" style="22" customWidth="1"/>
    <col min="4087" max="4087" width="5.7265625" style="22" customWidth="1"/>
    <col min="4088" max="4088" width="5.7265625" style="22" bestFit="1" customWidth="1"/>
    <col min="4089" max="4089" width="5.81640625" style="22" bestFit="1" customWidth="1"/>
    <col min="4090" max="4090" width="9.453125" style="22" customWidth="1"/>
    <col min="4091" max="4091" width="5.1796875" style="22" customWidth="1"/>
    <col min="4092" max="4092" width="9.7265625" style="22" customWidth="1"/>
    <col min="4093" max="4093" width="6.7265625" style="22" bestFit="1" customWidth="1"/>
    <col min="4094" max="4094" width="4.81640625" style="22" customWidth="1"/>
    <col min="4095" max="4095" width="5.26953125" style="22" customWidth="1"/>
    <col min="4096" max="4097" width="4.453125" style="22" bestFit="1" customWidth="1"/>
    <col min="4098" max="4098" width="13.26953125" style="22" bestFit="1" customWidth="1"/>
    <col min="4099" max="4099" width="3.1796875" style="22" customWidth="1"/>
    <col min="4100" max="4100" width="5.453125" style="22" bestFit="1" customWidth="1"/>
    <col min="4101" max="4101" width="4.453125" style="22" bestFit="1" customWidth="1"/>
    <col min="4102" max="4102" width="6.453125" style="22" customWidth="1"/>
    <col min="4103" max="4103" width="5" style="22" bestFit="1" customWidth="1"/>
    <col min="4104" max="4104" width="4.54296875" style="22" bestFit="1" customWidth="1"/>
    <col min="4105" max="4105" width="4.453125" style="22" bestFit="1" customWidth="1"/>
    <col min="4106" max="4106" width="4" style="22" customWidth="1"/>
    <col min="4107" max="4334" width="11.453125" style="22"/>
    <col min="4335" max="4335" width="14.81640625" style="22" bestFit="1" customWidth="1"/>
    <col min="4336" max="4336" width="28" style="22" bestFit="1" customWidth="1"/>
    <col min="4337" max="4337" width="4.453125" style="22" bestFit="1" customWidth="1"/>
    <col min="4338" max="4338" width="8" style="22" bestFit="1" customWidth="1"/>
    <col min="4339" max="4339" width="11.453125" style="22"/>
    <col min="4340" max="4340" width="22.81640625" style="22" bestFit="1" customWidth="1"/>
    <col min="4341" max="4341" width="7" style="22" customWidth="1"/>
    <col min="4342" max="4342" width="6.26953125" style="22" customWidth="1"/>
    <col min="4343" max="4343" width="5.7265625" style="22" customWidth="1"/>
    <col min="4344" max="4344" width="5.7265625" style="22" bestFit="1" customWidth="1"/>
    <col min="4345" max="4345" width="5.81640625" style="22" bestFit="1" customWidth="1"/>
    <col min="4346" max="4346" width="9.453125" style="22" customWidth="1"/>
    <col min="4347" max="4347" width="5.1796875" style="22" customWidth="1"/>
    <col min="4348" max="4348" width="9.7265625" style="22" customWidth="1"/>
    <col min="4349" max="4349" width="6.7265625" style="22" bestFit="1" customWidth="1"/>
    <col min="4350" max="4350" width="4.81640625" style="22" customWidth="1"/>
    <col min="4351" max="4351" width="5.26953125" style="22" customWidth="1"/>
    <col min="4352" max="4353" width="4.453125" style="22" bestFit="1" customWidth="1"/>
    <col min="4354" max="4354" width="13.26953125" style="22" bestFit="1" customWidth="1"/>
    <col min="4355" max="4355" width="3.1796875" style="22" customWidth="1"/>
    <col min="4356" max="4356" width="5.453125" style="22" bestFit="1" customWidth="1"/>
    <col min="4357" max="4357" width="4.453125" style="22" bestFit="1" customWidth="1"/>
    <col min="4358" max="4358" width="6.453125" style="22" customWidth="1"/>
    <col min="4359" max="4359" width="5" style="22" bestFit="1" customWidth="1"/>
    <col min="4360" max="4360" width="4.54296875" style="22" bestFit="1" customWidth="1"/>
    <col min="4361" max="4361" width="4.453125" style="22" bestFit="1" customWidth="1"/>
    <col min="4362" max="4362" width="4" style="22" customWidth="1"/>
    <col min="4363" max="4590" width="11.453125" style="22"/>
    <col min="4591" max="4591" width="14.81640625" style="22" bestFit="1" customWidth="1"/>
    <col min="4592" max="4592" width="28" style="22" bestFit="1" customWidth="1"/>
    <col min="4593" max="4593" width="4.453125" style="22" bestFit="1" customWidth="1"/>
    <col min="4594" max="4594" width="8" style="22" bestFit="1" customWidth="1"/>
    <col min="4595" max="4595" width="11.453125" style="22"/>
    <col min="4596" max="4596" width="22.81640625" style="22" bestFit="1" customWidth="1"/>
    <col min="4597" max="4597" width="7" style="22" customWidth="1"/>
    <col min="4598" max="4598" width="6.26953125" style="22" customWidth="1"/>
    <col min="4599" max="4599" width="5.7265625" style="22" customWidth="1"/>
    <col min="4600" max="4600" width="5.7265625" style="22" bestFit="1" customWidth="1"/>
    <col min="4601" max="4601" width="5.81640625" style="22" bestFit="1" customWidth="1"/>
    <col min="4602" max="4602" width="9.453125" style="22" customWidth="1"/>
    <col min="4603" max="4603" width="5.1796875" style="22" customWidth="1"/>
    <col min="4604" max="4604" width="9.7265625" style="22" customWidth="1"/>
    <col min="4605" max="4605" width="6.7265625" style="22" bestFit="1" customWidth="1"/>
    <col min="4606" max="4606" width="4.81640625" style="22" customWidth="1"/>
    <col min="4607" max="4607" width="5.26953125" style="22" customWidth="1"/>
    <col min="4608" max="4609" width="4.453125" style="22" bestFit="1" customWidth="1"/>
    <col min="4610" max="4610" width="13.26953125" style="22" bestFit="1" customWidth="1"/>
    <col min="4611" max="4611" width="3.1796875" style="22" customWidth="1"/>
    <col min="4612" max="4612" width="5.453125" style="22" bestFit="1" customWidth="1"/>
    <col min="4613" max="4613" width="4.453125" style="22" bestFit="1" customWidth="1"/>
    <col min="4614" max="4614" width="6.453125" style="22" customWidth="1"/>
    <col min="4615" max="4615" width="5" style="22" bestFit="1" customWidth="1"/>
    <col min="4616" max="4616" width="4.54296875" style="22" bestFit="1" customWidth="1"/>
    <col min="4617" max="4617" width="4.453125" style="22" bestFit="1" customWidth="1"/>
    <col min="4618" max="4618" width="4" style="22" customWidth="1"/>
    <col min="4619" max="4846" width="11.453125" style="22"/>
    <col min="4847" max="4847" width="14.81640625" style="22" bestFit="1" customWidth="1"/>
    <col min="4848" max="4848" width="28" style="22" bestFit="1" customWidth="1"/>
    <col min="4849" max="4849" width="4.453125" style="22" bestFit="1" customWidth="1"/>
    <col min="4850" max="4850" width="8" style="22" bestFit="1" customWidth="1"/>
    <col min="4851" max="4851" width="11.453125" style="22"/>
    <col min="4852" max="4852" width="22.81640625" style="22" bestFit="1" customWidth="1"/>
    <col min="4853" max="4853" width="7" style="22" customWidth="1"/>
    <col min="4854" max="4854" width="6.26953125" style="22" customWidth="1"/>
    <col min="4855" max="4855" width="5.7265625" style="22" customWidth="1"/>
    <col min="4856" max="4856" width="5.7265625" style="22" bestFit="1" customWidth="1"/>
    <col min="4857" max="4857" width="5.81640625" style="22" bestFit="1" customWidth="1"/>
    <col min="4858" max="4858" width="9.453125" style="22" customWidth="1"/>
    <col min="4859" max="4859" width="5.1796875" style="22" customWidth="1"/>
    <col min="4860" max="4860" width="9.7265625" style="22" customWidth="1"/>
    <col min="4861" max="4861" width="6.7265625" style="22" bestFit="1" customWidth="1"/>
    <col min="4862" max="4862" width="4.81640625" style="22" customWidth="1"/>
    <col min="4863" max="4863" width="5.26953125" style="22" customWidth="1"/>
    <col min="4864" max="4865" width="4.453125" style="22" bestFit="1" customWidth="1"/>
    <col min="4866" max="4866" width="13.26953125" style="22" bestFit="1" customWidth="1"/>
    <col min="4867" max="4867" width="3.1796875" style="22" customWidth="1"/>
    <col min="4868" max="4868" width="5.453125" style="22" bestFit="1" customWidth="1"/>
    <col min="4869" max="4869" width="4.453125" style="22" bestFit="1" customWidth="1"/>
    <col min="4870" max="4870" width="6.453125" style="22" customWidth="1"/>
    <col min="4871" max="4871" width="5" style="22" bestFit="1" customWidth="1"/>
    <col min="4872" max="4872" width="4.54296875" style="22" bestFit="1" customWidth="1"/>
    <col min="4873" max="4873" width="4.453125" style="22" bestFit="1" customWidth="1"/>
    <col min="4874" max="4874" width="4" style="22" customWidth="1"/>
    <col min="4875" max="5102" width="11.453125" style="22"/>
    <col min="5103" max="5103" width="14.81640625" style="22" bestFit="1" customWidth="1"/>
    <col min="5104" max="5104" width="28" style="22" bestFit="1" customWidth="1"/>
    <col min="5105" max="5105" width="4.453125" style="22" bestFit="1" customWidth="1"/>
    <col min="5106" max="5106" width="8" style="22" bestFit="1" customWidth="1"/>
    <col min="5107" max="5107" width="11.453125" style="22"/>
    <col min="5108" max="5108" width="22.81640625" style="22" bestFit="1" customWidth="1"/>
    <col min="5109" max="5109" width="7" style="22" customWidth="1"/>
    <col min="5110" max="5110" width="6.26953125" style="22" customWidth="1"/>
    <col min="5111" max="5111" width="5.7265625" style="22" customWidth="1"/>
    <col min="5112" max="5112" width="5.7265625" style="22" bestFit="1" customWidth="1"/>
    <col min="5113" max="5113" width="5.81640625" style="22" bestFit="1" customWidth="1"/>
    <col min="5114" max="5114" width="9.453125" style="22" customWidth="1"/>
    <col min="5115" max="5115" width="5.1796875" style="22" customWidth="1"/>
    <col min="5116" max="5116" width="9.7265625" style="22" customWidth="1"/>
    <col min="5117" max="5117" width="6.7265625" style="22" bestFit="1" customWidth="1"/>
    <col min="5118" max="5118" width="4.81640625" style="22" customWidth="1"/>
    <col min="5119" max="5119" width="5.26953125" style="22" customWidth="1"/>
    <col min="5120" max="5121" width="4.453125" style="22" bestFit="1" customWidth="1"/>
    <col min="5122" max="5122" width="13.26953125" style="22" bestFit="1" customWidth="1"/>
    <col min="5123" max="5123" width="3.1796875" style="22" customWidth="1"/>
    <col min="5124" max="5124" width="5.453125" style="22" bestFit="1" customWidth="1"/>
    <col min="5125" max="5125" width="4.453125" style="22" bestFit="1" customWidth="1"/>
    <col min="5126" max="5126" width="6.453125" style="22" customWidth="1"/>
    <col min="5127" max="5127" width="5" style="22" bestFit="1" customWidth="1"/>
    <col min="5128" max="5128" width="4.54296875" style="22" bestFit="1" customWidth="1"/>
    <col min="5129" max="5129" width="4.453125" style="22" bestFit="1" customWidth="1"/>
    <col min="5130" max="5130" width="4" style="22" customWidth="1"/>
    <col min="5131" max="5358" width="11.453125" style="22"/>
    <col min="5359" max="5359" width="14.81640625" style="22" bestFit="1" customWidth="1"/>
    <col min="5360" max="5360" width="28" style="22" bestFit="1" customWidth="1"/>
    <col min="5361" max="5361" width="4.453125" style="22" bestFit="1" customWidth="1"/>
    <col min="5362" max="5362" width="8" style="22" bestFit="1" customWidth="1"/>
    <col min="5363" max="5363" width="11.453125" style="22"/>
    <col min="5364" max="5364" width="22.81640625" style="22" bestFit="1" customWidth="1"/>
    <col min="5365" max="5365" width="7" style="22" customWidth="1"/>
    <col min="5366" max="5366" width="6.26953125" style="22" customWidth="1"/>
    <col min="5367" max="5367" width="5.7265625" style="22" customWidth="1"/>
    <col min="5368" max="5368" width="5.7265625" style="22" bestFit="1" customWidth="1"/>
    <col min="5369" max="5369" width="5.81640625" style="22" bestFit="1" customWidth="1"/>
    <col min="5370" max="5370" width="9.453125" style="22" customWidth="1"/>
    <col min="5371" max="5371" width="5.1796875" style="22" customWidth="1"/>
    <col min="5372" max="5372" width="9.7265625" style="22" customWidth="1"/>
    <col min="5373" max="5373" width="6.7265625" style="22" bestFit="1" customWidth="1"/>
    <col min="5374" max="5374" width="4.81640625" style="22" customWidth="1"/>
    <col min="5375" max="5375" width="5.26953125" style="22" customWidth="1"/>
    <col min="5376" max="5377" width="4.453125" style="22" bestFit="1" customWidth="1"/>
    <col min="5378" max="5378" width="13.26953125" style="22" bestFit="1" customWidth="1"/>
    <col min="5379" max="5379" width="3.1796875" style="22" customWidth="1"/>
    <col min="5380" max="5380" width="5.453125" style="22" bestFit="1" customWidth="1"/>
    <col min="5381" max="5381" width="4.453125" style="22" bestFit="1" customWidth="1"/>
    <col min="5382" max="5382" width="6.453125" style="22" customWidth="1"/>
    <col min="5383" max="5383" width="5" style="22" bestFit="1" customWidth="1"/>
    <col min="5384" max="5384" width="4.54296875" style="22" bestFit="1" customWidth="1"/>
    <col min="5385" max="5385" width="4.453125" style="22" bestFit="1" customWidth="1"/>
    <col min="5386" max="5386" width="4" style="22" customWidth="1"/>
    <col min="5387" max="5614" width="11.453125" style="22"/>
    <col min="5615" max="5615" width="14.81640625" style="22" bestFit="1" customWidth="1"/>
    <col min="5616" max="5616" width="28" style="22" bestFit="1" customWidth="1"/>
    <col min="5617" max="5617" width="4.453125" style="22" bestFit="1" customWidth="1"/>
    <col min="5618" max="5618" width="8" style="22" bestFit="1" customWidth="1"/>
    <col min="5619" max="5619" width="11.453125" style="22"/>
    <col min="5620" max="5620" width="22.81640625" style="22" bestFit="1" customWidth="1"/>
    <col min="5621" max="5621" width="7" style="22" customWidth="1"/>
    <col min="5622" max="5622" width="6.26953125" style="22" customWidth="1"/>
    <col min="5623" max="5623" width="5.7265625" style="22" customWidth="1"/>
    <col min="5624" max="5624" width="5.7265625" style="22" bestFit="1" customWidth="1"/>
    <col min="5625" max="5625" width="5.81640625" style="22" bestFit="1" customWidth="1"/>
    <col min="5626" max="5626" width="9.453125" style="22" customWidth="1"/>
    <col min="5627" max="5627" width="5.1796875" style="22" customWidth="1"/>
    <col min="5628" max="5628" width="9.7265625" style="22" customWidth="1"/>
    <col min="5629" max="5629" width="6.7265625" style="22" bestFit="1" customWidth="1"/>
    <col min="5630" max="5630" width="4.81640625" style="22" customWidth="1"/>
    <col min="5631" max="5631" width="5.26953125" style="22" customWidth="1"/>
    <col min="5632" max="5633" width="4.453125" style="22" bestFit="1" customWidth="1"/>
    <col min="5634" max="5634" width="13.26953125" style="22" bestFit="1" customWidth="1"/>
    <col min="5635" max="5635" width="3.1796875" style="22" customWidth="1"/>
    <col min="5636" max="5636" width="5.453125" style="22" bestFit="1" customWidth="1"/>
    <col min="5637" max="5637" width="4.453125" style="22" bestFit="1" customWidth="1"/>
    <col min="5638" max="5638" width="6.453125" style="22" customWidth="1"/>
    <col min="5639" max="5639" width="5" style="22" bestFit="1" customWidth="1"/>
    <col min="5640" max="5640" width="4.54296875" style="22" bestFit="1" customWidth="1"/>
    <col min="5641" max="5641" width="4.453125" style="22" bestFit="1" customWidth="1"/>
    <col min="5642" max="5642" width="4" style="22" customWidth="1"/>
    <col min="5643" max="5870" width="11.453125" style="22"/>
    <col min="5871" max="5871" width="14.81640625" style="22" bestFit="1" customWidth="1"/>
    <col min="5872" max="5872" width="28" style="22" bestFit="1" customWidth="1"/>
    <col min="5873" max="5873" width="4.453125" style="22" bestFit="1" customWidth="1"/>
    <col min="5874" max="5874" width="8" style="22" bestFit="1" customWidth="1"/>
    <col min="5875" max="5875" width="11.453125" style="22"/>
    <col min="5876" max="5876" width="22.81640625" style="22" bestFit="1" customWidth="1"/>
    <col min="5877" max="5877" width="7" style="22" customWidth="1"/>
    <col min="5878" max="5878" width="6.26953125" style="22" customWidth="1"/>
    <col min="5879" max="5879" width="5.7265625" style="22" customWidth="1"/>
    <col min="5880" max="5880" width="5.7265625" style="22" bestFit="1" customWidth="1"/>
    <col min="5881" max="5881" width="5.81640625" style="22" bestFit="1" customWidth="1"/>
    <col min="5882" max="5882" width="9.453125" style="22" customWidth="1"/>
    <col min="5883" max="5883" width="5.1796875" style="22" customWidth="1"/>
    <col min="5884" max="5884" width="9.7265625" style="22" customWidth="1"/>
    <col min="5885" max="5885" width="6.7265625" style="22" bestFit="1" customWidth="1"/>
    <col min="5886" max="5886" width="4.81640625" style="22" customWidth="1"/>
    <col min="5887" max="5887" width="5.26953125" style="22" customWidth="1"/>
    <col min="5888" max="5889" width="4.453125" style="22" bestFit="1" customWidth="1"/>
    <col min="5890" max="5890" width="13.26953125" style="22" bestFit="1" customWidth="1"/>
    <col min="5891" max="5891" width="3.1796875" style="22" customWidth="1"/>
    <col min="5892" max="5892" width="5.453125" style="22" bestFit="1" customWidth="1"/>
    <col min="5893" max="5893" width="4.453125" style="22" bestFit="1" customWidth="1"/>
    <col min="5894" max="5894" width="6.453125" style="22" customWidth="1"/>
    <col min="5895" max="5895" width="5" style="22" bestFit="1" customWidth="1"/>
    <col min="5896" max="5896" width="4.54296875" style="22" bestFit="1" customWidth="1"/>
    <col min="5897" max="5897" width="4.453125" style="22" bestFit="1" customWidth="1"/>
    <col min="5898" max="5898" width="4" style="22" customWidth="1"/>
    <col min="5899" max="6126" width="11.453125" style="22"/>
    <col min="6127" max="6127" width="14.81640625" style="22" bestFit="1" customWidth="1"/>
    <col min="6128" max="6128" width="28" style="22" bestFit="1" customWidth="1"/>
    <col min="6129" max="6129" width="4.453125" style="22" bestFit="1" customWidth="1"/>
    <col min="6130" max="6130" width="8" style="22" bestFit="1" customWidth="1"/>
    <col min="6131" max="6131" width="11.453125" style="22"/>
    <col min="6132" max="6132" width="22.81640625" style="22" bestFit="1" customWidth="1"/>
    <col min="6133" max="6133" width="7" style="22" customWidth="1"/>
    <col min="6134" max="6134" width="6.26953125" style="22" customWidth="1"/>
    <col min="6135" max="6135" width="5.7265625" style="22" customWidth="1"/>
    <col min="6136" max="6136" width="5.7265625" style="22" bestFit="1" customWidth="1"/>
    <col min="6137" max="6137" width="5.81640625" style="22" bestFit="1" customWidth="1"/>
    <col min="6138" max="6138" width="9.453125" style="22" customWidth="1"/>
    <col min="6139" max="6139" width="5.1796875" style="22" customWidth="1"/>
    <col min="6140" max="6140" width="9.7265625" style="22" customWidth="1"/>
    <col min="6141" max="6141" width="6.7265625" style="22" bestFit="1" customWidth="1"/>
    <col min="6142" max="6142" width="4.81640625" style="22" customWidth="1"/>
    <col min="6143" max="6143" width="5.26953125" style="22" customWidth="1"/>
    <col min="6144" max="6145" width="4.453125" style="22" bestFit="1" customWidth="1"/>
    <col min="6146" max="6146" width="13.26953125" style="22" bestFit="1" customWidth="1"/>
    <col min="6147" max="6147" width="3.1796875" style="22" customWidth="1"/>
    <col min="6148" max="6148" width="5.453125" style="22" bestFit="1" customWidth="1"/>
    <col min="6149" max="6149" width="4.453125" style="22" bestFit="1" customWidth="1"/>
    <col min="6150" max="6150" width="6.453125" style="22" customWidth="1"/>
    <col min="6151" max="6151" width="5" style="22" bestFit="1" customWidth="1"/>
    <col min="6152" max="6152" width="4.54296875" style="22" bestFit="1" customWidth="1"/>
    <col min="6153" max="6153" width="4.453125" style="22" bestFit="1" customWidth="1"/>
    <col min="6154" max="6154" width="4" style="22" customWidth="1"/>
    <col min="6155" max="6382" width="11.453125" style="22"/>
    <col min="6383" max="6383" width="14.81640625" style="22" bestFit="1" customWidth="1"/>
    <col min="6384" max="6384" width="28" style="22" bestFit="1" customWidth="1"/>
    <col min="6385" max="6385" width="4.453125" style="22" bestFit="1" customWidth="1"/>
    <col min="6386" max="6386" width="8" style="22" bestFit="1" customWidth="1"/>
    <col min="6387" max="6387" width="11.453125" style="22"/>
    <col min="6388" max="6388" width="22.81640625" style="22" bestFit="1" customWidth="1"/>
    <col min="6389" max="6389" width="7" style="22" customWidth="1"/>
    <col min="6390" max="6390" width="6.26953125" style="22" customWidth="1"/>
    <col min="6391" max="6391" width="5.7265625" style="22" customWidth="1"/>
    <col min="6392" max="6392" width="5.7265625" style="22" bestFit="1" customWidth="1"/>
    <col min="6393" max="6393" width="5.81640625" style="22" bestFit="1" customWidth="1"/>
    <col min="6394" max="6394" width="9.453125" style="22" customWidth="1"/>
    <col min="6395" max="6395" width="5.1796875" style="22" customWidth="1"/>
    <col min="6396" max="6396" width="9.7265625" style="22" customWidth="1"/>
    <col min="6397" max="6397" width="6.7265625" style="22" bestFit="1" customWidth="1"/>
    <col min="6398" max="6398" width="4.81640625" style="22" customWidth="1"/>
    <col min="6399" max="6399" width="5.26953125" style="22" customWidth="1"/>
    <col min="6400" max="6401" width="4.453125" style="22" bestFit="1" customWidth="1"/>
    <col min="6402" max="6402" width="13.26953125" style="22" bestFit="1" customWidth="1"/>
    <col min="6403" max="6403" width="3.1796875" style="22" customWidth="1"/>
    <col min="6404" max="6404" width="5.453125" style="22" bestFit="1" customWidth="1"/>
    <col min="6405" max="6405" width="4.453125" style="22" bestFit="1" customWidth="1"/>
    <col min="6406" max="6406" width="6.453125" style="22" customWidth="1"/>
    <col min="6407" max="6407" width="5" style="22" bestFit="1" customWidth="1"/>
    <col min="6408" max="6408" width="4.54296875" style="22" bestFit="1" customWidth="1"/>
    <col min="6409" max="6409" width="4.453125" style="22" bestFit="1" customWidth="1"/>
    <col min="6410" max="6410" width="4" style="22" customWidth="1"/>
    <col min="6411" max="6638" width="11.453125" style="22"/>
    <col min="6639" max="6639" width="14.81640625" style="22" bestFit="1" customWidth="1"/>
    <col min="6640" max="6640" width="28" style="22" bestFit="1" customWidth="1"/>
    <col min="6641" max="6641" width="4.453125" style="22" bestFit="1" customWidth="1"/>
    <col min="6642" max="6642" width="8" style="22" bestFit="1" customWidth="1"/>
    <col min="6643" max="6643" width="11.453125" style="22"/>
    <col min="6644" max="6644" width="22.81640625" style="22" bestFit="1" customWidth="1"/>
    <col min="6645" max="6645" width="7" style="22" customWidth="1"/>
    <col min="6646" max="6646" width="6.26953125" style="22" customWidth="1"/>
    <col min="6647" max="6647" width="5.7265625" style="22" customWidth="1"/>
    <col min="6648" max="6648" width="5.7265625" style="22" bestFit="1" customWidth="1"/>
    <col min="6649" max="6649" width="5.81640625" style="22" bestFit="1" customWidth="1"/>
    <col min="6650" max="6650" width="9.453125" style="22" customWidth="1"/>
    <col min="6651" max="6651" width="5.1796875" style="22" customWidth="1"/>
    <col min="6652" max="6652" width="9.7265625" style="22" customWidth="1"/>
    <col min="6653" max="6653" width="6.7265625" style="22" bestFit="1" customWidth="1"/>
    <col min="6654" max="6654" width="4.81640625" style="22" customWidth="1"/>
    <col min="6655" max="6655" width="5.26953125" style="22" customWidth="1"/>
    <col min="6656" max="6657" width="4.453125" style="22" bestFit="1" customWidth="1"/>
    <col min="6658" max="6658" width="13.26953125" style="22" bestFit="1" customWidth="1"/>
    <col min="6659" max="6659" width="3.1796875" style="22" customWidth="1"/>
    <col min="6660" max="6660" width="5.453125" style="22" bestFit="1" customWidth="1"/>
    <col min="6661" max="6661" width="4.453125" style="22" bestFit="1" customWidth="1"/>
    <col min="6662" max="6662" width="6.453125" style="22" customWidth="1"/>
    <col min="6663" max="6663" width="5" style="22" bestFit="1" customWidth="1"/>
    <col min="6664" max="6664" width="4.54296875" style="22" bestFit="1" customWidth="1"/>
    <col min="6665" max="6665" width="4.453125" style="22" bestFit="1" customWidth="1"/>
    <col min="6666" max="6666" width="4" style="22" customWidth="1"/>
    <col min="6667" max="6894" width="11.453125" style="22"/>
    <col min="6895" max="6895" width="14.81640625" style="22" bestFit="1" customWidth="1"/>
    <col min="6896" max="6896" width="28" style="22" bestFit="1" customWidth="1"/>
    <col min="6897" max="6897" width="4.453125" style="22" bestFit="1" customWidth="1"/>
    <col min="6898" max="6898" width="8" style="22" bestFit="1" customWidth="1"/>
    <col min="6899" max="6899" width="11.453125" style="22"/>
    <col min="6900" max="6900" width="22.81640625" style="22" bestFit="1" customWidth="1"/>
    <col min="6901" max="6901" width="7" style="22" customWidth="1"/>
    <col min="6902" max="6902" width="6.26953125" style="22" customWidth="1"/>
    <col min="6903" max="6903" width="5.7265625" style="22" customWidth="1"/>
    <col min="6904" max="6904" width="5.7265625" style="22" bestFit="1" customWidth="1"/>
    <col min="6905" max="6905" width="5.81640625" style="22" bestFit="1" customWidth="1"/>
    <col min="6906" max="6906" width="9.453125" style="22" customWidth="1"/>
    <col min="6907" max="6907" width="5.1796875" style="22" customWidth="1"/>
    <col min="6908" max="6908" width="9.7265625" style="22" customWidth="1"/>
    <col min="6909" max="6909" width="6.7265625" style="22" bestFit="1" customWidth="1"/>
    <col min="6910" max="6910" width="4.81640625" style="22" customWidth="1"/>
    <col min="6911" max="6911" width="5.26953125" style="22" customWidth="1"/>
    <col min="6912" max="6913" width="4.453125" style="22" bestFit="1" customWidth="1"/>
    <col min="6914" max="6914" width="13.26953125" style="22" bestFit="1" customWidth="1"/>
    <col min="6915" max="6915" width="3.1796875" style="22" customWidth="1"/>
    <col min="6916" max="6916" width="5.453125" style="22" bestFit="1" customWidth="1"/>
    <col min="6917" max="6917" width="4.453125" style="22" bestFit="1" customWidth="1"/>
    <col min="6918" max="6918" width="6.453125" style="22" customWidth="1"/>
    <col min="6919" max="6919" width="5" style="22" bestFit="1" customWidth="1"/>
    <col min="6920" max="6920" width="4.54296875" style="22" bestFit="1" customWidth="1"/>
    <col min="6921" max="6921" width="4.453125" style="22" bestFit="1" customWidth="1"/>
    <col min="6922" max="6922" width="4" style="22" customWidth="1"/>
    <col min="6923" max="7150" width="11.453125" style="22"/>
    <col min="7151" max="7151" width="14.81640625" style="22" bestFit="1" customWidth="1"/>
    <col min="7152" max="7152" width="28" style="22" bestFit="1" customWidth="1"/>
    <col min="7153" max="7153" width="4.453125" style="22" bestFit="1" customWidth="1"/>
    <col min="7154" max="7154" width="8" style="22" bestFit="1" customWidth="1"/>
    <col min="7155" max="7155" width="11.453125" style="22"/>
    <col min="7156" max="7156" width="22.81640625" style="22" bestFit="1" customWidth="1"/>
    <col min="7157" max="7157" width="7" style="22" customWidth="1"/>
    <col min="7158" max="7158" width="6.26953125" style="22" customWidth="1"/>
    <col min="7159" max="7159" width="5.7265625" style="22" customWidth="1"/>
    <col min="7160" max="7160" width="5.7265625" style="22" bestFit="1" customWidth="1"/>
    <col min="7161" max="7161" width="5.81640625" style="22" bestFit="1" customWidth="1"/>
    <col min="7162" max="7162" width="9.453125" style="22" customWidth="1"/>
    <col min="7163" max="7163" width="5.1796875" style="22" customWidth="1"/>
    <col min="7164" max="7164" width="9.7265625" style="22" customWidth="1"/>
    <col min="7165" max="7165" width="6.7265625" style="22" bestFit="1" customWidth="1"/>
    <col min="7166" max="7166" width="4.81640625" style="22" customWidth="1"/>
    <col min="7167" max="7167" width="5.26953125" style="22" customWidth="1"/>
    <col min="7168" max="7169" width="4.453125" style="22" bestFit="1" customWidth="1"/>
    <col min="7170" max="7170" width="13.26953125" style="22" bestFit="1" customWidth="1"/>
    <col min="7171" max="7171" width="3.1796875" style="22" customWidth="1"/>
    <col min="7172" max="7172" width="5.453125" style="22" bestFit="1" customWidth="1"/>
    <col min="7173" max="7173" width="4.453125" style="22" bestFit="1" customWidth="1"/>
    <col min="7174" max="7174" width="6.453125" style="22" customWidth="1"/>
    <col min="7175" max="7175" width="5" style="22" bestFit="1" customWidth="1"/>
    <col min="7176" max="7176" width="4.54296875" style="22" bestFit="1" customWidth="1"/>
    <col min="7177" max="7177" width="4.453125" style="22" bestFit="1" customWidth="1"/>
    <col min="7178" max="7178" width="4" style="22" customWidth="1"/>
    <col min="7179" max="7406" width="11.453125" style="22"/>
    <col min="7407" max="7407" width="14.81640625" style="22" bestFit="1" customWidth="1"/>
    <col min="7408" max="7408" width="28" style="22" bestFit="1" customWidth="1"/>
    <col min="7409" max="7409" width="4.453125" style="22" bestFit="1" customWidth="1"/>
    <col min="7410" max="7410" width="8" style="22" bestFit="1" customWidth="1"/>
    <col min="7411" max="7411" width="11.453125" style="22"/>
    <col min="7412" max="7412" width="22.81640625" style="22" bestFit="1" customWidth="1"/>
    <col min="7413" max="7413" width="7" style="22" customWidth="1"/>
    <col min="7414" max="7414" width="6.26953125" style="22" customWidth="1"/>
    <col min="7415" max="7415" width="5.7265625" style="22" customWidth="1"/>
    <col min="7416" max="7416" width="5.7265625" style="22" bestFit="1" customWidth="1"/>
    <col min="7417" max="7417" width="5.81640625" style="22" bestFit="1" customWidth="1"/>
    <col min="7418" max="7418" width="9.453125" style="22" customWidth="1"/>
    <col min="7419" max="7419" width="5.1796875" style="22" customWidth="1"/>
    <col min="7420" max="7420" width="9.7265625" style="22" customWidth="1"/>
    <col min="7421" max="7421" width="6.7265625" style="22" bestFit="1" customWidth="1"/>
    <col min="7422" max="7422" width="4.81640625" style="22" customWidth="1"/>
    <col min="7423" max="7423" width="5.26953125" style="22" customWidth="1"/>
    <col min="7424" max="7425" width="4.453125" style="22" bestFit="1" customWidth="1"/>
    <col min="7426" max="7426" width="13.26953125" style="22" bestFit="1" customWidth="1"/>
    <col min="7427" max="7427" width="3.1796875" style="22" customWidth="1"/>
    <col min="7428" max="7428" width="5.453125" style="22" bestFit="1" customWidth="1"/>
    <col min="7429" max="7429" width="4.453125" style="22" bestFit="1" customWidth="1"/>
    <col min="7430" max="7430" width="6.453125" style="22" customWidth="1"/>
    <col min="7431" max="7431" width="5" style="22" bestFit="1" customWidth="1"/>
    <col min="7432" max="7432" width="4.54296875" style="22" bestFit="1" customWidth="1"/>
    <col min="7433" max="7433" width="4.453125" style="22" bestFit="1" customWidth="1"/>
    <col min="7434" max="7434" width="4" style="22" customWidth="1"/>
    <col min="7435" max="7662" width="11.453125" style="22"/>
    <col min="7663" max="7663" width="14.81640625" style="22" bestFit="1" customWidth="1"/>
    <col min="7664" max="7664" width="28" style="22" bestFit="1" customWidth="1"/>
    <col min="7665" max="7665" width="4.453125" style="22" bestFit="1" customWidth="1"/>
    <col min="7666" max="7666" width="8" style="22" bestFit="1" customWidth="1"/>
    <col min="7667" max="7667" width="11.453125" style="22"/>
    <col min="7668" max="7668" width="22.81640625" style="22" bestFit="1" customWidth="1"/>
    <col min="7669" max="7669" width="7" style="22" customWidth="1"/>
    <col min="7670" max="7670" width="6.26953125" style="22" customWidth="1"/>
    <col min="7671" max="7671" width="5.7265625" style="22" customWidth="1"/>
    <col min="7672" max="7672" width="5.7265625" style="22" bestFit="1" customWidth="1"/>
    <col min="7673" max="7673" width="5.81640625" style="22" bestFit="1" customWidth="1"/>
    <col min="7674" max="7674" width="9.453125" style="22" customWidth="1"/>
    <col min="7675" max="7675" width="5.1796875" style="22" customWidth="1"/>
    <col min="7676" max="7676" width="9.7265625" style="22" customWidth="1"/>
    <col min="7677" max="7677" width="6.7265625" style="22" bestFit="1" customWidth="1"/>
    <col min="7678" max="7678" width="4.81640625" style="22" customWidth="1"/>
    <col min="7679" max="7679" width="5.26953125" style="22" customWidth="1"/>
    <col min="7680" max="7681" width="4.453125" style="22" bestFit="1" customWidth="1"/>
    <col min="7682" max="7682" width="13.26953125" style="22" bestFit="1" customWidth="1"/>
    <col min="7683" max="7683" width="3.1796875" style="22" customWidth="1"/>
    <col min="7684" max="7684" width="5.453125" style="22" bestFit="1" customWidth="1"/>
    <col min="7685" max="7685" width="4.453125" style="22" bestFit="1" customWidth="1"/>
    <col min="7686" max="7686" width="6.453125" style="22" customWidth="1"/>
    <col min="7687" max="7687" width="5" style="22" bestFit="1" customWidth="1"/>
    <col min="7688" max="7688" width="4.54296875" style="22" bestFit="1" customWidth="1"/>
    <col min="7689" max="7689" width="4.453125" style="22" bestFit="1" customWidth="1"/>
    <col min="7690" max="7690" width="4" style="22" customWidth="1"/>
    <col min="7691" max="7918" width="11.453125" style="22"/>
    <col min="7919" max="7919" width="14.81640625" style="22" bestFit="1" customWidth="1"/>
    <col min="7920" max="7920" width="28" style="22" bestFit="1" customWidth="1"/>
    <col min="7921" max="7921" width="4.453125" style="22" bestFit="1" customWidth="1"/>
    <col min="7922" max="7922" width="8" style="22" bestFit="1" customWidth="1"/>
    <col min="7923" max="7923" width="11.453125" style="22"/>
    <col min="7924" max="7924" width="22.81640625" style="22" bestFit="1" customWidth="1"/>
    <col min="7925" max="7925" width="7" style="22" customWidth="1"/>
    <col min="7926" max="7926" width="6.26953125" style="22" customWidth="1"/>
    <col min="7927" max="7927" width="5.7265625" style="22" customWidth="1"/>
    <col min="7928" max="7928" width="5.7265625" style="22" bestFit="1" customWidth="1"/>
    <col min="7929" max="7929" width="5.81640625" style="22" bestFit="1" customWidth="1"/>
    <col min="7930" max="7930" width="9.453125" style="22" customWidth="1"/>
    <col min="7931" max="7931" width="5.1796875" style="22" customWidth="1"/>
    <col min="7932" max="7932" width="9.7265625" style="22" customWidth="1"/>
    <col min="7933" max="7933" width="6.7265625" style="22" bestFit="1" customWidth="1"/>
    <col min="7934" max="7934" width="4.81640625" style="22" customWidth="1"/>
    <col min="7935" max="7935" width="5.26953125" style="22" customWidth="1"/>
    <col min="7936" max="7937" width="4.453125" style="22" bestFit="1" customWidth="1"/>
    <col min="7938" max="7938" width="13.26953125" style="22" bestFit="1" customWidth="1"/>
    <col min="7939" max="7939" width="3.1796875" style="22" customWidth="1"/>
    <col min="7940" max="7940" width="5.453125" style="22" bestFit="1" customWidth="1"/>
    <col min="7941" max="7941" width="4.453125" style="22" bestFit="1" customWidth="1"/>
    <col min="7942" max="7942" width="6.453125" style="22" customWidth="1"/>
    <col min="7943" max="7943" width="5" style="22" bestFit="1" customWidth="1"/>
    <col min="7944" max="7944" width="4.54296875" style="22" bestFit="1" customWidth="1"/>
    <col min="7945" max="7945" width="4.453125" style="22" bestFit="1" customWidth="1"/>
    <col min="7946" max="7946" width="4" style="22" customWidth="1"/>
    <col min="7947" max="8174" width="11.453125" style="22"/>
    <col min="8175" max="8175" width="14.81640625" style="22" bestFit="1" customWidth="1"/>
    <col min="8176" max="8176" width="28" style="22" bestFit="1" customWidth="1"/>
    <col min="8177" max="8177" width="4.453125" style="22" bestFit="1" customWidth="1"/>
    <col min="8178" max="8178" width="8" style="22" bestFit="1" customWidth="1"/>
    <col min="8179" max="8179" width="11.453125" style="22"/>
    <col min="8180" max="8180" width="22.81640625" style="22" bestFit="1" customWidth="1"/>
    <col min="8181" max="8181" width="7" style="22" customWidth="1"/>
    <col min="8182" max="8182" width="6.26953125" style="22" customWidth="1"/>
    <col min="8183" max="8183" width="5.7265625" style="22" customWidth="1"/>
    <col min="8184" max="8184" width="5.7265625" style="22" bestFit="1" customWidth="1"/>
    <col min="8185" max="8185" width="5.81640625" style="22" bestFit="1" customWidth="1"/>
    <col min="8186" max="8186" width="9.453125" style="22" customWidth="1"/>
    <col min="8187" max="8187" width="5.1796875" style="22" customWidth="1"/>
    <col min="8188" max="8188" width="9.7265625" style="22" customWidth="1"/>
    <col min="8189" max="8189" width="6.7265625" style="22" bestFit="1" customWidth="1"/>
    <col min="8190" max="8190" width="4.81640625" style="22" customWidth="1"/>
    <col min="8191" max="8191" width="5.26953125" style="22" customWidth="1"/>
    <col min="8192" max="8193" width="4.453125" style="22" bestFit="1" customWidth="1"/>
    <col min="8194" max="8194" width="13.26953125" style="22" bestFit="1" customWidth="1"/>
    <col min="8195" max="8195" width="3.1796875" style="22" customWidth="1"/>
    <col min="8196" max="8196" width="5.453125" style="22" bestFit="1" customWidth="1"/>
    <col min="8197" max="8197" width="4.453125" style="22" bestFit="1" customWidth="1"/>
    <col min="8198" max="8198" width="6.453125" style="22" customWidth="1"/>
    <col min="8199" max="8199" width="5" style="22" bestFit="1" customWidth="1"/>
    <col min="8200" max="8200" width="4.54296875" style="22" bestFit="1" customWidth="1"/>
    <col min="8201" max="8201" width="4.453125" style="22" bestFit="1" customWidth="1"/>
    <col min="8202" max="8202" width="4" style="22" customWidth="1"/>
    <col min="8203" max="8430" width="11.453125" style="22"/>
    <col min="8431" max="8431" width="14.81640625" style="22" bestFit="1" customWidth="1"/>
    <col min="8432" max="8432" width="28" style="22" bestFit="1" customWidth="1"/>
    <col min="8433" max="8433" width="4.453125" style="22" bestFit="1" customWidth="1"/>
    <col min="8434" max="8434" width="8" style="22" bestFit="1" customWidth="1"/>
    <col min="8435" max="8435" width="11.453125" style="22"/>
    <col min="8436" max="8436" width="22.81640625" style="22" bestFit="1" customWidth="1"/>
    <col min="8437" max="8437" width="7" style="22" customWidth="1"/>
    <col min="8438" max="8438" width="6.26953125" style="22" customWidth="1"/>
    <col min="8439" max="8439" width="5.7265625" style="22" customWidth="1"/>
    <col min="8440" max="8440" width="5.7265625" style="22" bestFit="1" customWidth="1"/>
    <col min="8441" max="8441" width="5.81640625" style="22" bestFit="1" customWidth="1"/>
    <col min="8442" max="8442" width="9.453125" style="22" customWidth="1"/>
    <col min="8443" max="8443" width="5.1796875" style="22" customWidth="1"/>
    <col min="8444" max="8444" width="9.7265625" style="22" customWidth="1"/>
    <col min="8445" max="8445" width="6.7265625" style="22" bestFit="1" customWidth="1"/>
    <col min="8446" max="8446" width="4.81640625" style="22" customWidth="1"/>
    <col min="8447" max="8447" width="5.26953125" style="22" customWidth="1"/>
    <col min="8448" max="8449" width="4.453125" style="22" bestFit="1" customWidth="1"/>
    <col min="8450" max="8450" width="13.26953125" style="22" bestFit="1" customWidth="1"/>
    <col min="8451" max="8451" width="3.1796875" style="22" customWidth="1"/>
    <col min="8452" max="8452" width="5.453125" style="22" bestFit="1" customWidth="1"/>
    <col min="8453" max="8453" width="4.453125" style="22" bestFit="1" customWidth="1"/>
    <col min="8454" max="8454" width="6.453125" style="22" customWidth="1"/>
    <col min="8455" max="8455" width="5" style="22" bestFit="1" customWidth="1"/>
    <col min="8456" max="8456" width="4.54296875" style="22" bestFit="1" customWidth="1"/>
    <col min="8457" max="8457" width="4.453125" style="22" bestFit="1" customWidth="1"/>
    <col min="8458" max="8458" width="4" style="22" customWidth="1"/>
    <col min="8459" max="8686" width="11.453125" style="22"/>
    <col min="8687" max="8687" width="14.81640625" style="22" bestFit="1" customWidth="1"/>
    <col min="8688" max="8688" width="28" style="22" bestFit="1" customWidth="1"/>
    <col min="8689" max="8689" width="4.453125" style="22" bestFit="1" customWidth="1"/>
    <col min="8690" max="8690" width="8" style="22" bestFit="1" customWidth="1"/>
    <col min="8691" max="8691" width="11.453125" style="22"/>
    <col min="8692" max="8692" width="22.81640625" style="22" bestFit="1" customWidth="1"/>
    <col min="8693" max="8693" width="7" style="22" customWidth="1"/>
    <col min="8694" max="8694" width="6.26953125" style="22" customWidth="1"/>
    <col min="8695" max="8695" width="5.7265625" style="22" customWidth="1"/>
    <col min="8696" max="8696" width="5.7265625" style="22" bestFit="1" customWidth="1"/>
    <col min="8697" max="8697" width="5.81640625" style="22" bestFit="1" customWidth="1"/>
    <col min="8698" max="8698" width="9.453125" style="22" customWidth="1"/>
    <col min="8699" max="8699" width="5.1796875" style="22" customWidth="1"/>
    <col min="8700" max="8700" width="9.7265625" style="22" customWidth="1"/>
    <col min="8701" max="8701" width="6.7265625" style="22" bestFit="1" customWidth="1"/>
    <col min="8702" max="8702" width="4.81640625" style="22" customWidth="1"/>
    <col min="8703" max="8703" width="5.26953125" style="22" customWidth="1"/>
    <col min="8704" max="8705" width="4.453125" style="22" bestFit="1" customWidth="1"/>
    <col min="8706" max="8706" width="13.26953125" style="22" bestFit="1" customWidth="1"/>
    <col min="8707" max="8707" width="3.1796875" style="22" customWidth="1"/>
    <col min="8708" max="8708" width="5.453125" style="22" bestFit="1" customWidth="1"/>
    <col min="8709" max="8709" width="4.453125" style="22" bestFit="1" customWidth="1"/>
    <col min="8710" max="8710" width="6.453125" style="22" customWidth="1"/>
    <col min="8711" max="8711" width="5" style="22" bestFit="1" customWidth="1"/>
    <col min="8712" max="8712" width="4.54296875" style="22" bestFit="1" customWidth="1"/>
    <col min="8713" max="8713" width="4.453125" style="22" bestFit="1" customWidth="1"/>
    <col min="8714" max="8714" width="4" style="22" customWidth="1"/>
    <col min="8715" max="8942" width="11.453125" style="22"/>
    <col min="8943" max="8943" width="14.81640625" style="22" bestFit="1" customWidth="1"/>
    <col min="8944" max="8944" width="28" style="22" bestFit="1" customWidth="1"/>
    <col min="8945" max="8945" width="4.453125" style="22" bestFit="1" customWidth="1"/>
    <col min="8946" max="8946" width="8" style="22" bestFit="1" customWidth="1"/>
    <col min="8947" max="8947" width="11.453125" style="22"/>
    <col min="8948" max="8948" width="22.81640625" style="22" bestFit="1" customWidth="1"/>
    <col min="8949" max="8949" width="7" style="22" customWidth="1"/>
    <col min="8950" max="8950" width="6.26953125" style="22" customWidth="1"/>
    <col min="8951" max="8951" width="5.7265625" style="22" customWidth="1"/>
    <col min="8952" max="8952" width="5.7265625" style="22" bestFit="1" customWidth="1"/>
    <col min="8953" max="8953" width="5.81640625" style="22" bestFit="1" customWidth="1"/>
    <col min="8954" max="8954" width="9.453125" style="22" customWidth="1"/>
    <col min="8955" max="8955" width="5.1796875" style="22" customWidth="1"/>
    <col min="8956" max="8956" width="9.7265625" style="22" customWidth="1"/>
    <col min="8957" max="8957" width="6.7265625" style="22" bestFit="1" customWidth="1"/>
    <col min="8958" max="8958" width="4.81640625" style="22" customWidth="1"/>
    <col min="8959" max="8959" width="5.26953125" style="22" customWidth="1"/>
    <col min="8960" max="8961" width="4.453125" style="22" bestFit="1" customWidth="1"/>
    <col min="8962" max="8962" width="13.26953125" style="22" bestFit="1" customWidth="1"/>
    <col min="8963" max="8963" width="3.1796875" style="22" customWidth="1"/>
    <col min="8964" max="8964" width="5.453125" style="22" bestFit="1" customWidth="1"/>
    <col min="8965" max="8965" width="4.453125" style="22" bestFit="1" customWidth="1"/>
    <col min="8966" max="8966" width="6.453125" style="22" customWidth="1"/>
    <col min="8967" max="8967" width="5" style="22" bestFit="1" customWidth="1"/>
    <col min="8968" max="8968" width="4.54296875" style="22" bestFit="1" customWidth="1"/>
    <col min="8969" max="8969" width="4.453125" style="22" bestFit="1" customWidth="1"/>
    <col min="8970" max="8970" width="4" style="22" customWidth="1"/>
    <col min="8971" max="9198" width="11.453125" style="22"/>
    <col min="9199" max="9199" width="14.81640625" style="22" bestFit="1" customWidth="1"/>
    <col min="9200" max="9200" width="28" style="22" bestFit="1" customWidth="1"/>
    <col min="9201" max="9201" width="4.453125" style="22" bestFit="1" customWidth="1"/>
    <col min="9202" max="9202" width="8" style="22" bestFit="1" customWidth="1"/>
    <col min="9203" max="9203" width="11.453125" style="22"/>
    <col min="9204" max="9204" width="22.81640625" style="22" bestFit="1" customWidth="1"/>
    <col min="9205" max="9205" width="7" style="22" customWidth="1"/>
    <col min="9206" max="9206" width="6.26953125" style="22" customWidth="1"/>
    <col min="9207" max="9207" width="5.7265625" style="22" customWidth="1"/>
    <col min="9208" max="9208" width="5.7265625" style="22" bestFit="1" customWidth="1"/>
    <col min="9209" max="9209" width="5.81640625" style="22" bestFit="1" customWidth="1"/>
    <col min="9210" max="9210" width="9.453125" style="22" customWidth="1"/>
    <col min="9211" max="9211" width="5.1796875" style="22" customWidth="1"/>
    <col min="9212" max="9212" width="9.7265625" style="22" customWidth="1"/>
    <col min="9213" max="9213" width="6.7265625" style="22" bestFit="1" customWidth="1"/>
    <col min="9214" max="9214" width="4.81640625" style="22" customWidth="1"/>
    <col min="9215" max="9215" width="5.26953125" style="22" customWidth="1"/>
    <col min="9216" max="9217" width="4.453125" style="22" bestFit="1" customWidth="1"/>
    <col min="9218" max="9218" width="13.26953125" style="22" bestFit="1" customWidth="1"/>
    <col min="9219" max="9219" width="3.1796875" style="22" customWidth="1"/>
    <col min="9220" max="9220" width="5.453125" style="22" bestFit="1" customWidth="1"/>
    <col min="9221" max="9221" width="4.453125" style="22" bestFit="1" customWidth="1"/>
    <col min="9222" max="9222" width="6.453125" style="22" customWidth="1"/>
    <col min="9223" max="9223" width="5" style="22" bestFit="1" customWidth="1"/>
    <col min="9224" max="9224" width="4.54296875" style="22" bestFit="1" customWidth="1"/>
    <col min="9225" max="9225" width="4.453125" style="22" bestFit="1" customWidth="1"/>
    <col min="9226" max="9226" width="4" style="22" customWidth="1"/>
    <col min="9227" max="9454" width="11.453125" style="22"/>
    <col min="9455" max="9455" width="14.81640625" style="22" bestFit="1" customWidth="1"/>
    <col min="9456" max="9456" width="28" style="22" bestFit="1" customWidth="1"/>
    <col min="9457" max="9457" width="4.453125" style="22" bestFit="1" customWidth="1"/>
    <col min="9458" max="9458" width="8" style="22" bestFit="1" customWidth="1"/>
    <col min="9459" max="9459" width="11.453125" style="22"/>
    <col min="9460" max="9460" width="22.81640625" style="22" bestFit="1" customWidth="1"/>
    <col min="9461" max="9461" width="7" style="22" customWidth="1"/>
    <col min="9462" max="9462" width="6.26953125" style="22" customWidth="1"/>
    <col min="9463" max="9463" width="5.7265625" style="22" customWidth="1"/>
    <col min="9464" max="9464" width="5.7265625" style="22" bestFit="1" customWidth="1"/>
    <col min="9465" max="9465" width="5.81640625" style="22" bestFit="1" customWidth="1"/>
    <col min="9466" max="9466" width="9.453125" style="22" customWidth="1"/>
    <col min="9467" max="9467" width="5.1796875" style="22" customWidth="1"/>
    <col min="9468" max="9468" width="9.7265625" style="22" customWidth="1"/>
    <col min="9469" max="9469" width="6.7265625" style="22" bestFit="1" customWidth="1"/>
    <col min="9470" max="9470" width="4.81640625" style="22" customWidth="1"/>
    <col min="9471" max="9471" width="5.26953125" style="22" customWidth="1"/>
    <col min="9472" max="9473" width="4.453125" style="22" bestFit="1" customWidth="1"/>
    <col min="9474" max="9474" width="13.26953125" style="22" bestFit="1" customWidth="1"/>
    <col min="9475" max="9475" width="3.1796875" style="22" customWidth="1"/>
    <col min="9476" max="9476" width="5.453125" style="22" bestFit="1" customWidth="1"/>
    <col min="9477" max="9477" width="4.453125" style="22" bestFit="1" customWidth="1"/>
    <col min="9478" max="9478" width="6.453125" style="22" customWidth="1"/>
    <col min="9479" max="9479" width="5" style="22" bestFit="1" customWidth="1"/>
    <col min="9480" max="9480" width="4.54296875" style="22" bestFit="1" customWidth="1"/>
    <col min="9481" max="9481" width="4.453125" style="22" bestFit="1" customWidth="1"/>
    <col min="9482" max="9482" width="4" style="22" customWidth="1"/>
    <col min="9483" max="9710" width="11.453125" style="22"/>
    <col min="9711" max="9711" width="14.81640625" style="22" bestFit="1" customWidth="1"/>
    <col min="9712" max="9712" width="28" style="22" bestFit="1" customWidth="1"/>
    <col min="9713" max="9713" width="4.453125" style="22" bestFit="1" customWidth="1"/>
    <col min="9714" max="9714" width="8" style="22" bestFit="1" customWidth="1"/>
    <col min="9715" max="9715" width="11.453125" style="22"/>
    <col min="9716" max="9716" width="22.81640625" style="22" bestFit="1" customWidth="1"/>
    <col min="9717" max="9717" width="7" style="22" customWidth="1"/>
    <col min="9718" max="9718" width="6.26953125" style="22" customWidth="1"/>
    <col min="9719" max="9719" width="5.7265625" style="22" customWidth="1"/>
    <col min="9720" max="9720" width="5.7265625" style="22" bestFit="1" customWidth="1"/>
    <col min="9721" max="9721" width="5.81640625" style="22" bestFit="1" customWidth="1"/>
    <col min="9722" max="9722" width="9.453125" style="22" customWidth="1"/>
    <col min="9723" max="9723" width="5.1796875" style="22" customWidth="1"/>
    <col min="9724" max="9724" width="9.7265625" style="22" customWidth="1"/>
    <col min="9725" max="9725" width="6.7265625" style="22" bestFit="1" customWidth="1"/>
    <col min="9726" max="9726" width="4.81640625" style="22" customWidth="1"/>
    <col min="9727" max="9727" width="5.26953125" style="22" customWidth="1"/>
    <col min="9728" max="9729" width="4.453125" style="22" bestFit="1" customWidth="1"/>
    <col min="9730" max="9730" width="13.26953125" style="22" bestFit="1" customWidth="1"/>
    <col min="9731" max="9731" width="3.1796875" style="22" customWidth="1"/>
    <col min="9732" max="9732" width="5.453125" style="22" bestFit="1" customWidth="1"/>
    <col min="9733" max="9733" width="4.453125" style="22" bestFit="1" customWidth="1"/>
    <col min="9734" max="9734" width="6.453125" style="22" customWidth="1"/>
    <col min="9735" max="9735" width="5" style="22" bestFit="1" customWidth="1"/>
    <col min="9736" max="9736" width="4.54296875" style="22" bestFit="1" customWidth="1"/>
    <col min="9737" max="9737" width="4.453125" style="22" bestFit="1" customWidth="1"/>
    <col min="9738" max="9738" width="4" style="22" customWidth="1"/>
    <col min="9739" max="9966" width="11.453125" style="22"/>
    <col min="9967" max="9967" width="14.81640625" style="22" bestFit="1" customWidth="1"/>
    <col min="9968" max="9968" width="28" style="22" bestFit="1" customWidth="1"/>
    <col min="9969" max="9969" width="4.453125" style="22" bestFit="1" customWidth="1"/>
    <col min="9970" max="9970" width="8" style="22" bestFit="1" customWidth="1"/>
    <col min="9971" max="9971" width="11.453125" style="22"/>
    <col min="9972" max="9972" width="22.81640625" style="22" bestFit="1" customWidth="1"/>
    <col min="9973" max="9973" width="7" style="22" customWidth="1"/>
    <col min="9974" max="9974" width="6.26953125" style="22" customWidth="1"/>
    <col min="9975" max="9975" width="5.7265625" style="22" customWidth="1"/>
    <col min="9976" max="9976" width="5.7265625" style="22" bestFit="1" customWidth="1"/>
    <col min="9977" max="9977" width="5.81640625" style="22" bestFit="1" customWidth="1"/>
    <col min="9978" max="9978" width="9.453125" style="22" customWidth="1"/>
    <col min="9979" max="9979" width="5.1796875" style="22" customWidth="1"/>
    <col min="9980" max="9980" width="9.7265625" style="22" customWidth="1"/>
    <col min="9981" max="9981" width="6.7265625" style="22" bestFit="1" customWidth="1"/>
    <col min="9982" max="9982" width="4.81640625" style="22" customWidth="1"/>
    <col min="9983" max="9983" width="5.26953125" style="22" customWidth="1"/>
    <col min="9984" max="9985" width="4.453125" style="22" bestFit="1" customWidth="1"/>
    <col min="9986" max="9986" width="13.26953125" style="22" bestFit="1" customWidth="1"/>
    <col min="9987" max="9987" width="3.1796875" style="22" customWidth="1"/>
    <col min="9988" max="9988" width="5.453125" style="22" bestFit="1" customWidth="1"/>
    <col min="9989" max="9989" width="4.453125" style="22" bestFit="1" customWidth="1"/>
    <col min="9990" max="9990" width="6.453125" style="22" customWidth="1"/>
    <col min="9991" max="9991" width="5" style="22" bestFit="1" customWidth="1"/>
    <col min="9992" max="9992" width="4.54296875" style="22" bestFit="1" customWidth="1"/>
    <col min="9993" max="9993" width="4.453125" style="22" bestFit="1" customWidth="1"/>
    <col min="9994" max="9994" width="4" style="22" customWidth="1"/>
    <col min="9995" max="10222" width="11.453125" style="22"/>
    <col min="10223" max="10223" width="14.81640625" style="22" bestFit="1" customWidth="1"/>
    <col min="10224" max="10224" width="28" style="22" bestFit="1" customWidth="1"/>
    <col min="10225" max="10225" width="4.453125" style="22" bestFit="1" customWidth="1"/>
    <col min="10226" max="10226" width="8" style="22" bestFit="1" customWidth="1"/>
    <col min="10227" max="10227" width="11.453125" style="22"/>
    <col min="10228" max="10228" width="22.81640625" style="22" bestFit="1" customWidth="1"/>
    <col min="10229" max="10229" width="7" style="22" customWidth="1"/>
    <col min="10230" max="10230" width="6.26953125" style="22" customWidth="1"/>
    <col min="10231" max="10231" width="5.7265625" style="22" customWidth="1"/>
    <col min="10232" max="10232" width="5.7265625" style="22" bestFit="1" customWidth="1"/>
    <col min="10233" max="10233" width="5.81640625" style="22" bestFit="1" customWidth="1"/>
    <col min="10234" max="10234" width="9.453125" style="22" customWidth="1"/>
    <col min="10235" max="10235" width="5.1796875" style="22" customWidth="1"/>
    <col min="10236" max="10236" width="9.7265625" style="22" customWidth="1"/>
    <col min="10237" max="10237" width="6.7265625" style="22" bestFit="1" customWidth="1"/>
    <col min="10238" max="10238" width="4.81640625" style="22" customWidth="1"/>
    <col min="10239" max="10239" width="5.26953125" style="22" customWidth="1"/>
    <col min="10240" max="10241" width="4.453125" style="22" bestFit="1" customWidth="1"/>
    <col min="10242" max="10242" width="13.26953125" style="22" bestFit="1" customWidth="1"/>
    <col min="10243" max="10243" width="3.1796875" style="22" customWidth="1"/>
    <col min="10244" max="10244" width="5.453125" style="22" bestFit="1" customWidth="1"/>
    <col min="10245" max="10245" width="4.453125" style="22" bestFit="1" customWidth="1"/>
    <col min="10246" max="10246" width="6.453125" style="22" customWidth="1"/>
    <col min="10247" max="10247" width="5" style="22" bestFit="1" customWidth="1"/>
    <col min="10248" max="10248" width="4.54296875" style="22" bestFit="1" customWidth="1"/>
    <col min="10249" max="10249" width="4.453125" style="22" bestFit="1" customWidth="1"/>
    <col min="10250" max="10250" width="4" style="22" customWidth="1"/>
    <col min="10251" max="10478" width="11.453125" style="22"/>
    <col min="10479" max="10479" width="14.81640625" style="22" bestFit="1" customWidth="1"/>
    <col min="10480" max="10480" width="28" style="22" bestFit="1" customWidth="1"/>
    <col min="10481" max="10481" width="4.453125" style="22" bestFit="1" customWidth="1"/>
    <col min="10482" max="10482" width="8" style="22" bestFit="1" customWidth="1"/>
    <col min="10483" max="10483" width="11.453125" style="22"/>
    <col min="10484" max="10484" width="22.81640625" style="22" bestFit="1" customWidth="1"/>
    <col min="10485" max="10485" width="7" style="22" customWidth="1"/>
    <col min="10486" max="10486" width="6.26953125" style="22" customWidth="1"/>
    <col min="10487" max="10487" width="5.7265625" style="22" customWidth="1"/>
    <col min="10488" max="10488" width="5.7265625" style="22" bestFit="1" customWidth="1"/>
    <col min="10489" max="10489" width="5.81640625" style="22" bestFit="1" customWidth="1"/>
    <col min="10490" max="10490" width="9.453125" style="22" customWidth="1"/>
    <col min="10491" max="10491" width="5.1796875" style="22" customWidth="1"/>
    <col min="10492" max="10492" width="9.7265625" style="22" customWidth="1"/>
    <col min="10493" max="10493" width="6.7265625" style="22" bestFit="1" customWidth="1"/>
    <col min="10494" max="10494" width="4.81640625" style="22" customWidth="1"/>
    <col min="10495" max="10495" width="5.26953125" style="22" customWidth="1"/>
    <col min="10496" max="10497" width="4.453125" style="22" bestFit="1" customWidth="1"/>
    <col min="10498" max="10498" width="13.26953125" style="22" bestFit="1" customWidth="1"/>
    <col min="10499" max="10499" width="3.1796875" style="22" customWidth="1"/>
    <col min="10500" max="10500" width="5.453125" style="22" bestFit="1" customWidth="1"/>
    <col min="10501" max="10501" width="4.453125" style="22" bestFit="1" customWidth="1"/>
    <col min="10502" max="10502" width="6.453125" style="22" customWidth="1"/>
    <col min="10503" max="10503" width="5" style="22" bestFit="1" customWidth="1"/>
    <col min="10504" max="10504" width="4.54296875" style="22" bestFit="1" customWidth="1"/>
    <col min="10505" max="10505" width="4.453125" style="22" bestFit="1" customWidth="1"/>
    <col min="10506" max="10506" width="4" style="22" customWidth="1"/>
    <col min="10507" max="10734" width="11.453125" style="22"/>
    <col min="10735" max="10735" width="14.81640625" style="22" bestFit="1" customWidth="1"/>
    <col min="10736" max="10736" width="28" style="22" bestFit="1" customWidth="1"/>
    <col min="10737" max="10737" width="4.453125" style="22" bestFit="1" customWidth="1"/>
    <col min="10738" max="10738" width="8" style="22" bestFit="1" customWidth="1"/>
    <col min="10739" max="10739" width="11.453125" style="22"/>
    <col min="10740" max="10740" width="22.81640625" style="22" bestFit="1" customWidth="1"/>
    <col min="10741" max="10741" width="7" style="22" customWidth="1"/>
    <col min="10742" max="10742" width="6.26953125" style="22" customWidth="1"/>
    <col min="10743" max="10743" width="5.7265625" style="22" customWidth="1"/>
    <col min="10744" max="10744" width="5.7265625" style="22" bestFit="1" customWidth="1"/>
    <col min="10745" max="10745" width="5.81640625" style="22" bestFit="1" customWidth="1"/>
    <col min="10746" max="10746" width="9.453125" style="22" customWidth="1"/>
    <col min="10747" max="10747" width="5.1796875" style="22" customWidth="1"/>
    <col min="10748" max="10748" width="9.7265625" style="22" customWidth="1"/>
    <col min="10749" max="10749" width="6.7265625" style="22" bestFit="1" customWidth="1"/>
    <col min="10750" max="10750" width="4.81640625" style="22" customWidth="1"/>
    <col min="10751" max="10751" width="5.26953125" style="22" customWidth="1"/>
    <col min="10752" max="10753" width="4.453125" style="22" bestFit="1" customWidth="1"/>
    <col min="10754" max="10754" width="13.26953125" style="22" bestFit="1" customWidth="1"/>
    <col min="10755" max="10755" width="3.1796875" style="22" customWidth="1"/>
    <col min="10756" max="10756" width="5.453125" style="22" bestFit="1" customWidth="1"/>
    <col min="10757" max="10757" width="4.453125" style="22" bestFit="1" customWidth="1"/>
    <col min="10758" max="10758" width="6.453125" style="22" customWidth="1"/>
    <col min="10759" max="10759" width="5" style="22" bestFit="1" customWidth="1"/>
    <col min="10760" max="10760" width="4.54296875" style="22" bestFit="1" customWidth="1"/>
    <col min="10761" max="10761" width="4.453125" style="22" bestFit="1" customWidth="1"/>
    <col min="10762" max="10762" width="4" style="22" customWidth="1"/>
    <col min="10763" max="10990" width="11.453125" style="22"/>
    <col min="10991" max="10991" width="14.81640625" style="22" bestFit="1" customWidth="1"/>
    <col min="10992" max="10992" width="28" style="22" bestFit="1" customWidth="1"/>
    <col min="10993" max="10993" width="4.453125" style="22" bestFit="1" customWidth="1"/>
    <col min="10994" max="10994" width="8" style="22" bestFit="1" customWidth="1"/>
    <col min="10995" max="10995" width="11.453125" style="22"/>
    <col min="10996" max="10996" width="22.81640625" style="22" bestFit="1" customWidth="1"/>
    <col min="10997" max="10997" width="7" style="22" customWidth="1"/>
    <col min="10998" max="10998" width="6.26953125" style="22" customWidth="1"/>
    <col min="10999" max="10999" width="5.7265625" style="22" customWidth="1"/>
    <col min="11000" max="11000" width="5.7265625" style="22" bestFit="1" customWidth="1"/>
    <col min="11001" max="11001" width="5.81640625" style="22" bestFit="1" customWidth="1"/>
    <col min="11002" max="11002" width="9.453125" style="22" customWidth="1"/>
    <col min="11003" max="11003" width="5.1796875" style="22" customWidth="1"/>
    <col min="11004" max="11004" width="9.7265625" style="22" customWidth="1"/>
    <col min="11005" max="11005" width="6.7265625" style="22" bestFit="1" customWidth="1"/>
    <col min="11006" max="11006" width="4.81640625" style="22" customWidth="1"/>
    <col min="11007" max="11007" width="5.26953125" style="22" customWidth="1"/>
    <col min="11008" max="11009" width="4.453125" style="22" bestFit="1" customWidth="1"/>
    <col min="11010" max="11010" width="13.26953125" style="22" bestFit="1" customWidth="1"/>
    <col min="11011" max="11011" width="3.1796875" style="22" customWidth="1"/>
    <col min="11012" max="11012" width="5.453125" style="22" bestFit="1" customWidth="1"/>
    <col min="11013" max="11013" width="4.453125" style="22" bestFit="1" customWidth="1"/>
    <col min="11014" max="11014" width="6.453125" style="22" customWidth="1"/>
    <col min="11015" max="11015" width="5" style="22" bestFit="1" customWidth="1"/>
    <col min="11016" max="11016" width="4.54296875" style="22" bestFit="1" customWidth="1"/>
    <col min="11017" max="11017" width="4.453125" style="22" bestFit="1" customWidth="1"/>
    <col min="11018" max="11018" width="4" style="22" customWidth="1"/>
    <col min="11019" max="11246" width="11.453125" style="22"/>
    <col min="11247" max="11247" width="14.81640625" style="22" bestFit="1" customWidth="1"/>
    <col min="11248" max="11248" width="28" style="22" bestFit="1" customWidth="1"/>
    <col min="11249" max="11249" width="4.453125" style="22" bestFit="1" customWidth="1"/>
    <col min="11250" max="11250" width="8" style="22" bestFit="1" customWidth="1"/>
    <col min="11251" max="11251" width="11.453125" style="22"/>
    <col min="11252" max="11252" width="22.81640625" style="22" bestFit="1" customWidth="1"/>
    <col min="11253" max="11253" width="7" style="22" customWidth="1"/>
    <col min="11254" max="11254" width="6.26953125" style="22" customWidth="1"/>
    <col min="11255" max="11255" width="5.7265625" style="22" customWidth="1"/>
    <col min="11256" max="11256" width="5.7265625" style="22" bestFit="1" customWidth="1"/>
    <col min="11257" max="11257" width="5.81640625" style="22" bestFit="1" customWidth="1"/>
    <col min="11258" max="11258" width="9.453125" style="22" customWidth="1"/>
    <col min="11259" max="11259" width="5.1796875" style="22" customWidth="1"/>
    <col min="11260" max="11260" width="9.7265625" style="22" customWidth="1"/>
    <col min="11261" max="11261" width="6.7265625" style="22" bestFit="1" customWidth="1"/>
    <col min="11262" max="11262" width="4.81640625" style="22" customWidth="1"/>
    <col min="11263" max="11263" width="5.26953125" style="22" customWidth="1"/>
    <col min="11264" max="11265" width="4.453125" style="22" bestFit="1" customWidth="1"/>
    <col min="11266" max="11266" width="13.26953125" style="22" bestFit="1" customWidth="1"/>
    <col min="11267" max="11267" width="3.1796875" style="22" customWidth="1"/>
    <col min="11268" max="11268" width="5.453125" style="22" bestFit="1" customWidth="1"/>
    <col min="11269" max="11269" width="4.453125" style="22" bestFit="1" customWidth="1"/>
    <col min="11270" max="11270" width="6.453125" style="22" customWidth="1"/>
    <col min="11271" max="11271" width="5" style="22" bestFit="1" customWidth="1"/>
    <col min="11272" max="11272" width="4.54296875" style="22" bestFit="1" customWidth="1"/>
    <col min="11273" max="11273" width="4.453125" style="22" bestFit="1" customWidth="1"/>
    <col min="11274" max="11274" width="4" style="22" customWidth="1"/>
    <col min="11275" max="11502" width="11.453125" style="22"/>
    <col min="11503" max="11503" width="14.81640625" style="22" bestFit="1" customWidth="1"/>
    <col min="11504" max="11504" width="28" style="22" bestFit="1" customWidth="1"/>
    <col min="11505" max="11505" width="4.453125" style="22" bestFit="1" customWidth="1"/>
    <col min="11506" max="11506" width="8" style="22" bestFit="1" customWidth="1"/>
    <col min="11507" max="11507" width="11.453125" style="22"/>
    <col min="11508" max="11508" width="22.81640625" style="22" bestFit="1" customWidth="1"/>
    <col min="11509" max="11509" width="7" style="22" customWidth="1"/>
    <col min="11510" max="11510" width="6.26953125" style="22" customWidth="1"/>
    <col min="11511" max="11511" width="5.7265625" style="22" customWidth="1"/>
    <col min="11512" max="11512" width="5.7265625" style="22" bestFit="1" customWidth="1"/>
    <col min="11513" max="11513" width="5.81640625" style="22" bestFit="1" customWidth="1"/>
    <col min="11514" max="11514" width="9.453125" style="22" customWidth="1"/>
    <col min="11515" max="11515" width="5.1796875" style="22" customWidth="1"/>
    <col min="11516" max="11516" width="9.7265625" style="22" customWidth="1"/>
    <col min="11517" max="11517" width="6.7265625" style="22" bestFit="1" customWidth="1"/>
    <col min="11518" max="11518" width="4.81640625" style="22" customWidth="1"/>
    <col min="11519" max="11519" width="5.26953125" style="22" customWidth="1"/>
    <col min="11520" max="11521" width="4.453125" style="22" bestFit="1" customWidth="1"/>
    <col min="11522" max="11522" width="13.26953125" style="22" bestFit="1" customWidth="1"/>
    <col min="11523" max="11523" width="3.1796875" style="22" customWidth="1"/>
    <col min="11524" max="11524" width="5.453125" style="22" bestFit="1" customWidth="1"/>
    <col min="11525" max="11525" width="4.453125" style="22" bestFit="1" customWidth="1"/>
    <col min="11526" max="11526" width="6.453125" style="22" customWidth="1"/>
    <col min="11527" max="11527" width="5" style="22" bestFit="1" customWidth="1"/>
    <col min="11528" max="11528" width="4.54296875" style="22" bestFit="1" customWidth="1"/>
    <col min="11529" max="11529" width="4.453125" style="22" bestFit="1" customWidth="1"/>
    <col min="11530" max="11530" width="4" style="22" customWidth="1"/>
    <col min="11531" max="11758" width="11.453125" style="22"/>
    <col min="11759" max="11759" width="14.81640625" style="22" bestFit="1" customWidth="1"/>
    <col min="11760" max="11760" width="28" style="22" bestFit="1" customWidth="1"/>
    <col min="11761" max="11761" width="4.453125" style="22" bestFit="1" customWidth="1"/>
    <col min="11762" max="11762" width="8" style="22" bestFit="1" customWidth="1"/>
    <col min="11763" max="11763" width="11.453125" style="22"/>
    <col min="11764" max="11764" width="22.81640625" style="22" bestFit="1" customWidth="1"/>
    <col min="11765" max="11765" width="7" style="22" customWidth="1"/>
    <col min="11766" max="11766" width="6.26953125" style="22" customWidth="1"/>
    <col min="11767" max="11767" width="5.7265625" style="22" customWidth="1"/>
    <col min="11768" max="11768" width="5.7265625" style="22" bestFit="1" customWidth="1"/>
    <col min="11769" max="11769" width="5.81640625" style="22" bestFit="1" customWidth="1"/>
    <col min="11770" max="11770" width="9.453125" style="22" customWidth="1"/>
    <col min="11771" max="11771" width="5.1796875" style="22" customWidth="1"/>
    <col min="11772" max="11772" width="9.7265625" style="22" customWidth="1"/>
    <col min="11773" max="11773" width="6.7265625" style="22" bestFit="1" customWidth="1"/>
    <col min="11774" max="11774" width="4.81640625" style="22" customWidth="1"/>
    <col min="11775" max="11775" width="5.26953125" style="22" customWidth="1"/>
    <col min="11776" max="11777" width="4.453125" style="22" bestFit="1" customWidth="1"/>
    <col min="11778" max="11778" width="13.26953125" style="22" bestFit="1" customWidth="1"/>
    <col min="11779" max="11779" width="3.1796875" style="22" customWidth="1"/>
    <col min="11780" max="11780" width="5.453125" style="22" bestFit="1" customWidth="1"/>
    <col min="11781" max="11781" width="4.453125" style="22" bestFit="1" customWidth="1"/>
    <col min="11782" max="11782" width="6.453125" style="22" customWidth="1"/>
    <col min="11783" max="11783" width="5" style="22" bestFit="1" customWidth="1"/>
    <col min="11784" max="11784" width="4.54296875" style="22" bestFit="1" customWidth="1"/>
    <col min="11785" max="11785" width="4.453125" style="22" bestFit="1" customWidth="1"/>
    <col min="11786" max="11786" width="4" style="22" customWidth="1"/>
    <col min="11787" max="12014" width="11.453125" style="22"/>
    <col min="12015" max="12015" width="14.81640625" style="22" bestFit="1" customWidth="1"/>
    <col min="12016" max="12016" width="28" style="22" bestFit="1" customWidth="1"/>
    <col min="12017" max="12017" width="4.453125" style="22" bestFit="1" customWidth="1"/>
    <col min="12018" max="12018" width="8" style="22" bestFit="1" customWidth="1"/>
    <col min="12019" max="12019" width="11.453125" style="22"/>
    <col min="12020" max="12020" width="22.81640625" style="22" bestFit="1" customWidth="1"/>
    <col min="12021" max="12021" width="7" style="22" customWidth="1"/>
    <col min="12022" max="12022" width="6.26953125" style="22" customWidth="1"/>
    <col min="12023" max="12023" width="5.7265625" style="22" customWidth="1"/>
    <col min="12024" max="12024" width="5.7265625" style="22" bestFit="1" customWidth="1"/>
    <col min="12025" max="12025" width="5.81640625" style="22" bestFit="1" customWidth="1"/>
    <col min="12026" max="12026" width="9.453125" style="22" customWidth="1"/>
    <col min="12027" max="12027" width="5.1796875" style="22" customWidth="1"/>
    <col min="12028" max="12028" width="9.7265625" style="22" customWidth="1"/>
    <col min="12029" max="12029" width="6.7265625" style="22" bestFit="1" customWidth="1"/>
    <col min="12030" max="12030" width="4.81640625" style="22" customWidth="1"/>
    <col min="12031" max="12031" width="5.26953125" style="22" customWidth="1"/>
    <col min="12032" max="12033" width="4.453125" style="22" bestFit="1" customWidth="1"/>
    <col min="12034" max="12034" width="13.26953125" style="22" bestFit="1" customWidth="1"/>
    <col min="12035" max="12035" width="3.1796875" style="22" customWidth="1"/>
    <col min="12036" max="12036" width="5.453125" style="22" bestFit="1" customWidth="1"/>
    <col min="12037" max="12037" width="4.453125" style="22" bestFit="1" customWidth="1"/>
    <col min="12038" max="12038" width="6.453125" style="22" customWidth="1"/>
    <col min="12039" max="12039" width="5" style="22" bestFit="1" customWidth="1"/>
    <col min="12040" max="12040" width="4.54296875" style="22" bestFit="1" customWidth="1"/>
    <col min="12041" max="12041" width="4.453125" style="22" bestFit="1" customWidth="1"/>
    <col min="12042" max="12042" width="4" style="22" customWidth="1"/>
    <col min="12043" max="12270" width="11.453125" style="22"/>
    <col min="12271" max="12271" width="14.81640625" style="22" bestFit="1" customWidth="1"/>
    <col min="12272" max="12272" width="28" style="22" bestFit="1" customWidth="1"/>
    <col min="12273" max="12273" width="4.453125" style="22" bestFit="1" customWidth="1"/>
    <col min="12274" max="12274" width="8" style="22" bestFit="1" customWidth="1"/>
    <col min="12275" max="12275" width="11.453125" style="22"/>
    <col min="12276" max="12276" width="22.81640625" style="22" bestFit="1" customWidth="1"/>
    <col min="12277" max="12277" width="7" style="22" customWidth="1"/>
    <col min="12278" max="12278" width="6.26953125" style="22" customWidth="1"/>
    <col min="12279" max="12279" width="5.7265625" style="22" customWidth="1"/>
    <col min="12280" max="12280" width="5.7265625" style="22" bestFit="1" customWidth="1"/>
    <col min="12281" max="12281" width="5.81640625" style="22" bestFit="1" customWidth="1"/>
    <col min="12282" max="12282" width="9.453125" style="22" customWidth="1"/>
    <col min="12283" max="12283" width="5.1796875" style="22" customWidth="1"/>
    <col min="12284" max="12284" width="9.7265625" style="22" customWidth="1"/>
    <col min="12285" max="12285" width="6.7265625" style="22" bestFit="1" customWidth="1"/>
    <col min="12286" max="12286" width="4.81640625" style="22" customWidth="1"/>
    <col min="12287" max="12287" width="5.26953125" style="22" customWidth="1"/>
    <col min="12288" max="12289" width="4.453125" style="22" bestFit="1" customWidth="1"/>
    <col min="12290" max="12290" width="13.26953125" style="22" bestFit="1" customWidth="1"/>
    <col min="12291" max="12291" width="3.1796875" style="22" customWidth="1"/>
    <col min="12292" max="12292" width="5.453125" style="22" bestFit="1" customWidth="1"/>
    <col min="12293" max="12293" width="4.453125" style="22" bestFit="1" customWidth="1"/>
    <col min="12294" max="12294" width="6.453125" style="22" customWidth="1"/>
    <col min="12295" max="12295" width="5" style="22" bestFit="1" customWidth="1"/>
    <col min="12296" max="12296" width="4.54296875" style="22" bestFit="1" customWidth="1"/>
    <col min="12297" max="12297" width="4.453125" style="22" bestFit="1" customWidth="1"/>
    <col min="12298" max="12298" width="4" style="22" customWidth="1"/>
    <col min="12299" max="12526" width="11.453125" style="22"/>
    <col min="12527" max="12527" width="14.81640625" style="22" bestFit="1" customWidth="1"/>
    <col min="12528" max="12528" width="28" style="22" bestFit="1" customWidth="1"/>
    <col min="12529" max="12529" width="4.453125" style="22" bestFit="1" customWidth="1"/>
    <col min="12530" max="12530" width="8" style="22" bestFit="1" customWidth="1"/>
    <col min="12531" max="12531" width="11.453125" style="22"/>
    <col min="12532" max="12532" width="22.81640625" style="22" bestFit="1" customWidth="1"/>
    <col min="12533" max="12533" width="7" style="22" customWidth="1"/>
    <col min="12534" max="12534" width="6.26953125" style="22" customWidth="1"/>
    <col min="12535" max="12535" width="5.7265625" style="22" customWidth="1"/>
    <col min="12536" max="12536" width="5.7265625" style="22" bestFit="1" customWidth="1"/>
    <col min="12537" max="12537" width="5.81640625" style="22" bestFit="1" customWidth="1"/>
    <col min="12538" max="12538" width="9.453125" style="22" customWidth="1"/>
    <col min="12539" max="12539" width="5.1796875" style="22" customWidth="1"/>
    <col min="12540" max="12540" width="9.7265625" style="22" customWidth="1"/>
    <col min="12541" max="12541" width="6.7265625" style="22" bestFit="1" customWidth="1"/>
    <col min="12542" max="12542" width="4.81640625" style="22" customWidth="1"/>
    <col min="12543" max="12543" width="5.26953125" style="22" customWidth="1"/>
    <col min="12544" max="12545" width="4.453125" style="22" bestFit="1" customWidth="1"/>
    <col min="12546" max="12546" width="13.26953125" style="22" bestFit="1" customWidth="1"/>
    <col min="12547" max="12547" width="3.1796875" style="22" customWidth="1"/>
    <col min="12548" max="12548" width="5.453125" style="22" bestFit="1" customWidth="1"/>
    <col min="12549" max="12549" width="4.453125" style="22" bestFit="1" customWidth="1"/>
    <col min="12550" max="12550" width="6.453125" style="22" customWidth="1"/>
    <col min="12551" max="12551" width="5" style="22" bestFit="1" customWidth="1"/>
    <col min="12552" max="12552" width="4.54296875" style="22" bestFit="1" customWidth="1"/>
    <col min="12553" max="12553" width="4.453125" style="22" bestFit="1" customWidth="1"/>
    <col min="12554" max="12554" width="4" style="22" customWidth="1"/>
    <col min="12555" max="12782" width="11.453125" style="22"/>
    <col min="12783" max="12783" width="14.81640625" style="22" bestFit="1" customWidth="1"/>
    <col min="12784" max="12784" width="28" style="22" bestFit="1" customWidth="1"/>
    <col min="12785" max="12785" width="4.453125" style="22" bestFit="1" customWidth="1"/>
    <col min="12786" max="12786" width="8" style="22" bestFit="1" customWidth="1"/>
    <col min="12787" max="12787" width="11.453125" style="22"/>
    <col min="12788" max="12788" width="22.81640625" style="22" bestFit="1" customWidth="1"/>
    <col min="12789" max="12789" width="7" style="22" customWidth="1"/>
    <col min="12790" max="12790" width="6.26953125" style="22" customWidth="1"/>
    <col min="12791" max="12791" width="5.7265625" style="22" customWidth="1"/>
    <col min="12792" max="12792" width="5.7265625" style="22" bestFit="1" customWidth="1"/>
    <col min="12793" max="12793" width="5.81640625" style="22" bestFit="1" customWidth="1"/>
    <col min="12794" max="12794" width="9.453125" style="22" customWidth="1"/>
    <col min="12795" max="12795" width="5.1796875" style="22" customWidth="1"/>
    <col min="12796" max="12796" width="9.7265625" style="22" customWidth="1"/>
    <col min="12797" max="12797" width="6.7265625" style="22" bestFit="1" customWidth="1"/>
    <col min="12798" max="12798" width="4.81640625" style="22" customWidth="1"/>
    <col min="12799" max="12799" width="5.26953125" style="22" customWidth="1"/>
    <col min="12800" max="12801" width="4.453125" style="22" bestFit="1" customWidth="1"/>
    <col min="12802" max="12802" width="13.26953125" style="22" bestFit="1" customWidth="1"/>
    <col min="12803" max="12803" width="3.1796875" style="22" customWidth="1"/>
    <col min="12804" max="12804" width="5.453125" style="22" bestFit="1" customWidth="1"/>
    <col min="12805" max="12805" width="4.453125" style="22" bestFit="1" customWidth="1"/>
    <col min="12806" max="12806" width="6.453125" style="22" customWidth="1"/>
    <col min="12807" max="12807" width="5" style="22" bestFit="1" customWidth="1"/>
    <col min="12808" max="12808" width="4.54296875" style="22" bestFit="1" customWidth="1"/>
    <col min="12809" max="12809" width="4.453125" style="22" bestFit="1" customWidth="1"/>
    <col min="12810" max="12810" width="4" style="22" customWidth="1"/>
    <col min="12811" max="13038" width="11.453125" style="22"/>
    <col min="13039" max="13039" width="14.81640625" style="22" bestFit="1" customWidth="1"/>
    <col min="13040" max="13040" width="28" style="22" bestFit="1" customWidth="1"/>
    <col min="13041" max="13041" width="4.453125" style="22" bestFit="1" customWidth="1"/>
    <col min="13042" max="13042" width="8" style="22" bestFit="1" customWidth="1"/>
    <col min="13043" max="13043" width="11.453125" style="22"/>
    <col min="13044" max="13044" width="22.81640625" style="22" bestFit="1" customWidth="1"/>
    <col min="13045" max="13045" width="7" style="22" customWidth="1"/>
    <col min="13046" max="13046" width="6.26953125" style="22" customWidth="1"/>
    <col min="13047" max="13047" width="5.7265625" style="22" customWidth="1"/>
    <col min="13048" max="13048" width="5.7265625" style="22" bestFit="1" customWidth="1"/>
    <col min="13049" max="13049" width="5.81640625" style="22" bestFit="1" customWidth="1"/>
    <col min="13050" max="13050" width="9.453125" style="22" customWidth="1"/>
    <col min="13051" max="13051" width="5.1796875" style="22" customWidth="1"/>
    <col min="13052" max="13052" width="9.7265625" style="22" customWidth="1"/>
    <col min="13053" max="13053" width="6.7265625" style="22" bestFit="1" customWidth="1"/>
    <col min="13054" max="13054" width="4.81640625" style="22" customWidth="1"/>
    <col min="13055" max="13055" width="5.26953125" style="22" customWidth="1"/>
    <col min="13056" max="13057" width="4.453125" style="22" bestFit="1" customWidth="1"/>
    <col min="13058" max="13058" width="13.26953125" style="22" bestFit="1" customWidth="1"/>
    <col min="13059" max="13059" width="3.1796875" style="22" customWidth="1"/>
    <col min="13060" max="13060" width="5.453125" style="22" bestFit="1" customWidth="1"/>
    <col min="13061" max="13061" width="4.453125" style="22" bestFit="1" customWidth="1"/>
    <col min="13062" max="13062" width="6.453125" style="22" customWidth="1"/>
    <col min="13063" max="13063" width="5" style="22" bestFit="1" customWidth="1"/>
    <col min="13064" max="13064" width="4.54296875" style="22" bestFit="1" customWidth="1"/>
    <col min="13065" max="13065" width="4.453125" style="22" bestFit="1" customWidth="1"/>
    <col min="13066" max="13066" width="4" style="22" customWidth="1"/>
    <col min="13067" max="13294" width="11.453125" style="22"/>
    <col min="13295" max="13295" width="14.81640625" style="22" bestFit="1" customWidth="1"/>
    <col min="13296" max="13296" width="28" style="22" bestFit="1" customWidth="1"/>
    <col min="13297" max="13297" width="4.453125" style="22" bestFit="1" customWidth="1"/>
    <col min="13298" max="13298" width="8" style="22" bestFit="1" customWidth="1"/>
    <col min="13299" max="13299" width="11.453125" style="22"/>
    <col min="13300" max="13300" width="22.81640625" style="22" bestFit="1" customWidth="1"/>
    <col min="13301" max="13301" width="7" style="22" customWidth="1"/>
    <col min="13302" max="13302" width="6.26953125" style="22" customWidth="1"/>
    <col min="13303" max="13303" width="5.7265625" style="22" customWidth="1"/>
    <col min="13304" max="13304" width="5.7265625" style="22" bestFit="1" customWidth="1"/>
    <col min="13305" max="13305" width="5.81640625" style="22" bestFit="1" customWidth="1"/>
    <col min="13306" max="13306" width="9.453125" style="22" customWidth="1"/>
    <col min="13307" max="13307" width="5.1796875" style="22" customWidth="1"/>
    <col min="13308" max="13308" width="9.7265625" style="22" customWidth="1"/>
    <col min="13309" max="13309" width="6.7265625" style="22" bestFit="1" customWidth="1"/>
    <col min="13310" max="13310" width="4.81640625" style="22" customWidth="1"/>
    <col min="13311" max="13311" width="5.26953125" style="22" customWidth="1"/>
    <col min="13312" max="13313" width="4.453125" style="22" bestFit="1" customWidth="1"/>
    <col min="13314" max="13314" width="13.26953125" style="22" bestFit="1" customWidth="1"/>
    <col min="13315" max="13315" width="3.1796875" style="22" customWidth="1"/>
    <col min="13316" max="13316" width="5.453125" style="22" bestFit="1" customWidth="1"/>
    <col min="13317" max="13317" width="4.453125" style="22" bestFit="1" customWidth="1"/>
    <col min="13318" max="13318" width="6.453125" style="22" customWidth="1"/>
    <col min="13319" max="13319" width="5" style="22" bestFit="1" customWidth="1"/>
    <col min="13320" max="13320" width="4.54296875" style="22" bestFit="1" customWidth="1"/>
    <col min="13321" max="13321" width="4.453125" style="22" bestFit="1" customWidth="1"/>
    <col min="13322" max="13322" width="4" style="22" customWidth="1"/>
    <col min="13323" max="13550" width="11.453125" style="22"/>
    <col min="13551" max="13551" width="14.81640625" style="22" bestFit="1" customWidth="1"/>
    <col min="13552" max="13552" width="28" style="22" bestFit="1" customWidth="1"/>
    <col min="13553" max="13553" width="4.453125" style="22" bestFit="1" customWidth="1"/>
    <col min="13554" max="13554" width="8" style="22" bestFit="1" customWidth="1"/>
    <col min="13555" max="13555" width="11.453125" style="22"/>
    <col min="13556" max="13556" width="22.81640625" style="22" bestFit="1" customWidth="1"/>
    <col min="13557" max="13557" width="7" style="22" customWidth="1"/>
    <col min="13558" max="13558" width="6.26953125" style="22" customWidth="1"/>
    <col min="13559" max="13559" width="5.7265625" style="22" customWidth="1"/>
    <col min="13560" max="13560" width="5.7265625" style="22" bestFit="1" customWidth="1"/>
    <col min="13561" max="13561" width="5.81640625" style="22" bestFit="1" customWidth="1"/>
    <col min="13562" max="13562" width="9.453125" style="22" customWidth="1"/>
    <col min="13563" max="13563" width="5.1796875" style="22" customWidth="1"/>
    <col min="13564" max="13564" width="9.7265625" style="22" customWidth="1"/>
    <col min="13565" max="13565" width="6.7265625" style="22" bestFit="1" customWidth="1"/>
    <col min="13566" max="13566" width="4.81640625" style="22" customWidth="1"/>
    <col min="13567" max="13567" width="5.26953125" style="22" customWidth="1"/>
    <col min="13568" max="13569" width="4.453125" style="22" bestFit="1" customWidth="1"/>
    <col min="13570" max="13570" width="13.26953125" style="22" bestFit="1" customWidth="1"/>
    <col min="13571" max="13571" width="3.1796875" style="22" customWidth="1"/>
    <col min="13572" max="13572" width="5.453125" style="22" bestFit="1" customWidth="1"/>
    <col min="13573" max="13573" width="4.453125" style="22" bestFit="1" customWidth="1"/>
    <col min="13574" max="13574" width="6.453125" style="22" customWidth="1"/>
    <col min="13575" max="13575" width="5" style="22" bestFit="1" customWidth="1"/>
    <col min="13576" max="13576" width="4.54296875" style="22" bestFit="1" customWidth="1"/>
    <col min="13577" max="13577" width="4.453125" style="22" bestFit="1" customWidth="1"/>
    <col min="13578" max="13578" width="4" style="22" customWidth="1"/>
    <col min="13579" max="13806" width="11.453125" style="22"/>
    <col min="13807" max="13807" width="14.81640625" style="22" bestFit="1" customWidth="1"/>
    <col min="13808" max="13808" width="28" style="22" bestFit="1" customWidth="1"/>
    <col min="13809" max="13809" width="4.453125" style="22" bestFit="1" customWidth="1"/>
    <col min="13810" max="13810" width="8" style="22" bestFit="1" customWidth="1"/>
    <col min="13811" max="13811" width="11.453125" style="22"/>
    <col min="13812" max="13812" width="22.81640625" style="22" bestFit="1" customWidth="1"/>
    <col min="13813" max="13813" width="7" style="22" customWidth="1"/>
    <col min="13814" max="13814" width="6.26953125" style="22" customWidth="1"/>
    <col min="13815" max="13815" width="5.7265625" style="22" customWidth="1"/>
    <col min="13816" max="13816" width="5.7265625" style="22" bestFit="1" customWidth="1"/>
    <col min="13817" max="13817" width="5.81640625" style="22" bestFit="1" customWidth="1"/>
    <col min="13818" max="13818" width="9.453125" style="22" customWidth="1"/>
    <col min="13819" max="13819" width="5.1796875" style="22" customWidth="1"/>
    <col min="13820" max="13820" width="9.7265625" style="22" customWidth="1"/>
    <col min="13821" max="13821" width="6.7265625" style="22" bestFit="1" customWidth="1"/>
    <col min="13822" max="13822" width="4.81640625" style="22" customWidth="1"/>
    <col min="13823" max="13823" width="5.26953125" style="22" customWidth="1"/>
    <col min="13824" max="13825" width="4.453125" style="22" bestFit="1" customWidth="1"/>
    <col min="13826" max="13826" width="13.26953125" style="22" bestFit="1" customWidth="1"/>
    <col min="13827" max="13827" width="3.1796875" style="22" customWidth="1"/>
    <col min="13828" max="13828" width="5.453125" style="22" bestFit="1" customWidth="1"/>
    <col min="13829" max="13829" width="4.453125" style="22" bestFit="1" customWidth="1"/>
    <col min="13830" max="13830" width="6.453125" style="22" customWidth="1"/>
    <col min="13831" max="13831" width="5" style="22" bestFit="1" customWidth="1"/>
    <col min="13832" max="13832" width="4.54296875" style="22" bestFit="1" customWidth="1"/>
    <col min="13833" max="13833" width="4.453125" style="22" bestFit="1" customWidth="1"/>
    <col min="13834" max="13834" width="4" style="22" customWidth="1"/>
    <col min="13835" max="14062" width="11.453125" style="22"/>
    <col min="14063" max="14063" width="14.81640625" style="22" bestFit="1" customWidth="1"/>
    <col min="14064" max="14064" width="28" style="22" bestFit="1" customWidth="1"/>
    <col min="14065" max="14065" width="4.453125" style="22" bestFit="1" customWidth="1"/>
    <col min="14066" max="14066" width="8" style="22" bestFit="1" customWidth="1"/>
    <col min="14067" max="14067" width="11.453125" style="22"/>
    <col min="14068" max="14068" width="22.81640625" style="22" bestFit="1" customWidth="1"/>
    <col min="14069" max="14069" width="7" style="22" customWidth="1"/>
    <col min="14070" max="14070" width="6.26953125" style="22" customWidth="1"/>
    <col min="14071" max="14071" width="5.7265625" style="22" customWidth="1"/>
    <col min="14072" max="14072" width="5.7265625" style="22" bestFit="1" customWidth="1"/>
    <col min="14073" max="14073" width="5.81640625" style="22" bestFit="1" customWidth="1"/>
    <col min="14074" max="14074" width="9.453125" style="22" customWidth="1"/>
    <col min="14075" max="14075" width="5.1796875" style="22" customWidth="1"/>
    <col min="14076" max="14076" width="9.7265625" style="22" customWidth="1"/>
    <col min="14077" max="14077" width="6.7265625" style="22" bestFit="1" customWidth="1"/>
    <col min="14078" max="14078" width="4.81640625" style="22" customWidth="1"/>
    <col min="14079" max="14079" width="5.26953125" style="22" customWidth="1"/>
    <col min="14080" max="14081" width="4.453125" style="22" bestFit="1" customWidth="1"/>
    <col min="14082" max="14082" width="13.26953125" style="22" bestFit="1" customWidth="1"/>
    <col min="14083" max="14083" width="3.1796875" style="22" customWidth="1"/>
    <col min="14084" max="14084" width="5.453125" style="22" bestFit="1" customWidth="1"/>
    <col min="14085" max="14085" width="4.453125" style="22" bestFit="1" customWidth="1"/>
    <col min="14086" max="14086" width="6.453125" style="22" customWidth="1"/>
    <col min="14087" max="14087" width="5" style="22" bestFit="1" customWidth="1"/>
    <col min="14088" max="14088" width="4.54296875" style="22" bestFit="1" customWidth="1"/>
    <col min="14089" max="14089" width="4.453125" style="22" bestFit="1" customWidth="1"/>
    <col min="14090" max="14090" width="4" style="22" customWidth="1"/>
    <col min="14091" max="14318" width="11.453125" style="22"/>
    <col min="14319" max="14319" width="14.81640625" style="22" bestFit="1" customWidth="1"/>
    <col min="14320" max="14320" width="28" style="22" bestFit="1" customWidth="1"/>
    <col min="14321" max="14321" width="4.453125" style="22" bestFit="1" customWidth="1"/>
    <col min="14322" max="14322" width="8" style="22" bestFit="1" customWidth="1"/>
    <col min="14323" max="14323" width="11.453125" style="22"/>
    <col min="14324" max="14324" width="22.81640625" style="22" bestFit="1" customWidth="1"/>
    <col min="14325" max="14325" width="7" style="22" customWidth="1"/>
    <col min="14326" max="14326" width="6.26953125" style="22" customWidth="1"/>
    <col min="14327" max="14327" width="5.7265625" style="22" customWidth="1"/>
    <col min="14328" max="14328" width="5.7265625" style="22" bestFit="1" customWidth="1"/>
    <col min="14329" max="14329" width="5.81640625" style="22" bestFit="1" customWidth="1"/>
    <col min="14330" max="14330" width="9.453125" style="22" customWidth="1"/>
    <col min="14331" max="14331" width="5.1796875" style="22" customWidth="1"/>
    <col min="14332" max="14332" width="9.7265625" style="22" customWidth="1"/>
    <col min="14333" max="14333" width="6.7265625" style="22" bestFit="1" customWidth="1"/>
    <col min="14334" max="14334" width="4.81640625" style="22" customWidth="1"/>
    <col min="14335" max="14335" width="5.26953125" style="22" customWidth="1"/>
    <col min="14336" max="14337" width="4.453125" style="22" bestFit="1" customWidth="1"/>
    <col min="14338" max="14338" width="13.26953125" style="22" bestFit="1" customWidth="1"/>
    <col min="14339" max="14339" width="3.1796875" style="22" customWidth="1"/>
    <col min="14340" max="14340" width="5.453125" style="22" bestFit="1" customWidth="1"/>
    <col min="14341" max="14341" width="4.453125" style="22" bestFit="1" customWidth="1"/>
    <col min="14342" max="14342" width="6.453125" style="22" customWidth="1"/>
    <col min="14343" max="14343" width="5" style="22" bestFit="1" customWidth="1"/>
    <col min="14344" max="14344" width="4.54296875" style="22" bestFit="1" customWidth="1"/>
    <col min="14345" max="14345" width="4.453125" style="22" bestFit="1" customWidth="1"/>
    <col min="14346" max="14346" width="4" style="22" customWidth="1"/>
    <col min="14347" max="14574" width="11.453125" style="22"/>
    <col min="14575" max="14575" width="14.81640625" style="22" bestFit="1" customWidth="1"/>
    <col min="14576" max="14576" width="28" style="22" bestFit="1" customWidth="1"/>
    <col min="14577" max="14577" width="4.453125" style="22" bestFit="1" customWidth="1"/>
    <col min="14578" max="14578" width="8" style="22" bestFit="1" customWidth="1"/>
    <col min="14579" max="14579" width="11.453125" style="22"/>
    <col min="14580" max="14580" width="22.81640625" style="22" bestFit="1" customWidth="1"/>
    <col min="14581" max="14581" width="7" style="22" customWidth="1"/>
    <col min="14582" max="14582" width="6.26953125" style="22" customWidth="1"/>
    <col min="14583" max="14583" width="5.7265625" style="22" customWidth="1"/>
    <col min="14584" max="14584" width="5.7265625" style="22" bestFit="1" customWidth="1"/>
    <col min="14585" max="14585" width="5.81640625" style="22" bestFit="1" customWidth="1"/>
    <col min="14586" max="14586" width="9.453125" style="22" customWidth="1"/>
    <col min="14587" max="14587" width="5.1796875" style="22" customWidth="1"/>
    <col min="14588" max="14588" width="9.7265625" style="22" customWidth="1"/>
    <col min="14589" max="14589" width="6.7265625" style="22" bestFit="1" customWidth="1"/>
    <col min="14590" max="14590" width="4.81640625" style="22" customWidth="1"/>
    <col min="14591" max="14591" width="5.26953125" style="22" customWidth="1"/>
    <col min="14592" max="14593" width="4.453125" style="22" bestFit="1" customWidth="1"/>
    <col min="14594" max="14594" width="13.26953125" style="22" bestFit="1" customWidth="1"/>
    <col min="14595" max="14595" width="3.1796875" style="22" customWidth="1"/>
    <col min="14596" max="14596" width="5.453125" style="22" bestFit="1" customWidth="1"/>
    <col min="14597" max="14597" width="4.453125" style="22" bestFit="1" customWidth="1"/>
    <col min="14598" max="14598" width="6.453125" style="22" customWidth="1"/>
    <col min="14599" max="14599" width="5" style="22" bestFit="1" customWidth="1"/>
    <col min="14600" max="14600" width="4.54296875" style="22" bestFit="1" customWidth="1"/>
    <col min="14601" max="14601" width="4.453125" style="22" bestFit="1" customWidth="1"/>
    <col min="14602" max="14602" width="4" style="22" customWidth="1"/>
    <col min="14603" max="14830" width="11.453125" style="22"/>
    <col min="14831" max="14831" width="14.81640625" style="22" bestFit="1" customWidth="1"/>
    <col min="14832" max="14832" width="28" style="22" bestFit="1" customWidth="1"/>
    <col min="14833" max="14833" width="4.453125" style="22" bestFit="1" customWidth="1"/>
    <col min="14834" max="14834" width="8" style="22" bestFit="1" customWidth="1"/>
    <col min="14835" max="14835" width="11.453125" style="22"/>
    <col min="14836" max="14836" width="22.81640625" style="22" bestFit="1" customWidth="1"/>
    <col min="14837" max="14837" width="7" style="22" customWidth="1"/>
    <col min="14838" max="14838" width="6.26953125" style="22" customWidth="1"/>
    <col min="14839" max="14839" width="5.7265625" style="22" customWidth="1"/>
    <col min="14840" max="14840" width="5.7265625" style="22" bestFit="1" customWidth="1"/>
    <col min="14841" max="14841" width="5.81640625" style="22" bestFit="1" customWidth="1"/>
    <col min="14842" max="14842" width="9.453125" style="22" customWidth="1"/>
    <col min="14843" max="14843" width="5.1796875" style="22" customWidth="1"/>
    <col min="14844" max="14844" width="9.7265625" style="22" customWidth="1"/>
    <col min="14845" max="14845" width="6.7265625" style="22" bestFit="1" customWidth="1"/>
    <col min="14846" max="14846" width="4.81640625" style="22" customWidth="1"/>
    <col min="14847" max="14847" width="5.26953125" style="22" customWidth="1"/>
    <col min="14848" max="14849" width="4.453125" style="22" bestFit="1" customWidth="1"/>
    <col min="14850" max="14850" width="13.26953125" style="22" bestFit="1" customWidth="1"/>
    <col min="14851" max="14851" width="3.1796875" style="22" customWidth="1"/>
    <col min="14852" max="14852" width="5.453125" style="22" bestFit="1" customWidth="1"/>
    <col min="14853" max="14853" width="4.453125" style="22" bestFit="1" customWidth="1"/>
    <col min="14854" max="14854" width="6.453125" style="22" customWidth="1"/>
    <col min="14855" max="14855" width="5" style="22" bestFit="1" customWidth="1"/>
    <col min="14856" max="14856" width="4.54296875" style="22" bestFit="1" customWidth="1"/>
    <col min="14857" max="14857" width="4.453125" style="22" bestFit="1" customWidth="1"/>
    <col min="14858" max="14858" width="4" style="22" customWidth="1"/>
    <col min="14859" max="15086" width="11.453125" style="22"/>
    <col min="15087" max="15087" width="14.81640625" style="22" bestFit="1" customWidth="1"/>
    <col min="15088" max="15088" width="28" style="22" bestFit="1" customWidth="1"/>
    <col min="15089" max="15089" width="4.453125" style="22" bestFit="1" customWidth="1"/>
    <col min="15090" max="15090" width="8" style="22" bestFit="1" customWidth="1"/>
    <col min="15091" max="15091" width="11.453125" style="22"/>
    <col min="15092" max="15092" width="22.81640625" style="22" bestFit="1" customWidth="1"/>
    <col min="15093" max="15093" width="7" style="22" customWidth="1"/>
    <col min="15094" max="15094" width="6.26953125" style="22" customWidth="1"/>
    <col min="15095" max="15095" width="5.7265625" style="22" customWidth="1"/>
    <col min="15096" max="15096" width="5.7265625" style="22" bestFit="1" customWidth="1"/>
    <col min="15097" max="15097" width="5.81640625" style="22" bestFit="1" customWidth="1"/>
    <col min="15098" max="15098" width="9.453125" style="22" customWidth="1"/>
    <col min="15099" max="15099" width="5.1796875" style="22" customWidth="1"/>
    <col min="15100" max="15100" width="9.7265625" style="22" customWidth="1"/>
    <col min="15101" max="15101" width="6.7265625" style="22" bestFit="1" customWidth="1"/>
    <col min="15102" max="15102" width="4.81640625" style="22" customWidth="1"/>
    <col min="15103" max="15103" width="5.26953125" style="22" customWidth="1"/>
    <col min="15104" max="15105" width="4.453125" style="22" bestFit="1" customWidth="1"/>
    <col min="15106" max="15106" width="13.26953125" style="22" bestFit="1" customWidth="1"/>
    <col min="15107" max="15107" width="3.1796875" style="22" customWidth="1"/>
    <col min="15108" max="15108" width="5.453125" style="22" bestFit="1" customWidth="1"/>
    <col min="15109" max="15109" width="4.453125" style="22" bestFit="1" customWidth="1"/>
    <col min="15110" max="15110" width="6.453125" style="22" customWidth="1"/>
    <col min="15111" max="15111" width="5" style="22" bestFit="1" customWidth="1"/>
    <col min="15112" max="15112" width="4.54296875" style="22" bestFit="1" customWidth="1"/>
    <col min="15113" max="15113" width="4.453125" style="22" bestFit="1" customWidth="1"/>
    <col min="15114" max="15114" width="4" style="22" customWidth="1"/>
    <col min="15115" max="15342" width="11.453125" style="22"/>
    <col min="15343" max="15343" width="14.81640625" style="22" bestFit="1" customWidth="1"/>
    <col min="15344" max="15344" width="28" style="22" bestFit="1" customWidth="1"/>
    <col min="15345" max="15345" width="4.453125" style="22" bestFit="1" customWidth="1"/>
    <col min="15346" max="15346" width="8" style="22" bestFit="1" customWidth="1"/>
    <col min="15347" max="15347" width="11.453125" style="22"/>
    <col min="15348" max="15348" width="22.81640625" style="22" bestFit="1" customWidth="1"/>
    <col min="15349" max="15349" width="7" style="22" customWidth="1"/>
    <col min="15350" max="15350" width="6.26953125" style="22" customWidth="1"/>
    <col min="15351" max="15351" width="5.7265625" style="22" customWidth="1"/>
    <col min="15352" max="15352" width="5.7265625" style="22" bestFit="1" customWidth="1"/>
    <col min="15353" max="15353" width="5.81640625" style="22" bestFit="1" customWidth="1"/>
    <col min="15354" max="15354" width="9.453125" style="22" customWidth="1"/>
    <col min="15355" max="15355" width="5.1796875" style="22" customWidth="1"/>
    <col min="15356" max="15356" width="9.7265625" style="22" customWidth="1"/>
    <col min="15357" max="15357" width="6.7265625" style="22" bestFit="1" customWidth="1"/>
    <col min="15358" max="15358" width="4.81640625" style="22" customWidth="1"/>
    <col min="15359" max="15359" width="5.26953125" style="22" customWidth="1"/>
    <col min="15360" max="15361" width="4.453125" style="22" bestFit="1" customWidth="1"/>
    <col min="15362" max="15362" width="13.26953125" style="22" bestFit="1" customWidth="1"/>
    <col min="15363" max="15363" width="3.1796875" style="22" customWidth="1"/>
    <col min="15364" max="15364" width="5.453125" style="22" bestFit="1" customWidth="1"/>
    <col min="15365" max="15365" width="4.453125" style="22" bestFit="1" customWidth="1"/>
    <col min="15366" max="15366" width="6.453125" style="22" customWidth="1"/>
    <col min="15367" max="15367" width="5" style="22" bestFit="1" customWidth="1"/>
    <col min="15368" max="15368" width="4.54296875" style="22" bestFit="1" customWidth="1"/>
    <col min="15369" max="15369" width="4.453125" style="22" bestFit="1" customWidth="1"/>
    <col min="15370" max="15370" width="4" style="22" customWidth="1"/>
    <col min="15371" max="15598" width="11.453125" style="22"/>
    <col min="15599" max="15599" width="14.81640625" style="22" bestFit="1" customWidth="1"/>
    <col min="15600" max="15600" width="28" style="22" bestFit="1" customWidth="1"/>
    <col min="15601" max="15601" width="4.453125" style="22" bestFit="1" customWidth="1"/>
    <col min="15602" max="15602" width="8" style="22" bestFit="1" customWidth="1"/>
    <col min="15603" max="15603" width="11.453125" style="22"/>
    <col min="15604" max="15604" width="22.81640625" style="22" bestFit="1" customWidth="1"/>
    <col min="15605" max="15605" width="7" style="22" customWidth="1"/>
    <col min="15606" max="15606" width="6.26953125" style="22" customWidth="1"/>
    <col min="15607" max="15607" width="5.7265625" style="22" customWidth="1"/>
    <col min="15608" max="15608" width="5.7265625" style="22" bestFit="1" customWidth="1"/>
    <col min="15609" max="15609" width="5.81640625" style="22" bestFit="1" customWidth="1"/>
    <col min="15610" max="15610" width="9.453125" style="22" customWidth="1"/>
    <col min="15611" max="15611" width="5.1796875" style="22" customWidth="1"/>
    <col min="15612" max="15612" width="9.7265625" style="22" customWidth="1"/>
    <col min="15613" max="15613" width="6.7265625" style="22" bestFit="1" customWidth="1"/>
    <col min="15614" max="15614" width="4.81640625" style="22" customWidth="1"/>
    <col min="15615" max="15615" width="5.26953125" style="22" customWidth="1"/>
    <col min="15616" max="15617" width="4.453125" style="22" bestFit="1" customWidth="1"/>
    <col min="15618" max="15618" width="13.26953125" style="22" bestFit="1" customWidth="1"/>
    <col min="15619" max="15619" width="3.1796875" style="22" customWidth="1"/>
    <col min="15620" max="15620" width="5.453125" style="22" bestFit="1" customWidth="1"/>
    <col min="15621" max="15621" width="4.453125" style="22" bestFit="1" customWidth="1"/>
    <col min="15622" max="15622" width="6.453125" style="22" customWidth="1"/>
    <col min="15623" max="15623" width="5" style="22" bestFit="1" customWidth="1"/>
    <col min="15624" max="15624" width="4.54296875" style="22" bestFit="1" customWidth="1"/>
    <col min="15625" max="15625" width="4.453125" style="22" bestFit="1" customWidth="1"/>
    <col min="15626" max="15626" width="4" style="22" customWidth="1"/>
    <col min="15627" max="15854" width="11.453125" style="22"/>
    <col min="15855" max="15855" width="14.81640625" style="22" bestFit="1" customWidth="1"/>
    <col min="15856" max="15856" width="28" style="22" bestFit="1" customWidth="1"/>
    <col min="15857" max="15857" width="4.453125" style="22" bestFit="1" customWidth="1"/>
    <col min="15858" max="15858" width="8" style="22" bestFit="1" customWidth="1"/>
    <col min="15859" max="15859" width="11.453125" style="22"/>
    <col min="15860" max="15860" width="22.81640625" style="22" bestFit="1" customWidth="1"/>
    <col min="15861" max="15861" width="7" style="22" customWidth="1"/>
    <col min="15862" max="15862" width="6.26953125" style="22" customWidth="1"/>
    <col min="15863" max="15863" width="5.7265625" style="22" customWidth="1"/>
    <col min="15864" max="15864" width="5.7265625" style="22" bestFit="1" customWidth="1"/>
    <col min="15865" max="15865" width="5.81640625" style="22" bestFit="1" customWidth="1"/>
    <col min="15866" max="15866" width="9.453125" style="22" customWidth="1"/>
    <col min="15867" max="15867" width="5.1796875" style="22" customWidth="1"/>
    <col min="15868" max="15868" width="9.7265625" style="22" customWidth="1"/>
    <col min="15869" max="15869" width="6.7265625" style="22" bestFit="1" customWidth="1"/>
    <col min="15870" max="15870" width="4.81640625" style="22" customWidth="1"/>
    <col min="15871" max="15871" width="5.26953125" style="22" customWidth="1"/>
    <col min="15872" max="15873" width="4.453125" style="22" bestFit="1" customWidth="1"/>
    <col min="15874" max="15874" width="13.26953125" style="22" bestFit="1" customWidth="1"/>
    <col min="15875" max="15875" width="3.1796875" style="22" customWidth="1"/>
    <col min="15876" max="15876" width="5.453125" style="22" bestFit="1" customWidth="1"/>
    <col min="15877" max="15877" width="4.453125" style="22" bestFit="1" customWidth="1"/>
    <col min="15878" max="15878" width="6.453125" style="22" customWidth="1"/>
    <col min="15879" max="15879" width="5" style="22" bestFit="1" customWidth="1"/>
    <col min="15880" max="15880" width="4.54296875" style="22" bestFit="1" customWidth="1"/>
    <col min="15881" max="15881" width="4.453125" style="22" bestFit="1" customWidth="1"/>
    <col min="15882" max="15882" width="4" style="22" customWidth="1"/>
    <col min="15883" max="16110" width="11.453125" style="22"/>
    <col min="16111" max="16111" width="14.81640625" style="22" bestFit="1" customWidth="1"/>
    <col min="16112" max="16112" width="28" style="22" bestFit="1" customWidth="1"/>
    <col min="16113" max="16113" width="4.453125" style="22" bestFit="1" customWidth="1"/>
    <col min="16114" max="16114" width="8" style="22" bestFit="1" customWidth="1"/>
    <col min="16115" max="16115" width="11.453125" style="22"/>
    <col min="16116" max="16116" width="22.81640625" style="22" bestFit="1" customWidth="1"/>
    <col min="16117" max="16117" width="7" style="22" customWidth="1"/>
    <col min="16118" max="16118" width="6.26953125" style="22" customWidth="1"/>
    <col min="16119" max="16119" width="5.7265625" style="22" customWidth="1"/>
    <col min="16120" max="16120" width="5.7265625" style="22" bestFit="1" customWidth="1"/>
    <col min="16121" max="16121" width="5.81640625" style="22" bestFit="1" customWidth="1"/>
    <col min="16122" max="16122" width="9.453125" style="22" customWidth="1"/>
    <col min="16123" max="16123" width="5.1796875" style="22" customWidth="1"/>
    <col min="16124" max="16124" width="9.7265625" style="22" customWidth="1"/>
    <col min="16125" max="16125" width="6.7265625" style="22" bestFit="1" customWidth="1"/>
    <col min="16126" max="16126" width="4.81640625" style="22" customWidth="1"/>
    <col min="16127" max="16127" width="5.26953125" style="22" customWidth="1"/>
    <col min="16128" max="16129" width="4.453125" style="22" bestFit="1" customWidth="1"/>
    <col min="16130" max="16130" width="13.26953125" style="22" bestFit="1" customWidth="1"/>
    <col min="16131" max="16131" width="3.1796875" style="22" customWidth="1"/>
    <col min="16132" max="16132" width="5.453125" style="22" bestFit="1" customWidth="1"/>
    <col min="16133" max="16133" width="4.453125" style="22" bestFit="1" customWidth="1"/>
    <col min="16134" max="16134" width="6.453125" style="22" customWidth="1"/>
    <col min="16135" max="16135" width="5" style="22" bestFit="1" customWidth="1"/>
    <col min="16136" max="16136" width="4.54296875" style="22" bestFit="1" customWidth="1"/>
    <col min="16137" max="16137" width="4.453125" style="22" bestFit="1" customWidth="1"/>
    <col min="16138" max="16138" width="4" style="22" customWidth="1"/>
    <col min="16139" max="16384" width="11.453125" style="22"/>
  </cols>
  <sheetData>
    <row r="1" spans="1:24">
      <c r="A1" s="1"/>
      <c r="B1" s="1"/>
      <c r="C1" s="811" t="s">
        <v>0</v>
      </c>
      <c r="D1" s="812"/>
      <c r="E1" s="812"/>
      <c r="F1" s="812"/>
      <c r="G1" s="812"/>
      <c r="H1" s="813"/>
      <c r="I1" s="294"/>
      <c r="J1" s="812" t="s">
        <v>1</v>
      </c>
      <c r="K1" s="812"/>
      <c r="L1" s="812"/>
      <c r="M1" s="812"/>
      <c r="N1" s="812"/>
      <c r="O1" s="812"/>
      <c r="P1" s="812"/>
      <c r="Q1" s="1"/>
    </row>
    <row r="2" spans="1:24" ht="15" customHeight="1">
      <c r="A2" s="1"/>
      <c r="B2" s="1"/>
      <c r="C2" s="814" t="s">
        <v>2</v>
      </c>
      <c r="D2" s="815"/>
      <c r="E2" s="784" t="s">
        <v>3</v>
      </c>
      <c r="F2" s="815"/>
      <c r="G2" s="815"/>
      <c r="H2" s="815"/>
      <c r="I2" s="3"/>
      <c r="J2" s="816" t="s">
        <v>4</v>
      </c>
      <c r="K2" s="787" t="s">
        <v>5</v>
      </c>
      <c r="L2" s="818"/>
      <c r="M2" s="818"/>
      <c r="N2" s="818"/>
      <c r="O2" s="818"/>
      <c r="P2" s="819"/>
      <c r="Q2" s="1"/>
      <c r="R2" s="108"/>
      <c r="S2" s="109"/>
      <c r="T2" s="108"/>
      <c r="U2" s="110" t="s">
        <v>90</v>
      </c>
      <c r="V2" s="109"/>
      <c r="W2" s="111"/>
    </row>
    <row r="3" spans="1:24" s="308" customFormat="1" ht="39">
      <c r="A3" s="4"/>
      <c r="B3" s="4"/>
      <c r="C3" s="5"/>
      <c r="D3" s="5"/>
      <c r="E3" s="789" t="s">
        <v>263</v>
      </c>
      <c r="F3" s="815"/>
      <c r="G3" s="789" t="s">
        <v>7</v>
      </c>
      <c r="H3" s="815"/>
      <c r="I3" s="8" t="s">
        <v>264</v>
      </c>
      <c r="J3" s="817"/>
      <c r="K3" s="820"/>
      <c r="L3" s="818"/>
      <c r="M3" s="818"/>
      <c r="N3" s="818"/>
      <c r="O3" s="818"/>
      <c r="P3" s="819"/>
      <c r="Q3" s="4"/>
      <c r="R3" s="112"/>
      <c r="S3" s="113"/>
      <c r="T3" s="113"/>
      <c r="U3" s="113"/>
      <c r="V3" s="113"/>
      <c r="W3" s="111"/>
    </row>
    <row r="4" spans="1:24" ht="14.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817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265</v>
      </c>
      <c r="Q4" s="309"/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4" ht="14.5">
      <c r="A5" s="17"/>
      <c r="B5" s="18"/>
      <c r="C5" s="19">
        <f>SUM(C7:C46)-C19-C32</f>
        <v>272.91929624030632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P7+P23+P26+P37+P40+P41+P46+P43</f>
        <v>164.52629258657473</v>
      </c>
      <c r="Q5" s="309"/>
      <c r="R5" s="117">
        <f>SUM(R13:R46)</f>
        <v>164.4842925865747</v>
      </c>
      <c r="S5" s="117">
        <f>SUM(S7:S46)</f>
        <v>2.8600000000000003</v>
      </c>
      <c r="T5" s="117">
        <f>SUM(T7:T46)</f>
        <v>48.174292586574701</v>
      </c>
      <c r="U5" s="117">
        <f>SUM(U7:U46)</f>
        <v>40.805099762525607</v>
      </c>
      <c r="V5" s="117">
        <f>SUM(V7:V46)</f>
        <v>21.754900237474391</v>
      </c>
      <c r="W5" s="117">
        <f t="shared" ref="W5" si="0">SUM(W7:W46)</f>
        <v>50.89</v>
      </c>
      <c r="X5" s="41"/>
    </row>
    <row r="6" spans="1:24">
      <c r="A6" s="1"/>
      <c r="B6" s="1"/>
      <c r="C6" s="27">
        <f>C5+8-275.27-L12</f>
        <v>0.1992962403063423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>P5-161.69+8-0.12+1.23-11.9</f>
        <v>4.6292586574729455E-2</v>
      </c>
      <c r="Q6" s="28"/>
      <c r="R6" s="118">
        <f>R5-161.69+8-0.12+1.23-11.9</f>
        <v>4.2925865746994418E-3</v>
      </c>
      <c r="S6" s="36">
        <f>S5-2.86</f>
        <v>0</v>
      </c>
      <c r="T6" s="36">
        <f>T5-31.32-6.08-11.9+1.23</f>
        <v>0.10429258657470042</v>
      </c>
      <c r="U6" s="1"/>
      <c r="V6" s="310">
        <f>U5+V5-70.56+8</f>
        <v>0</v>
      </c>
      <c r="W6" s="36">
        <f>W5-50.87</f>
        <v>2.0000000000003126E-2</v>
      </c>
    </row>
    <row r="7" spans="1:24">
      <c r="A7" s="821" t="s">
        <v>15</v>
      </c>
      <c r="B7" s="1" t="s">
        <v>17</v>
      </c>
      <c r="C7" s="17">
        <f>0.4*(1+0.22/117.36)</f>
        <v>0.40074982958418542</v>
      </c>
      <c r="D7" s="822">
        <f>SUM(C7:C20)</f>
        <v>134.57929624030641</v>
      </c>
      <c r="E7" s="30"/>
      <c r="F7" s="823">
        <f>SUM(E7:E19)</f>
        <v>86.031195097422682</v>
      </c>
      <c r="G7" s="17">
        <f>C7-E7</f>
        <v>0.40074982958418542</v>
      </c>
      <c r="H7" s="823">
        <f>SUM(G6:G19)</f>
        <v>48.548101142883738</v>
      </c>
      <c r="J7" s="822">
        <f>H7-I13</f>
        <v>44.418101142883735</v>
      </c>
      <c r="K7" s="31"/>
      <c r="L7" s="31"/>
      <c r="M7" s="31"/>
      <c r="N7" s="293"/>
      <c r="O7" s="300"/>
      <c r="P7" s="810">
        <f>J7-K12-L12-M12</f>
        <v>37</v>
      </c>
      <c r="Q7" s="311"/>
      <c r="R7" s="119"/>
      <c r="S7" s="120"/>
      <c r="T7" s="121"/>
      <c r="U7" s="122"/>
      <c r="V7" s="121"/>
      <c r="W7" s="122"/>
    </row>
    <row r="8" spans="1:24">
      <c r="A8" s="821"/>
      <c r="B8" s="1" t="s">
        <v>18</v>
      </c>
      <c r="C8" s="17">
        <f>(5.49-C7-C9)*(1+0.22/117.36)</f>
        <v>5.0084526066881994</v>
      </c>
      <c r="D8" s="822"/>
      <c r="E8" s="30">
        <f>0.1*C8</f>
        <v>0.50084526066881996</v>
      </c>
      <c r="F8" s="823"/>
      <c r="G8" s="17">
        <f>0.9*C8</f>
        <v>4.5076073460193795</v>
      </c>
      <c r="H8" s="823"/>
      <c r="J8" s="822"/>
      <c r="K8" s="31"/>
      <c r="L8" s="31"/>
      <c r="M8" s="31"/>
      <c r="N8" s="293"/>
      <c r="O8" s="300"/>
      <c r="P8" s="810"/>
      <c r="Q8" s="311"/>
      <c r="R8" s="123"/>
      <c r="S8" s="124"/>
      <c r="T8" s="125"/>
      <c r="U8" s="126"/>
      <c r="V8" s="125"/>
      <c r="W8" s="126"/>
    </row>
    <row r="9" spans="1:24">
      <c r="A9" s="821"/>
      <c r="B9" s="1" t="s">
        <v>19</v>
      </c>
      <c r="C9" s="17">
        <f>0.09*(1+0.22/117.36)</f>
        <v>9.0168711656441719E-2</v>
      </c>
      <c r="D9" s="822"/>
      <c r="E9" s="30"/>
      <c r="F9" s="823"/>
      <c r="G9" s="17">
        <f t="shared" ref="G9" si="1">C9-E9</f>
        <v>9.0168711656441719E-2</v>
      </c>
      <c r="H9" s="823"/>
      <c r="J9" s="822"/>
      <c r="K9" s="31"/>
      <c r="L9" s="31"/>
      <c r="M9" s="31"/>
      <c r="N9" s="293"/>
      <c r="O9" s="300"/>
      <c r="P9" s="810"/>
      <c r="Q9" s="311"/>
      <c r="R9" s="123"/>
      <c r="S9" s="124"/>
      <c r="T9" s="125"/>
      <c r="U9" s="126"/>
      <c r="V9" s="125"/>
      <c r="W9" s="126"/>
    </row>
    <row r="10" spans="1:24" ht="13.5" customHeight="1">
      <c r="A10" s="821"/>
      <c r="B10" s="1" t="s">
        <v>20</v>
      </c>
      <c r="C10" s="17">
        <f>117.32*(1+0.22/117.36)</f>
        <v>117.53992501704157</v>
      </c>
      <c r="D10" s="822"/>
      <c r="E10" s="30">
        <f>C10*'[3]FLUX 2010'!I10/'[3]FLUX 2010'!G10</f>
        <v>78.751749761417841</v>
      </c>
      <c r="F10" s="823"/>
      <c r="G10" s="30">
        <f>C10-E10</f>
        <v>38.788175255623727</v>
      </c>
      <c r="H10" s="823"/>
      <c r="J10" s="822"/>
      <c r="K10" s="31"/>
      <c r="L10" s="31"/>
      <c r="M10" s="31"/>
      <c r="N10" s="293"/>
      <c r="O10" s="300"/>
      <c r="P10" s="810"/>
      <c r="Q10" s="311"/>
      <c r="R10" s="123"/>
      <c r="S10" s="124"/>
      <c r="T10" s="125"/>
      <c r="U10" s="126"/>
      <c r="V10" s="125"/>
      <c r="W10" s="126"/>
    </row>
    <row r="11" spans="1:24">
      <c r="A11" s="821"/>
      <c r="B11" s="1" t="s">
        <v>21</v>
      </c>
      <c r="C11" s="17"/>
      <c r="D11" s="822"/>
      <c r="E11" s="30"/>
      <c r="F11" s="823"/>
      <c r="G11" s="17">
        <f>C11-E11</f>
        <v>0</v>
      </c>
      <c r="H11" s="823"/>
      <c r="J11" s="822"/>
      <c r="K11" s="31"/>
      <c r="L11" s="31"/>
      <c r="M11" s="31"/>
      <c r="N11" s="293"/>
      <c r="O11" s="300"/>
      <c r="P11" s="810"/>
      <c r="Q11" s="311"/>
      <c r="R11" s="123"/>
      <c r="S11" s="124"/>
      <c r="T11" s="125"/>
      <c r="U11" s="126"/>
      <c r="V11" s="125"/>
      <c r="W11" s="126"/>
    </row>
    <row r="12" spans="1:24">
      <c r="A12" s="821"/>
      <c r="B12" s="1" t="s">
        <v>22</v>
      </c>
      <c r="C12" s="17">
        <f>1.46</f>
        <v>1.46</v>
      </c>
      <c r="D12" s="822"/>
      <c r="E12" s="30">
        <f t="shared" ref="E12:E18" si="2">C12-G12</f>
        <v>1.1679999999999999</v>
      </c>
      <c r="F12" s="823"/>
      <c r="G12" s="17">
        <f>0.2*C12</f>
        <v>0.29199999999999998</v>
      </c>
      <c r="H12" s="823"/>
      <c r="J12" s="822"/>
      <c r="K12" s="31">
        <f>(J7-L12)-R13</f>
        <v>1.9681011428837394</v>
      </c>
      <c r="L12" s="31">
        <f>6.18-0.73</f>
        <v>5.4499999999999993</v>
      </c>
      <c r="M12" s="31"/>
      <c r="N12" s="293"/>
      <c r="O12" s="300"/>
      <c r="P12" s="810"/>
      <c r="Q12" s="312"/>
      <c r="R12" s="123"/>
      <c r="S12" s="124"/>
      <c r="T12" s="125"/>
      <c r="U12" s="126"/>
      <c r="V12" s="125"/>
      <c r="W12" s="126"/>
    </row>
    <row r="13" spans="1:24">
      <c r="A13" s="821"/>
      <c r="B13" s="1" t="s">
        <v>23</v>
      </c>
      <c r="C13" s="17"/>
      <c r="D13" s="822"/>
      <c r="E13" s="30">
        <f t="shared" si="2"/>
        <v>0</v>
      </c>
      <c r="F13" s="823"/>
      <c r="G13" s="17"/>
      <c r="H13" s="823"/>
      <c r="I13" s="34">
        <f>2.85+1.28</f>
        <v>4.13</v>
      </c>
      <c r="J13" s="822"/>
      <c r="K13" s="31"/>
      <c r="L13" s="31"/>
      <c r="M13" s="31"/>
      <c r="N13" s="293"/>
      <c r="O13" s="300"/>
      <c r="P13" s="810"/>
      <c r="Q13" s="1"/>
      <c r="R13" s="123">
        <f>SUM(S7:W19)</f>
        <v>37</v>
      </c>
      <c r="S13" s="127">
        <v>0.28999999999999998</v>
      </c>
      <c r="T13" s="125">
        <f>10.73+0.96</f>
        <v>11.690000000000001</v>
      </c>
      <c r="U13" s="125">
        <f>23.98*12.6/(12.6+11)</f>
        <v>12.802881355932204</v>
      </c>
      <c r="V13" s="125">
        <f>23.98*11/(12.6+11)</f>
        <v>11.177118644067797</v>
      </c>
      <c r="W13" s="125">
        <f>1.04</f>
        <v>1.04</v>
      </c>
      <c r="X13" s="34"/>
    </row>
    <row r="14" spans="1:24">
      <c r="A14" s="821"/>
      <c r="B14" s="1" t="s">
        <v>24</v>
      </c>
      <c r="C14" s="17"/>
      <c r="D14" s="822"/>
      <c r="E14" s="30">
        <f t="shared" si="2"/>
        <v>0</v>
      </c>
      <c r="F14" s="823"/>
      <c r="G14" s="17"/>
      <c r="H14" s="823"/>
      <c r="J14" s="822"/>
      <c r="K14" s="31"/>
      <c r="L14" s="31"/>
      <c r="M14" s="31"/>
      <c r="N14" s="293"/>
      <c r="O14" s="300"/>
      <c r="P14" s="810"/>
      <c r="Q14" s="1"/>
      <c r="R14" s="123"/>
      <c r="S14" s="124"/>
      <c r="T14" s="125"/>
      <c r="U14" s="126"/>
      <c r="V14" s="125"/>
      <c r="W14" s="126"/>
    </row>
    <row r="15" spans="1:24">
      <c r="A15" s="821"/>
      <c r="B15" s="1" t="s">
        <v>25</v>
      </c>
      <c r="C15" s="17">
        <f>[3]électricité!D30*0.086</f>
        <v>7.5335997971706095E-8</v>
      </c>
      <c r="D15" s="822"/>
      <c r="E15" s="30">
        <f t="shared" si="2"/>
        <v>7.5335997971706095E-8</v>
      </c>
      <c r="F15" s="823"/>
      <c r="G15" s="17"/>
      <c r="H15" s="823"/>
      <c r="J15" s="822"/>
      <c r="K15" s="31"/>
      <c r="L15" s="31"/>
      <c r="M15" s="31"/>
      <c r="N15" s="293"/>
      <c r="O15" s="300"/>
      <c r="P15" s="810"/>
      <c r="Q15" s="1"/>
      <c r="R15" s="123"/>
      <c r="S15" s="124"/>
      <c r="T15" s="125"/>
      <c r="U15" s="126"/>
      <c r="V15" s="125"/>
      <c r="W15" s="126"/>
    </row>
    <row r="16" spans="1:24">
      <c r="A16" s="821"/>
      <c r="B16" s="1" t="s">
        <v>26</v>
      </c>
      <c r="C16" s="17">
        <v>0</v>
      </c>
      <c r="D16" s="822"/>
      <c r="E16" s="30">
        <f t="shared" si="2"/>
        <v>0</v>
      </c>
      <c r="F16" s="823"/>
      <c r="G16" s="17"/>
      <c r="H16" s="823"/>
      <c r="J16" s="822"/>
      <c r="K16" s="31"/>
      <c r="L16" s="31"/>
      <c r="M16" s="31"/>
      <c r="N16" s="293"/>
      <c r="O16" s="300"/>
      <c r="P16" s="810"/>
      <c r="Q16" s="1"/>
      <c r="R16" s="123"/>
      <c r="S16" s="124"/>
      <c r="T16" s="125"/>
      <c r="U16" s="126"/>
      <c r="V16" s="125"/>
      <c r="W16" s="126"/>
    </row>
    <row r="17" spans="1:23">
      <c r="A17" s="821"/>
      <c r="B17" s="1" t="s">
        <v>27</v>
      </c>
      <c r="C17" s="17">
        <f>1.36+0.14-0.19</f>
        <v>1.31</v>
      </c>
      <c r="D17" s="822"/>
      <c r="E17" s="30">
        <f t="shared" si="2"/>
        <v>0.81220000000000003</v>
      </c>
      <c r="F17" s="823"/>
      <c r="G17" s="17">
        <f>0.38*C17</f>
        <v>0.49780000000000002</v>
      </c>
      <c r="H17" s="823"/>
      <c r="J17" s="822"/>
      <c r="K17" s="31"/>
      <c r="L17" s="31"/>
      <c r="M17" s="31"/>
      <c r="N17" s="293"/>
      <c r="O17" s="300"/>
      <c r="P17" s="810"/>
      <c r="Q17" s="1"/>
      <c r="R17" s="123"/>
      <c r="S17" s="124"/>
      <c r="T17" s="125"/>
      <c r="U17" s="126"/>
      <c r="V17" s="125"/>
      <c r="W17" s="126"/>
    </row>
    <row r="18" spans="1:23">
      <c r="A18" s="821"/>
      <c r="B18" s="1" t="s">
        <v>28</v>
      </c>
      <c r="C18" s="17">
        <v>5.22</v>
      </c>
      <c r="D18" s="822"/>
      <c r="E18" s="30">
        <f t="shared" si="2"/>
        <v>3.2363999999999997</v>
      </c>
      <c r="F18" s="823"/>
      <c r="G18" s="17">
        <f>0.38*C18</f>
        <v>1.9836</v>
      </c>
      <c r="H18" s="823"/>
      <c r="J18" s="822"/>
      <c r="K18" s="31"/>
      <c r="L18" s="31"/>
      <c r="M18" s="31"/>
      <c r="N18" s="293"/>
      <c r="O18" s="300"/>
      <c r="P18" s="810"/>
      <c r="Q18" s="1"/>
      <c r="R18" s="123"/>
      <c r="S18" s="124"/>
      <c r="T18" s="125"/>
      <c r="U18" s="126"/>
      <c r="V18" s="125"/>
      <c r="W18" s="126"/>
    </row>
    <row r="19" spans="1:23">
      <c r="A19" s="821"/>
      <c r="B19" s="1" t="s">
        <v>29</v>
      </c>
      <c r="C19" s="17">
        <f>2.74+0.81</f>
        <v>3.5500000000000003</v>
      </c>
      <c r="D19" s="822"/>
      <c r="E19" s="30">
        <f>C19-G19</f>
        <v>1.5619999999999998</v>
      </c>
      <c r="F19" s="823"/>
      <c r="G19" s="17">
        <f>0.56*C19</f>
        <v>1.9880000000000004</v>
      </c>
      <c r="H19" s="823"/>
      <c r="J19" s="822"/>
      <c r="K19" s="31"/>
      <c r="L19" s="31"/>
      <c r="M19" s="31"/>
      <c r="N19" s="293"/>
      <c r="O19" s="300"/>
      <c r="P19" s="810"/>
      <c r="Q19" s="1"/>
      <c r="R19" s="128"/>
      <c r="S19" s="129"/>
      <c r="T19" s="130"/>
      <c r="U19" s="131"/>
      <c r="V19" s="130"/>
      <c r="W19" s="131"/>
    </row>
    <row r="20" spans="1:23" ht="13.5" thickBot="1">
      <c r="A20" s="1"/>
      <c r="B20" s="1"/>
      <c r="C20" s="1"/>
      <c r="D20" s="36">
        <f>SUM(C7:C19)-(117.36+6.18-0.73+5.22+1.36+2.74+0.81+1.46+0.22)</f>
        <v>-4.0703759693627717E-2</v>
      </c>
      <c r="E20" s="17"/>
      <c r="F20" s="36">
        <f>SUM(C12:C19)-SUM(G12:G19)-6.52-0.32</f>
        <v>-6.1399924664001737E-2</v>
      </c>
      <c r="G20" s="17"/>
      <c r="H20" s="36">
        <f>SUM(G12:G19)-5.07+0.32</f>
        <v>1.1399999999999799E-2</v>
      </c>
      <c r="I20" s="1"/>
      <c r="J20" s="1"/>
      <c r="K20" s="62">
        <f>81.34-E10-K12</f>
        <v>0.62014909569842303</v>
      </c>
      <c r="L20" s="1"/>
      <c r="M20" s="1"/>
      <c r="N20" s="1"/>
      <c r="O20" s="1"/>
      <c r="P20" s="37">
        <f>P7-37</f>
        <v>0</v>
      </c>
      <c r="Q20" s="313"/>
      <c r="R20" s="17"/>
      <c r="S20" s="1"/>
      <c r="T20" s="17"/>
      <c r="U20" s="1"/>
      <c r="V20" s="17"/>
      <c r="W20" s="1"/>
    </row>
    <row r="21" spans="1:23">
      <c r="A21" s="829" t="s">
        <v>13</v>
      </c>
      <c r="B21" s="1" t="s">
        <v>21</v>
      </c>
      <c r="C21" s="17"/>
      <c r="D21" s="805">
        <f>SUM(C21:C24)</f>
        <v>38.920000000000009</v>
      </c>
      <c r="F21" s="805"/>
      <c r="G21" s="17">
        <f t="shared" ref="G21:G45" si="3">C21-E21</f>
        <v>0</v>
      </c>
      <c r="H21" s="832">
        <f>SUM(G21:G24)</f>
        <v>38.330000000000013</v>
      </c>
      <c r="I21" s="17"/>
      <c r="J21" s="832">
        <f>H21</f>
        <v>38.330000000000013</v>
      </c>
      <c r="K21" s="824"/>
      <c r="L21" s="824"/>
      <c r="M21" s="824"/>
      <c r="N21" s="38"/>
      <c r="O21" s="38"/>
      <c r="P21" s="38"/>
      <c r="Q21" s="1"/>
      <c r="R21" s="314"/>
      <c r="S21" s="315"/>
      <c r="T21" s="316"/>
      <c r="U21" s="316"/>
      <c r="V21" s="316"/>
      <c r="W21" s="317"/>
    </row>
    <row r="22" spans="1:23">
      <c r="A22" s="829"/>
      <c r="B22" s="1" t="s">
        <v>30</v>
      </c>
      <c r="C22" s="17">
        <v>0.2</v>
      </c>
      <c r="D22" s="819"/>
      <c r="F22" s="819"/>
      <c r="G22" s="17">
        <f t="shared" si="3"/>
        <v>0.2</v>
      </c>
      <c r="H22" s="833"/>
      <c r="I22" s="17"/>
      <c r="J22" s="832"/>
      <c r="K22" s="824"/>
      <c r="L22" s="824"/>
      <c r="M22" s="824"/>
      <c r="N22" s="295"/>
      <c r="O22" s="40"/>
      <c r="P22" s="40"/>
      <c r="Q22" s="1"/>
      <c r="R22" s="318"/>
      <c r="S22" s="319"/>
      <c r="T22" s="320"/>
      <c r="U22" s="320"/>
      <c r="V22" s="320"/>
      <c r="W22" s="321"/>
    </row>
    <row r="23" spans="1:23">
      <c r="A23" s="829"/>
      <c r="B23" s="1" t="s">
        <v>31</v>
      </c>
      <c r="C23" s="17"/>
      <c r="D23" s="819"/>
      <c r="E23" s="41"/>
      <c r="F23" s="819"/>
      <c r="G23" s="17">
        <f t="shared" si="3"/>
        <v>0</v>
      </c>
      <c r="H23" s="833"/>
      <c r="I23" s="17"/>
      <c r="J23" s="832"/>
      <c r="K23" s="824"/>
      <c r="L23" s="824"/>
      <c r="M23" s="824"/>
      <c r="N23" s="295">
        <f>C32</f>
        <v>2</v>
      </c>
      <c r="O23" s="40">
        <f>C19</f>
        <v>3.5500000000000003</v>
      </c>
      <c r="P23" s="40">
        <f>J21-N23-O23</f>
        <v>32.780000000000015</v>
      </c>
      <c r="Q23" s="1"/>
      <c r="R23" s="318">
        <f>SUM(S23:W23)</f>
        <v>33.32115764979639</v>
      </c>
      <c r="S23" s="322">
        <v>0.3</v>
      </c>
      <c r="T23" s="322">
        <f>(11.86+0.62-0.47)*P23/(P23+G32)</f>
        <v>11.451070389761487</v>
      </c>
      <c r="U23" s="322">
        <f>(22.56*16.7/(16.7+5.7))*P23/(P23+G32)</f>
        <v>16.036538269758161</v>
      </c>
      <c r="V23" s="322">
        <f>(22.56*5.7/(16.7+5.7))*P23/(P23+G32)</f>
        <v>5.4735489902767389</v>
      </c>
      <c r="W23" s="323">
        <v>0.06</v>
      </c>
    </row>
    <row r="24" spans="1:23">
      <c r="A24" s="829"/>
      <c r="B24" s="1" t="s">
        <v>32</v>
      </c>
      <c r="C24" s="17">
        <f>40.34-C45</f>
        <v>38.720000000000006</v>
      </c>
      <c r="D24" s="819"/>
      <c r="E24" s="22">
        <f>1.4-0.81</f>
        <v>0.58999999999999986</v>
      </c>
      <c r="F24" s="819"/>
      <c r="G24" s="17">
        <f t="shared" si="3"/>
        <v>38.13000000000001</v>
      </c>
      <c r="H24" s="833"/>
      <c r="I24" s="42"/>
      <c r="J24" s="832"/>
      <c r="K24" s="824"/>
      <c r="L24" s="824"/>
      <c r="M24" s="824"/>
      <c r="N24" s="295"/>
      <c r="O24" s="40"/>
      <c r="P24" s="40"/>
      <c r="Q24" s="1"/>
      <c r="R24" s="324"/>
      <c r="S24" s="325"/>
      <c r="T24" s="326"/>
      <c r="U24" s="326"/>
      <c r="V24" s="326"/>
      <c r="W24" s="327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P23+G32-35.4+0.47</f>
        <v>-0.54999999999998184</v>
      </c>
      <c r="Q25" s="1"/>
      <c r="R25" s="328"/>
      <c r="S25" s="329"/>
      <c r="T25" s="280"/>
      <c r="U25" s="280"/>
      <c r="V25" s="280"/>
      <c r="W25" s="330"/>
    </row>
    <row r="26" spans="1:23">
      <c r="A26" s="825" t="s">
        <v>14</v>
      </c>
      <c r="B26" s="1" t="s">
        <v>21</v>
      </c>
      <c r="C26" s="43"/>
      <c r="D26" s="838">
        <f>SUM(C26:C32)</f>
        <v>2.74</v>
      </c>
      <c r="E26" s="43"/>
      <c r="F26" s="826"/>
      <c r="G26" s="41">
        <f>C26-E26</f>
        <v>0</v>
      </c>
      <c r="H26" s="826">
        <f>SUM(G26:G32)</f>
        <v>2.1920000000000002</v>
      </c>
      <c r="I26" s="1"/>
      <c r="J26" s="838">
        <f>H26</f>
        <v>2.1920000000000002</v>
      </c>
      <c r="K26" s="828"/>
      <c r="L26" s="828"/>
      <c r="M26" s="828"/>
      <c r="N26" s="801"/>
      <c r="O26" s="836"/>
      <c r="P26" s="836">
        <f>J26-K26-M26</f>
        <v>2.1920000000000002</v>
      </c>
      <c r="Q26" s="1"/>
      <c r="R26" s="331"/>
      <c r="S26" s="332"/>
      <c r="T26" s="332"/>
      <c r="U26" s="332"/>
      <c r="V26" s="333"/>
      <c r="W26" s="334"/>
    </row>
    <row r="27" spans="1:23">
      <c r="A27" s="825"/>
      <c r="B27" s="1" t="s">
        <v>22</v>
      </c>
      <c r="C27" s="43">
        <f>0.2+0.54</f>
        <v>0.74</v>
      </c>
      <c r="D27" s="838"/>
      <c r="E27" s="43">
        <f>C27*0.2</f>
        <v>0.14799999999999999</v>
      </c>
      <c r="F27" s="826"/>
      <c r="G27" s="41">
        <f t="shared" ref="G27:G32" si="4">C27-E27</f>
        <v>0.59199999999999997</v>
      </c>
      <c r="H27" s="826"/>
      <c r="I27" s="1"/>
      <c r="J27" s="838"/>
      <c r="K27" s="828"/>
      <c r="L27" s="828"/>
      <c r="M27" s="828"/>
      <c r="N27" s="801"/>
      <c r="O27" s="836"/>
      <c r="P27" s="836"/>
      <c r="Q27" s="1"/>
      <c r="R27" s="318"/>
      <c r="S27" s="320"/>
      <c r="T27" s="320"/>
      <c r="U27" s="320"/>
      <c r="V27" s="319"/>
      <c r="W27" s="335"/>
    </row>
    <row r="28" spans="1:23">
      <c r="A28" s="825"/>
      <c r="B28" s="1" t="s">
        <v>26</v>
      </c>
      <c r="C28" s="43"/>
      <c r="D28" s="838"/>
      <c r="E28" s="43"/>
      <c r="F28" s="826"/>
      <c r="G28" s="41">
        <f t="shared" si="4"/>
        <v>0</v>
      </c>
      <c r="H28" s="826"/>
      <c r="I28" s="1"/>
      <c r="J28" s="838"/>
      <c r="K28" s="828"/>
      <c r="L28" s="828" t="e">
        <v>#REF!</v>
      </c>
      <c r="M28" s="828"/>
      <c r="N28" s="801" t="e">
        <v>#REF!</v>
      </c>
      <c r="O28" s="836" t="e">
        <v>#REF!</v>
      </c>
      <c r="P28" s="836"/>
      <c r="Q28" s="1"/>
      <c r="R28" s="318"/>
      <c r="S28" s="320"/>
      <c r="T28" s="320"/>
      <c r="U28" s="320"/>
      <c r="V28" s="319"/>
      <c r="W28" s="335"/>
    </row>
    <row r="29" spans="1:23">
      <c r="A29" s="825"/>
      <c r="B29" s="1" t="s">
        <v>23</v>
      </c>
      <c r="C29" s="336">
        <v>0</v>
      </c>
      <c r="D29" s="838"/>
      <c r="E29" s="43">
        <f t="shared" ref="E29:E31" si="5">C29*0.2</f>
        <v>0</v>
      </c>
      <c r="F29" s="826"/>
      <c r="G29" s="41">
        <f>C29-E29</f>
        <v>0</v>
      </c>
      <c r="H29" s="826"/>
      <c r="I29" s="1"/>
      <c r="J29" s="838"/>
      <c r="K29" s="828"/>
      <c r="L29" s="828" t="e">
        <v>#REF!</v>
      </c>
      <c r="M29" s="828"/>
      <c r="N29" s="801" t="e">
        <v>#REF!</v>
      </c>
      <c r="O29" s="836" t="e">
        <v>#REF!</v>
      </c>
      <c r="P29" s="836"/>
      <c r="Q29" s="1"/>
      <c r="R29" s="337">
        <f>SUM(S29:W29)</f>
        <v>3.4388423502036063</v>
      </c>
      <c r="S29" s="338">
        <f>0.05</f>
        <v>0.05</v>
      </c>
      <c r="T29" s="338">
        <f>(11.86+0.62-0.47)*G32/(P23+G32)+1.25</f>
        <v>1.8089296102385104</v>
      </c>
      <c r="U29" s="338">
        <f>(22.56*16.7/(16.7+5.7))*G32/(P23+G32)+0.93*7.3/(7.3+0.7)-U38</f>
        <v>1.2313724445275489</v>
      </c>
      <c r="V29" s="338">
        <f>(22.56*5.7/(16.7+5.7))*G32/(P23+G32)+0.93*0.7/(7.3+0.7)</f>
        <v>0.34854029543754661</v>
      </c>
      <c r="W29" s="339">
        <v>0</v>
      </c>
    </row>
    <row r="30" spans="1:23">
      <c r="A30" s="825"/>
      <c r="B30" s="1" t="s">
        <v>24</v>
      </c>
      <c r="C30" s="43"/>
      <c r="D30" s="838"/>
      <c r="E30" s="43">
        <f t="shared" si="5"/>
        <v>0</v>
      </c>
      <c r="F30" s="826"/>
      <c r="G30" s="41">
        <f t="shared" si="4"/>
        <v>0</v>
      </c>
      <c r="H30" s="826"/>
      <c r="I30" s="1"/>
      <c r="J30" s="838"/>
      <c r="K30" s="828"/>
      <c r="L30" s="828"/>
      <c r="M30" s="828"/>
      <c r="N30" s="801"/>
      <c r="O30" s="836"/>
      <c r="P30" s="836"/>
      <c r="Q30" s="1"/>
      <c r="R30" s="318"/>
      <c r="S30" s="320"/>
      <c r="T30" s="320"/>
      <c r="U30" s="320"/>
      <c r="V30" s="319"/>
      <c r="W30" s="335"/>
    </row>
    <row r="31" spans="1:23">
      <c r="A31" s="825"/>
      <c r="B31" s="1" t="s">
        <v>33</v>
      </c>
      <c r="C31" s="43"/>
      <c r="D31" s="838"/>
      <c r="E31" s="43">
        <f t="shared" si="5"/>
        <v>0</v>
      </c>
      <c r="F31" s="826"/>
      <c r="G31" s="41">
        <f t="shared" si="4"/>
        <v>0</v>
      </c>
      <c r="H31" s="826"/>
      <c r="I31" s="1"/>
      <c r="J31" s="838"/>
      <c r="K31" s="828"/>
      <c r="L31" s="828"/>
      <c r="M31" s="828"/>
      <c r="N31" s="801"/>
      <c r="O31" s="836"/>
      <c r="P31" s="836"/>
      <c r="Q31" s="1"/>
      <c r="R31" s="318"/>
      <c r="S31" s="320"/>
      <c r="T31" s="320"/>
      <c r="U31" s="320"/>
      <c r="V31" s="319"/>
      <c r="W31" s="335"/>
    </row>
    <row r="32" spans="1:23">
      <c r="A32" s="825"/>
      <c r="B32" s="1" t="s">
        <v>29</v>
      </c>
      <c r="C32" s="43">
        <v>2</v>
      </c>
      <c r="D32" s="838"/>
      <c r="E32" s="43">
        <f>C32*0.2</f>
        <v>0.4</v>
      </c>
      <c r="F32" s="826"/>
      <c r="G32" s="41">
        <f t="shared" si="4"/>
        <v>1.6</v>
      </c>
      <c r="H32" s="826"/>
      <c r="I32" s="1"/>
      <c r="J32" s="838"/>
      <c r="K32" s="828"/>
      <c r="L32" s="828"/>
      <c r="M32" s="828"/>
      <c r="N32" s="801"/>
      <c r="O32" s="836"/>
      <c r="P32" s="836"/>
      <c r="Q32" s="1"/>
      <c r="R32" s="324"/>
      <c r="S32" s="326"/>
      <c r="T32" s="326"/>
      <c r="U32" s="326"/>
      <c r="V32" s="325"/>
      <c r="W32" s="340"/>
    </row>
    <row r="33" spans="1:24">
      <c r="A33" s="296"/>
      <c r="B33" s="1"/>
      <c r="C33" s="34"/>
      <c r="D33" s="307"/>
      <c r="E33" s="34"/>
      <c r="F33" s="297"/>
      <c r="G33" s="41"/>
      <c r="H33" s="297"/>
      <c r="I33" s="1"/>
      <c r="J33" s="307"/>
      <c r="K33" s="297"/>
      <c r="L33" s="297"/>
      <c r="M33" s="297"/>
      <c r="N33" s="297"/>
      <c r="O33" s="297"/>
      <c r="P33" s="297"/>
      <c r="Q33" s="1"/>
      <c r="R33" s="341"/>
      <c r="S33" s="342"/>
      <c r="T33" s="342"/>
      <c r="U33" s="342"/>
      <c r="V33" s="342"/>
      <c r="W33" s="321"/>
    </row>
    <row r="34" spans="1:24">
      <c r="A34" s="296"/>
      <c r="B34" s="1"/>
      <c r="C34" s="34"/>
      <c r="D34" s="307"/>
      <c r="E34" s="34"/>
      <c r="F34" s="297"/>
      <c r="G34" s="41"/>
      <c r="H34" s="297"/>
      <c r="I34" s="1"/>
      <c r="J34" s="307"/>
      <c r="K34" s="297"/>
      <c r="L34" s="297"/>
      <c r="M34" s="297"/>
      <c r="N34" s="297"/>
      <c r="O34" s="297"/>
      <c r="P34" s="297"/>
      <c r="Q34" s="1"/>
      <c r="R34" s="341"/>
      <c r="S34" s="342"/>
      <c r="T34" s="342"/>
      <c r="U34" s="342"/>
      <c r="V34" s="342"/>
      <c r="W34" s="321"/>
    </row>
    <row r="35" spans="1:24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343">
        <f>SUM(G36:G41,G26:G31,G21:G23)-10.91+8</f>
        <v>0.78200000000000003</v>
      </c>
      <c r="Q35" s="1"/>
      <c r="R35" s="328"/>
      <c r="S35" s="329"/>
      <c r="T35" s="280"/>
      <c r="U35" s="280"/>
      <c r="V35" s="280"/>
      <c r="W35" s="330"/>
      <c r="X35" s="344">
        <f>SUM(U23:V38)-22.56-0.93</f>
        <v>-3.8857805861880479E-15</v>
      </c>
    </row>
    <row r="36" spans="1:24">
      <c r="A36" s="834" t="s">
        <v>34</v>
      </c>
      <c r="B36" s="1" t="s">
        <v>21</v>
      </c>
      <c r="D36" s="834">
        <f>SUM(C36:C46)</f>
        <v>102.23</v>
      </c>
      <c r="E36" s="302"/>
      <c r="F36" s="839"/>
      <c r="G36" s="17">
        <f t="shared" si="3"/>
        <v>0</v>
      </c>
      <c r="H36" s="834">
        <f>SUM(G36:G46)</f>
        <v>97.17</v>
      </c>
      <c r="I36" s="301"/>
      <c r="J36" s="301"/>
      <c r="K36" s="301"/>
      <c r="L36" s="301"/>
      <c r="M36" s="301"/>
      <c r="N36" s="301"/>
      <c r="O36" s="301"/>
      <c r="P36" s="49"/>
      <c r="R36" s="345"/>
      <c r="S36" s="332"/>
      <c r="T36" s="346"/>
      <c r="U36" s="332"/>
      <c r="V36" s="347"/>
      <c r="W36" s="348"/>
    </row>
    <row r="37" spans="1:24">
      <c r="A37" s="834"/>
      <c r="B37" s="1" t="s">
        <v>23</v>
      </c>
      <c r="C37" s="41">
        <f>9.8-8-C22</f>
        <v>1.6000000000000008</v>
      </c>
      <c r="D37" s="834"/>
      <c r="E37" s="302">
        <v>0</v>
      </c>
      <c r="F37" s="839"/>
      <c r="G37" s="17">
        <f>C37-E37</f>
        <v>1.6000000000000008</v>
      </c>
      <c r="H37" s="834"/>
      <c r="I37" s="301"/>
      <c r="J37" s="301"/>
      <c r="K37" s="301"/>
      <c r="L37" s="301"/>
      <c r="M37" s="301"/>
      <c r="N37" s="301"/>
      <c r="O37" s="301"/>
      <c r="P37" s="51">
        <f>SUM(G36:G40)</f>
        <v>2.2000000000000006</v>
      </c>
      <c r="R37" s="341">
        <f>SUM(S37:W39)</f>
        <v>0.4</v>
      </c>
      <c r="S37" s="251"/>
      <c r="T37" s="251"/>
      <c r="U37" s="251"/>
      <c r="V37" s="251">
        <v>0</v>
      </c>
      <c r="W37" s="349"/>
    </row>
    <row r="38" spans="1:24">
      <c r="A38" s="834"/>
      <c r="B38" s="1" t="s">
        <v>33</v>
      </c>
      <c r="C38" s="41"/>
      <c r="D38" s="834"/>
      <c r="E38" s="302"/>
      <c r="F38" s="839"/>
      <c r="G38" s="17">
        <f t="shared" si="3"/>
        <v>0</v>
      </c>
      <c r="H38" s="834"/>
      <c r="I38" s="301"/>
      <c r="J38" s="301"/>
      <c r="K38" s="301"/>
      <c r="L38" s="301"/>
      <c r="M38" s="301"/>
      <c r="N38" s="50">
        <f>SUM(P23,P26,P37)-R23-R29-R37</f>
        <v>1.200000000002166E-2</v>
      </c>
      <c r="O38" s="301"/>
      <c r="P38" s="53"/>
      <c r="R38" s="341"/>
      <c r="S38" s="350"/>
      <c r="T38" s="250">
        <v>0</v>
      </c>
      <c r="U38" s="251">
        <f>G40</f>
        <v>0.4</v>
      </c>
      <c r="V38" s="322">
        <v>0</v>
      </c>
      <c r="W38" s="330"/>
    </row>
    <row r="39" spans="1:24" ht="13.5" thickBot="1">
      <c r="A39" s="834"/>
      <c r="B39" s="1" t="s">
        <v>35</v>
      </c>
      <c r="C39" s="41">
        <v>0.2</v>
      </c>
      <c r="D39" s="834"/>
      <c r="E39" s="302"/>
      <c r="F39" s="839"/>
      <c r="G39" s="17">
        <f t="shared" si="3"/>
        <v>0.2</v>
      </c>
      <c r="H39" s="834"/>
      <c r="I39" s="301"/>
      <c r="J39" s="301"/>
      <c r="K39" s="301"/>
      <c r="L39" s="301"/>
      <c r="M39" s="301"/>
      <c r="N39" s="301"/>
      <c r="O39" s="301"/>
      <c r="P39" s="53"/>
      <c r="R39" s="341"/>
      <c r="S39" s="351"/>
      <c r="T39" s="352"/>
      <c r="U39" s="352"/>
      <c r="V39" s="353"/>
      <c r="W39" s="354"/>
    </row>
    <row r="40" spans="1:24">
      <c r="A40" s="834"/>
      <c r="B40" s="1" t="s">
        <v>36</v>
      </c>
      <c r="C40" s="41">
        <v>0.4</v>
      </c>
      <c r="D40" s="834"/>
      <c r="E40" s="302"/>
      <c r="F40" s="839"/>
      <c r="G40" s="17">
        <f t="shared" si="3"/>
        <v>0.4</v>
      </c>
      <c r="H40" s="834"/>
      <c r="I40" s="301"/>
      <c r="J40" s="301"/>
      <c r="K40" s="301"/>
      <c r="L40" s="301"/>
      <c r="M40" s="301"/>
      <c r="N40" s="301"/>
      <c r="O40" s="301"/>
      <c r="P40" s="51">
        <f>G41</f>
        <v>0.7</v>
      </c>
      <c r="R40" s="355">
        <f>W40</f>
        <v>0.7</v>
      </c>
      <c r="S40" s="133"/>
      <c r="T40" s="134"/>
      <c r="U40" s="133"/>
      <c r="V40" s="134"/>
      <c r="W40" s="134">
        <f>G41</f>
        <v>0.7</v>
      </c>
    </row>
    <row r="41" spans="1:24">
      <c r="A41" s="834"/>
      <c r="B41" s="1" t="s">
        <v>37</v>
      </c>
      <c r="C41" s="41">
        <v>0.7</v>
      </c>
      <c r="D41" s="834"/>
      <c r="E41" s="54"/>
      <c r="F41" s="839"/>
      <c r="G41" s="17">
        <f t="shared" si="3"/>
        <v>0.7</v>
      </c>
      <c r="H41" s="834"/>
      <c r="I41" s="301"/>
      <c r="J41" s="301"/>
      <c r="K41" s="301"/>
      <c r="L41" s="301"/>
      <c r="M41" s="301"/>
      <c r="N41" s="301"/>
      <c r="O41" s="301"/>
      <c r="P41" s="51">
        <f>G42</f>
        <v>71.989999999999995</v>
      </c>
      <c r="R41" s="356">
        <f>SUM(S41:W41)</f>
        <v>71.960000000000008</v>
      </c>
      <c r="S41" s="134">
        <v>2.2200000000000002</v>
      </c>
      <c r="T41" s="134">
        <v>5.93</v>
      </c>
      <c r="U41" s="134">
        <f>14.72*8.8/(8.8+4.2)</f>
        <v>9.9643076923076954</v>
      </c>
      <c r="V41" s="134">
        <f>14.72*4.2/(8.8+4.2)</f>
        <v>4.7556923076923079</v>
      </c>
      <c r="W41" s="135">
        <f>49.09</f>
        <v>49.09</v>
      </c>
    </row>
    <row r="42" spans="1:24">
      <c r="A42" s="834"/>
      <c r="B42" s="1" t="s">
        <v>38</v>
      </c>
      <c r="C42" s="41">
        <f>91.82-C43-C17</f>
        <v>76.829999999999984</v>
      </c>
      <c r="D42" s="834"/>
      <c r="E42" s="54">
        <f>C42-G42</f>
        <v>4.8399999999999892</v>
      </c>
      <c r="F42" s="839"/>
      <c r="G42" s="17">
        <f>71.99</f>
        <v>71.989999999999995</v>
      </c>
      <c r="H42" s="834"/>
      <c r="I42" s="301"/>
      <c r="J42" s="301"/>
      <c r="K42" s="301"/>
      <c r="L42" s="301"/>
      <c r="M42" s="301"/>
      <c r="N42" s="301"/>
      <c r="O42" s="301"/>
      <c r="P42" s="53"/>
      <c r="R42" s="356"/>
      <c r="S42" s="133"/>
      <c r="T42" s="133"/>
      <c r="U42" s="133"/>
      <c r="V42" s="133"/>
      <c r="W42" s="133"/>
    </row>
    <row r="43" spans="1:24">
      <c r="A43" s="834"/>
      <c r="B43" s="1" t="s">
        <v>39</v>
      </c>
      <c r="C43" s="41">
        <v>13.68</v>
      </c>
      <c r="D43" s="834"/>
      <c r="E43" s="54"/>
      <c r="F43" s="839"/>
      <c r="G43" s="17">
        <f>13.68</f>
        <v>13.68</v>
      </c>
      <c r="H43" s="834"/>
      <c r="I43" s="301"/>
      <c r="J43" s="301"/>
      <c r="K43" s="301"/>
      <c r="L43" s="301"/>
      <c r="M43" s="301"/>
      <c r="N43" s="301"/>
      <c r="O43" s="301"/>
      <c r="P43" s="51">
        <f>G43-E53</f>
        <v>11.913402765132105</v>
      </c>
      <c r="R43" s="356">
        <f t="shared" ref="R43" si="6">SUM(S43:W43)</f>
        <v>11.913402765132105</v>
      </c>
      <c r="S43" s="134"/>
      <c r="T43" s="134">
        <f>P43</f>
        <v>11.913402765132105</v>
      </c>
      <c r="U43" s="134"/>
      <c r="V43" s="134"/>
      <c r="W43" s="134"/>
    </row>
    <row r="44" spans="1:24">
      <c r="A44" s="834"/>
      <c r="B44" s="1" t="s">
        <v>40</v>
      </c>
      <c r="C44" s="41"/>
      <c r="D44" s="834"/>
      <c r="E44" s="54"/>
      <c r="F44" s="839"/>
      <c r="G44" s="17">
        <f t="shared" si="3"/>
        <v>0</v>
      </c>
      <c r="H44" s="834"/>
      <c r="I44" s="301"/>
      <c r="J44" s="301"/>
      <c r="K44" s="301"/>
      <c r="L44" s="301"/>
      <c r="M44" s="301"/>
      <c r="N44" s="301"/>
      <c r="O44" s="301"/>
      <c r="P44" s="53"/>
      <c r="R44" s="356"/>
      <c r="S44" s="134"/>
      <c r="T44" s="134"/>
      <c r="U44" s="134"/>
      <c r="V44" s="134"/>
      <c r="W44" s="134"/>
    </row>
    <row r="45" spans="1:24">
      <c r="A45" s="834"/>
      <c r="B45" s="1" t="s">
        <v>41</v>
      </c>
      <c r="C45" s="41">
        <v>1.62</v>
      </c>
      <c r="D45" s="834"/>
      <c r="E45" s="54"/>
      <c r="F45" s="839"/>
      <c r="G45" s="17">
        <f t="shared" si="3"/>
        <v>1.62</v>
      </c>
      <c r="H45" s="834"/>
      <c r="I45" s="301"/>
      <c r="J45" s="301"/>
      <c r="K45" s="301"/>
      <c r="L45" s="301"/>
      <c r="M45" s="301"/>
      <c r="N45" s="301"/>
      <c r="O45" s="301"/>
      <c r="P45" s="53"/>
      <c r="R45" s="356"/>
      <c r="S45" s="135"/>
      <c r="T45" s="134"/>
      <c r="U45" s="135"/>
      <c r="V45" s="159"/>
      <c r="W45" s="134"/>
    </row>
    <row r="46" spans="1:24">
      <c r="A46" s="835"/>
      <c r="B46" s="1" t="s">
        <v>42</v>
      </c>
      <c r="C46" s="41">
        <f>12.42-C18</f>
        <v>7.2</v>
      </c>
      <c r="D46" s="835"/>
      <c r="E46" s="55"/>
      <c r="F46" s="840"/>
      <c r="G46" s="17">
        <f>3.42+3.44+0.12</f>
        <v>6.9799999999999995</v>
      </c>
      <c r="H46" s="835"/>
      <c r="I46" s="301"/>
      <c r="J46" s="301"/>
      <c r="K46" s="301"/>
      <c r="L46" s="301"/>
      <c r="M46" s="301"/>
      <c r="N46" s="301"/>
      <c r="O46" s="301"/>
      <c r="P46" s="56">
        <f>G46-E51</f>
        <v>5.7508898214426036</v>
      </c>
      <c r="R46" s="357">
        <f>SUM(S46:W46)</f>
        <v>5.7508898214426036</v>
      </c>
      <c r="S46" s="161"/>
      <c r="T46" s="162">
        <f>P46-U46</f>
        <v>5.3808898214426035</v>
      </c>
      <c r="U46" s="163">
        <f>0.31+0.06</f>
        <v>0.37</v>
      </c>
      <c r="V46" s="164"/>
      <c r="W46" s="165"/>
    </row>
    <row r="47" spans="1:24">
      <c r="A47" s="1"/>
      <c r="B47" s="1"/>
      <c r="C47" s="57"/>
      <c r="D47" s="1"/>
      <c r="E47" s="58">
        <f>SUM(E26:E27,E29:E32)-(0.5+0.08)</f>
        <v>-3.1999999999999917E-2</v>
      </c>
      <c r="F47" s="1"/>
      <c r="G47" s="17"/>
      <c r="H47" s="1"/>
      <c r="I47" s="1"/>
      <c r="J47" s="1"/>
      <c r="K47" s="1"/>
      <c r="L47" s="1"/>
      <c r="M47" s="1"/>
      <c r="N47" s="1"/>
      <c r="O47" s="1"/>
      <c r="P47" s="59">
        <f>G42-71.99</f>
        <v>0</v>
      </c>
      <c r="Q47" s="1"/>
      <c r="R47" s="358"/>
    </row>
    <row r="48" spans="1:24">
      <c r="B48" s="1"/>
      <c r="C48" s="60"/>
      <c r="D48" s="61"/>
      <c r="E48" s="62">
        <f>E42-(83.02-78.11+0.14-0.19-0.07)</f>
        <v>4.9999999999993605E-2</v>
      </c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>
        <f>G46-3.42-3.44-0.12</f>
        <v>-3.3306690738754696E-16</v>
      </c>
      <c r="Q48" s="1"/>
      <c r="R48" s="344"/>
    </row>
    <row r="49" spans="1:17">
      <c r="C49" s="66"/>
      <c r="D49" s="61"/>
      <c r="E49" s="62">
        <f>E46-(3.65-3.22-0.57+0.36)</f>
        <v>-0.21999999999999975</v>
      </c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  <c r="Q49" s="1"/>
    </row>
    <row r="50" spans="1:17">
      <c r="A50" s="22" t="s">
        <v>43</v>
      </c>
      <c r="C50" s="66"/>
      <c r="D50" s="61"/>
      <c r="G50" s="61"/>
      <c r="H50" s="61"/>
      <c r="I50" s="34"/>
      <c r="J50" s="67"/>
      <c r="K50" s="67"/>
      <c r="L50" s="64"/>
      <c r="M50" s="61"/>
      <c r="N50" s="67"/>
      <c r="O50" s="67"/>
      <c r="P50" s="1"/>
      <c r="Q50" s="1"/>
    </row>
    <row r="51" spans="1:17">
      <c r="B51" s="1" t="s">
        <v>44</v>
      </c>
      <c r="C51" s="68"/>
      <c r="D51" s="61"/>
      <c r="E51" s="17">
        <f>[4]Table10s2!$S$21*1000/4000000</f>
        <v>1.2291101785573955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Q51" s="1"/>
    </row>
    <row r="52" spans="1:17">
      <c r="B52" s="1" t="s">
        <v>41</v>
      </c>
      <c r="C52" s="69"/>
      <c r="D52" s="17"/>
      <c r="E52" s="70">
        <f>G45</f>
        <v>1.62</v>
      </c>
      <c r="G52" s="61"/>
      <c r="H52" s="61"/>
      <c r="I52" s="34"/>
      <c r="J52" s="67"/>
      <c r="K52" s="67"/>
      <c r="L52" s="64"/>
      <c r="M52" s="61"/>
      <c r="N52" s="67"/>
      <c r="O52" s="67"/>
      <c r="P52" s="1"/>
      <c r="Q52" s="1"/>
    </row>
    <row r="53" spans="1:17">
      <c r="B53" s="1" t="s">
        <v>39</v>
      </c>
      <c r="C53" s="69"/>
      <c r="D53" s="17"/>
      <c r="E53" s="71">
        <f>(([4]Table10s2!$S$20+[4]Table10s2!$S$22)*1000-E52*2.394*1000000)/3200000</f>
        <v>1.7665972348678951</v>
      </c>
      <c r="G53" s="61"/>
      <c r="H53" s="61"/>
      <c r="I53" s="34"/>
      <c r="J53" s="67"/>
      <c r="K53" s="67"/>
      <c r="L53" s="64"/>
      <c r="M53" s="64"/>
      <c r="N53" s="67"/>
      <c r="O53" s="67"/>
      <c r="P53" s="1"/>
      <c r="Q53" s="1"/>
    </row>
    <row r="54" spans="1:17">
      <c r="B54" s="1"/>
      <c r="C54" s="69"/>
      <c r="D54" s="17"/>
      <c r="E54" s="359"/>
      <c r="F54" s="359"/>
      <c r="G54" s="61"/>
      <c r="H54" s="61"/>
      <c r="I54" s="34"/>
      <c r="J54" s="67"/>
      <c r="K54" s="67"/>
      <c r="L54" s="64"/>
      <c r="M54" s="61"/>
      <c r="N54" s="67"/>
      <c r="O54" s="67"/>
      <c r="P54" s="1"/>
      <c r="Q54" s="1"/>
    </row>
    <row r="55" spans="1:17">
      <c r="B55" s="1"/>
      <c r="C55" s="69"/>
      <c r="D55" s="17"/>
      <c r="E55" s="359"/>
      <c r="F55" s="359"/>
      <c r="G55" s="61"/>
      <c r="H55" s="61"/>
      <c r="I55" s="34"/>
      <c r="J55" s="67"/>
      <c r="K55" s="67"/>
      <c r="L55" s="66"/>
      <c r="M55" s="61"/>
      <c r="N55" s="60"/>
      <c r="O55" s="60"/>
      <c r="P55" s="1"/>
      <c r="Q55" s="1"/>
    </row>
    <row r="56" spans="1:17">
      <c r="B56" s="1"/>
      <c r="C56" s="69"/>
      <c r="D56" s="17"/>
      <c r="E56" s="359"/>
      <c r="F56" s="359"/>
      <c r="G56" s="61"/>
      <c r="H56" s="61"/>
      <c r="I56" s="34"/>
      <c r="J56" s="67"/>
      <c r="K56" s="67"/>
      <c r="L56" s="64"/>
      <c r="M56" s="61"/>
      <c r="N56" s="67"/>
      <c r="O56" s="67"/>
      <c r="P56" s="1"/>
      <c r="Q56" s="1"/>
    </row>
    <row r="57" spans="1:17">
      <c r="B57" s="1"/>
      <c r="C57" s="69"/>
      <c r="D57" s="17"/>
      <c r="E57" s="359"/>
      <c r="F57" s="359"/>
      <c r="G57" s="61"/>
      <c r="H57" s="61"/>
      <c r="I57" s="67"/>
      <c r="J57" s="67"/>
      <c r="K57" s="67"/>
      <c r="L57" s="64"/>
      <c r="M57" s="61"/>
      <c r="N57" s="67"/>
      <c r="O57" s="67"/>
      <c r="P57" s="1"/>
      <c r="Q57" s="1"/>
    </row>
    <row r="58" spans="1:17">
      <c r="B58" s="1"/>
      <c r="C58" s="360"/>
      <c r="D58" s="360"/>
      <c r="E58" s="360"/>
      <c r="F58" s="360"/>
      <c r="G58" s="61"/>
      <c r="H58" s="61"/>
      <c r="I58" s="67"/>
      <c r="J58" s="67"/>
      <c r="K58" s="67"/>
      <c r="L58" s="64"/>
      <c r="M58" s="64"/>
      <c r="N58" s="64"/>
      <c r="O58" s="64"/>
      <c r="P58" s="1"/>
      <c r="Q58" s="1"/>
    </row>
    <row r="59" spans="1:17">
      <c r="B59" s="1"/>
      <c r="C59" s="61"/>
      <c r="D59" s="61"/>
      <c r="E59" s="61"/>
      <c r="F59" s="61"/>
      <c r="G59" s="61"/>
      <c r="H59" s="61"/>
      <c r="I59" s="67"/>
      <c r="J59" s="67"/>
      <c r="K59" s="67"/>
      <c r="L59" s="64"/>
      <c r="M59" s="361"/>
      <c r="N59" s="362"/>
      <c r="O59" s="362"/>
      <c r="P59" s="1"/>
      <c r="Q59" s="1"/>
    </row>
    <row r="60" spans="1:17">
      <c r="B60" s="1"/>
      <c r="C60" s="61"/>
      <c r="D60" s="61"/>
      <c r="E60" s="61"/>
      <c r="F60" s="61"/>
      <c r="G60" s="61"/>
      <c r="H60" s="61"/>
      <c r="I60" s="67"/>
      <c r="J60" s="67"/>
      <c r="K60" s="67"/>
      <c r="L60" s="64"/>
      <c r="M60" s="361"/>
      <c r="N60" s="362"/>
      <c r="O60" s="362"/>
      <c r="P60" s="1"/>
      <c r="Q60" s="1"/>
    </row>
    <row r="64" spans="1:17">
      <c r="C64" s="363"/>
    </row>
    <row r="65" spans="3:3">
      <c r="C65" s="364"/>
    </row>
    <row r="66" spans="3:3">
      <c r="C66" s="363"/>
    </row>
    <row r="67" spans="3:3">
      <c r="C67" s="363"/>
    </row>
    <row r="68" spans="3:3">
      <c r="C68" s="365"/>
    </row>
  </sheetData>
  <mergeCells count="37">
    <mergeCell ref="P7:P19"/>
    <mergeCell ref="C1:H1"/>
    <mergeCell ref="J1:P1"/>
    <mergeCell ref="C2:D2"/>
    <mergeCell ref="E2:H2"/>
    <mergeCell ref="J2:J4"/>
    <mergeCell ref="K2:P3"/>
    <mergeCell ref="E3:F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N26:N32"/>
    <mergeCell ref="O26:O32"/>
    <mergeCell ref="P26:P32"/>
    <mergeCell ref="A36:A46"/>
    <mergeCell ref="D36:D46"/>
    <mergeCell ref="F36:F46"/>
    <mergeCell ref="H36:H4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W53"/>
  <sheetViews>
    <sheetView topLeftCell="J1" workbookViewId="0">
      <selection activeCell="S10" sqref="S10"/>
    </sheetView>
  </sheetViews>
  <sheetFormatPr baseColWidth="10" defaultColWidth="11.453125" defaultRowHeight="14.5"/>
  <cols>
    <col min="1" max="1" width="11.453125" style="256"/>
    <col min="2" max="2" width="25.81640625" style="256" customWidth="1"/>
    <col min="3" max="17" width="11.453125" style="256"/>
    <col min="18" max="23" width="11.453125" style="22"/>
    <col min="24" max="16384" width="11.453125" style="256"/>
  </cols>
  <sheetData>
    <row r="1" spans="1:23">
      <c r="A1" s="1"/>
      <c r="B1" s="1"/>
      <c r="C1" s="811" t="s">
        <v>0</v>
      </c>
      <c r="D1" s="811"/>
      <c r="E1" s="811"/>
      <c r="F1" s="811"/>
      <c r="G1" s="811"/>
      <c r="H1" s="811"/>
      <c r="I1" s="294"/>
      <c r="J1" s="812" t="s">
        <v>1</v>
      </c>
      <c r="K1" s="812"/>
      <c r="L1" s="812"/>
      <c r="M1" s="812"/>
      <c r="N1" s="812"/>
      <c r="O1" s="812"/>
      <c r="P1" s="812"/>
    </row>
    <row r="2" spans="1:23">
      <c r="A2" s="1"/>
      <c r="B2" s="1"/>
      <c r="C2" s="814" t="s">
        <v>2</v>
      </c>
      <c r="D2" s="783"/>
      <c r="E2" s="784" t="s">
        <v>3</v>
      </c>
      <c r="F2" s="815"/>
      <c r="G2" s="815"/>
      <c r="H2" s="815"/>
      <c r="I2" s="3"/>
      <c r="J2" s="786" t="s">
        <v>4</v>
      </c>
      <c r="K2" s="787" t="s">
        <v>5</v>
      </c>
      <c r="L2" s="816"/>
      <c r="M2" s="816"/>
      <c r="N2" s="816"/>
      <c r="O2" s="816"/>
      <c r="P2" s="786"/>
      <c r="R2" s="108"/>
      <c r="S2" s="109"/>
      <c r="T2" s="108"/>
      <c r="U2" s="110" t="s">
        <v>90</v>
      </c>
      <c r="V2" s="109"/>
      <c r="W2" s="111"/>
    </row>
    <row r="3" spans="1:23" ht="52">
      <c r="A3" s="4"/>
      <c r="B3" s="4"/>
      <c r="C3" s="5"/>
      <c r="D3" s="5"/>
      <c r="E3" s="6" t="s">
        <v>6</v>
      </c>
      <c r="F3" s="7"/>
      <c r="G3" s="789" t="s">
        <v>7</v>
      </c>
      <c r="H3" s="842"/>
      <c r="I3" s="8" t="s">
        <v>75</v>
      </c>
      <c r="J3" s="786"/>
      <c r="K3" s="787"/>
      <c r="L3" s="816"/>
      <c r="M3" s="816"/>
      <c r="N3" s="816"/>
      <c r="O3" s="816"/>
      <c r="P3" s="786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786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249.12043549946657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133.27094326078964</v>
      </c>
      <c r="R5" s="117">
        <f>SUM(R13,R23,R26:R32,R42)</f>
        <v>138.5608539561814</v>
      </c>
      <c r="S5" s="117">
        <f>SUM(S7:S46)</f>
        <v>4.4860507954281585</v>
      </c>
      <c r="T5" s="117">
        <f>SUM(T7:T46)</f>
        <v>26.186395747332703</v>
      </c>
      <c r="U5" s="117">
        <f>SUM(U7:U46)</f>
        <v>39.56529037212934</v>
      </c>
      <c r="V5" s="253">
        <f>SUM(V7:V46)</f>
        <v>24.506016758025968</v>
      </c>
      <c r="W5" s="117">
        <f>SUM(W7:W46)</f>
        <v>43.817100283265226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821" t="s">
        <v>15</v>
      </c>
      <c r="B7" s="1" t="s">
        <v>17</v>
      </c>
      <c r="C7" s="17">
        <f>'Mix énergie_2015'!I14*'Mix énergie_2015'!L14/11.63</f>
        <v>1.8142734307824566</v>
      </c>
      <c r="D7" s="843">
        <f>SUM(C7:C19)</f>
        <v>129.56373899657174</v>
      </c>
      <c r="E7" s="30"/>
      <c r="F7" s="823">
        <f>SUM(E7:E19)</f>
        <v>80.113787900979759</v>
      </c>
      <c r="G7" s="17">
        <f>C7-E7</f>
        <v>1.8142734307824566</v>
      </c>
      <c r="H7" s="823">
        <f>SUM(G7:G19)</f>
        <v>49.44995109559197</v>
      </c>
      <c r="I7" s="22"/>
      <c r="J7" s="843">
        <f>H7-I13</f>
        <v>46.667663907285871</v>
      </c>
      <c r="K7" s="31"/>
      <c r="L7" s="31"/>
      <c r="M7" s="31"/>
      <c r="N7" s="293"/>
      <c r="O7" s="300"/>
      <c r="P7" s="841">
        <f>J7-K12-L12-M12</f>
        <v>38.115643271000401</v>
      </c>
      <c r="R7" s="119"/>
      <c r="S7" s="120"/>
      <c r="T7" s="121"/>
      <c r="U7" s="122"/>
      <c r="V7" s="121"/>
      <c r="W7" s="122"/>
    </row>
    <row r="8" spans="1:23">
      <c r="A8" s="821"/>
      <c r="B8" s="1" t="s">
        <v>18</v>
      </c>
      <c r="C8" s="17">
        <f>'Mix énergie_2015'!H14*'Mix énergie_2015'!L14/11.63</f>
        <v>5.0472914875322665</v>
      </c>
      <c r="D8" s="843"/>
      <c r="E8" s="30">
        <f>C8-G8</f>
        <v>0.50472914875322683</v>
      </c>
      <c r="F8" s="823"/>
      <c r="G8" s="17">
        <f>0.9*C8</f>
        <v>4.5425623387790397</v>
      </c>
      <c r="H8" s="823"/>
      <c r="I8" s="22"/>
      <c r="J8" s="843"/>
      <c r="K8" s="31"/>
      <c r="L8" s="31"/>
      <c r="M8" s="31"/>
      <c r="N8" s="293"/>
      <c r="O8" s="300"/>
      <c r="P8" s="841"/>
      <c r="R8" s="123"/>
      <c r="S8" s="124"/>
      <c r="T8" s="125"/>
      <c r="U8" s="126"/>
      <c r="V8" s="125"/>
      <c r="W8" s="126"/>
    </row>
    <row r="9" spans="1:23">
      <c r="A9" s="821"/>
      <c r="B9" s="1" t="s">
        <v>19</v>
      </c>
      <c r="C9" s="17">
        <f>'Mix énergie_2015'!J14*'Mix énergie_2015'!L14/11.63</f>
        <v>0.63628546861565138</v>
      </c>
      <c r="D9" s="843"/>
      <c r="E9" s="30"/>
      <c r="F9" s="823"/>
      <c r="G9" s="17">
        <f t="shared" ref="G9:G45" si="0">C9-E9</f>
        <v>0.63628546861565138</v>
      </c>
      <c r="H9" s="823"/>
      <c r="I9" s="22"/>
      <c r="J9" s="843"/>
      <c r="K9" s="31"/>
      <c r="L9" s="31"/>
      <c r="M9" s="31"/>
      <c r="N9" s="293"/>
      <c r="O9" s="300"/>
      <c r="P9" s="841"/>
      <c r="R9" s="123"/>
      <c r="S9" s="124"/>
      <c r="T9" s="125"/>
      <c r="U9" s="126"/>
      <c r="V9" s="125"/>
      <c r="W9" s="126"/>
    </row>
    <row r="10" spans="1:23">
      <c r="A10" s="821"/>
      <c r="B10" s="1" t="s">
        <v>20</v>
      </c>
      <c r="C10" s="17">
        <f>'Bilan enerdata_2015'!F12</f>
        <v>113.97587222178799</v>
      </c>
      <c r="D10" s="843"/>
      <c r="E10" s="281">
        <f>C10*(1-0.345)</f>
        <v>74.654196305271142</v>
      </c>
      <c r="F10" s="823"/>
      <c r="G10" s="30">
        <f>C10-E10</f>
        <v>39.321675916516853</v>
      </c>
      <c r="H10" s="823"/>
      <c r="I10" s="22"/>
      <c r="J10" s="843"/>
      <c r="K10" s="31"/>
      <c r="L10" s="31"/>
      <c r="M10" s="31"/>
      <c r="N10" s="293"/>
      <c r="O10" s="300"/>
      <c r="P10" s="841"/>
      <c r="R10" s="123"/>
      <c r="S10" s="124"/>
      <c r="T10" s="125"/>
      <c r="U10" s="126"/>
      <c r="V10" s="125"/>
      <c r="W10" s="126"/>
    </row>
    <row r="11" spans="1:23">
      <c r="A11" s="821"/>
      <c r="B11" s="1" t="s">
        <v>21</v>
      </c>
      <c r="C11" s="17">
        <f>'Mix énergie_2015'!F14*'Mix énergie_2015'!L14/11.63</f>
        <v>0</v>
      </c>
      <c r="D11" s="843"/>
      <c r="E11" s="30"/>
      <c r="F11" s="823"/>
      <c r="G11" s="17">
        <f>C11-E11</f>
        <v>0</v>
      </c>
      <c r="H11" s="823"/>
      <c r="I11" s="22"/>
      <c r="J11" s="843"/>
      <c r="K11" s="31"/>
      <c r="L11" s="31"/>
      <c r="M11" s="31"/>
      <c r="N11" s="293"/>
      <c r="O11" s="300"/>
      <c r="P11" s="841"/>
      <c r="R11" s="123"/>
      <c r="S11" s="124"/>
      <c r="T11" s="125"/>
      <c r="U11" s="126"/>
      <c r="V11" s="125"/>
      <c r="W11" s="126"/>
    </row>
    <row r="12" spans="1:23">
      <c r="A12" s="821"/>
      <c r="B12" s="1" t="s">
        <v>22</v>
      </c>
      <c r="C12" s="274">
        <f>'Bilan enerdata_2015'!H22+'Bilan enerdata_2015'!H23*0.36</f>
        <v>2.1609897773956206</v>
      </c>
      <c r="D12" s="843"/>
      <c r="E12" s="30">
        <f>C12-G12</f>
        <v>1.7287918219164964</v>
      </c>
      <c r="F12" s="823"/>
      <c r="G12" s="17">
        <f>0.2*C12</f>
        <v>0.43219795547912415</v>
      </c>
      <c r="H12" s="823"/>
      <c r="I12" s="22"/>
      <c r="J12" s="843"/>
      <c r="K12" s="31">
        <f>'Bilan enerdata_2015'!I30</f>
        <v>3.04359415305245</v>
      </c>
      <c r="L12" s="31">
        <f>-('Bilan enerdata_2015'!I14+'Bilan enerdata_2015'!I13)</f>
        <v>5.5084264832330145</v>
      </c>
      <c r="M12" s="31">
        <v>0</v>
      </c>
      <c r="N12" s="293">
        <v>0</v>
      </c>
      <c r="O12" s="300">
        <v>0</v>
      </c>
      <c r="P12" s="841"/>
      <c r="R12" s="123"/>
      <c r="S12" s="124"/>
      <c r="T12" s="125"/>
      <c r="U12" s="126"/>
      <c r="V12" s="125"/>
      <c r="W12" s="126"/>
    </row>
    <row r="13" spans="1:23">
      <c r="A13" s="821"/>
      <c r="B13" s="1" t="s">
        <v>23</v>
      </c>
      <c r="C13" s="272">
        <v>0</v>
      </c>
      <c r="D13" s="843"/>
      <c r="E13" s="30">
        <f>C13-G13</f>
        <v>0</v>
      </c>
      <c r="F13" s="823"/>
      <c r="G13" s="17">
        <f>0.2*C13</f>
        <v>0</v>
      </c>
      <c r="H13" s="823"/>
      <c r="I13" s="282">
        <f>'Bilan enerdata_2015'!I29</f>
        <v>2.7822871883060998</v>
      </c>
      <c r="J13" s="843"/>
      <c r="K13" s="31"/>
      <c r="L13" s="31"/>
      <c r="M13" s="31"/>
      <c r="N13" s="293"/>
      <c r="O13" s="300"/>
      <c r="P13" s="841"/>
      <c r="R13" s="123">
        <f>SUM(S7:W19)</f>
        <v>38.082514273546238</v>
      </c>
      <c r="S13" s="127">
        <f>'Bilan enerdata_2015'!I37</f>
        <v>0.74651762682717104</v>
      </c>
      <c r="T13" s="125">
        <f>'Bilan enerdata_2015'!I33</f>
        <v>10.069552160228</v>
      </c>
      <c r="U13" s="125">
        <f>'Bilan enerdata_2015'!I35</f>
        <v>13.6203670581426</v>
      </c>
      <c r="V13" s="125">
        <f>'Bilan enerdata_2015'!I36</f>
        <v>12.701365476499801</v>
      </c>
      <c r="W13" s="125">
        <f>'Bilan enerdata_2015'!I34</f>
        <v>0.94471195184866696</v>
      </c>
    </row>
    <row r="14" spans="1:23">
      <c r="A14" s="821"/>
      <c r="B14" s="1" t="s">
        <v>24</v>
      </c>
      <c r="C14" s="17">
        <v>0</v>
      </c>
      <c r="D14" s="843"/>
      <c r="E14" s="30"/>
      <c r="F14" s="823"/>
      <c r="G14" s="17"/>
      <c r="H14" s="823"/>
      <c r="I14" s="22"/>
      <c r="J14" s="843"/>
      <c r="K14" s="31"/>
      <c r="L14" s="31"/>
      <c r="M14" s="31"/>
      <c r="N14" s="293"/>
      <c r="O14" s="300"/>
      <c r="P14" s="841"/>
      <c r="R14" s="123"/>
      <c r="S14" s="124"/>
      <c r="T14" s="125"/>
      <c r="U14" s="126"/>
      <c r="V14" s="125"/>
      <c r="W14" s="126"/>
    </row>
    <row r="15" spans="1:23">
      <c r="A15" s="821"/>
      <c r="B15" s="1" t="s">
        <v>25</v>
      </c>
      <c r="C15" s="17">
        <v>0</v>
      </c>
      <c r="D15" s="843"/>
      <c r="E15" s="30"/>
      <c r="F15" s="823"/>
      <c r="G15" s="17"/>
      <c r="H15" s="823"/>
      <c r="I15" s="22"/>
      <c r="J15" s="843"/>
      <c r="K15" s="31"/>
      <c r="L15" s="31"/>
      <c r="M15" s="31"/>
      <c r="N15" s="293"/>
      <c r="O15" s="300"/>
      <c r="P15" s="841"/>
      <c r="R15" s="123"/>
      <c r="S15" s="124"/>
      <c r="T15" s="125"/>
      <c r="U15" s="126"/>
      <c r="V15" s="125"/>
      <c r="W15" s="126"/>
    </row>
    <row r="16" spans="1:23">
      <c r="A16" s="821"/>
      <c r="B16" s="1" t="s">
        <v>26</v>
      </c>
      <c r="C16" s="17">
        <v>0</v>
      </c>
      <c r="D16" s="843"/>
      <c r="E16" s="30"/>
      <c r="F16" s="823"/>
      <c r="G16" s="17"/>
      <c r="H16" s="823"/>
      <c r="I16" s="22"/>
      <c r="J16" s="843"/>
      <c r="K16" s="31"/>
      <c r="L16" s="31"/>
      <c r="M16" s="31"/>
      <c r="N16" s="293"/>
      <c r="O16" s="300"/>
      <c r="P16" s="841"/>
      <c r="R16" s="123"/>
      <c r="S16" s="124"/>
      <c r="T16" s="125"/>
      <c r="U16" s="126"/>
      <c r="V16" s="125"/>
      <c r="W16" s="126"/>
    </row>
    <row r="17" spans="1:23">
      <c r="A17" s="821"/>
      <c r="B17" s="1" t="s">
        <v>27</v>
      </c>
      <c r="C17" s="17">
        <f>'Bilan enerdata_2015'!D22+0.36*'Bilan enerdata_2015'!D23</f>
        <v>0.5484</v>
      </c>
      <c r="D17" s="843"/>
      <c r="E17" s="30">
        <f t="shared" ref="E17:E18" si="1">C17-G17</f>
        <v>0.34000799999999998</v>
      </c>
      <c r="F17" s="823"/>
      <c r="G17" s="17">
        <f>0.38*C17</f>
        <v>0.20839199999999999</v>
      </c>
      <c r="H17" s="823"/>
      <c r="I17" s="22"/>
      <c r="J17" s="843"/>
      <c r="K17" s="31"/>
      <c r="L17" s="31"/>
      <c r="M17" s="31"/>
      <c r="N17" s="293"/>
      <c r="O17" s="300"/>
      <c r="P17" s="841"/>
      <c r="R17" s="123"/>
      <c r="S17" s="124"/>
      <c r="T17" s="125"/>
      <c r="U17" s="126"/>
      <c r="V17" s="125"/>
      <c r="W17" s="126"/>
    </row>
    <row r="18" spans="1:23">
      <c r="A18" s="821"/>
      <c r="B18" s="1" t="s">
        <v>28</v>
      </c>
      <c r="C18" s="17">
        <f>'Bilan enerdata_2015'!B22+0.36*'Bilan enerdata_2015'!B23</f>
        <v>2.8810384246527168</v>
      </c>
      <c r="D18" s="843"/>
      <c r="E18" s="30">
        <f t="shared" si="1"/>
        <v>1.7862438232846845</v>
      </c>
      <c r="F18" s="823"/>
      <c r="G18" s="17">
        <f>0.38*C18</f>
        <v>1.0947946013680323</v>
      </c>
      <c r="H18" s="823"/>
      <c r="I18" s="22"/>
      <c r="J18" s="843"/>
      <c r="K18" s="31"/>
      <c r="L18" s="31"/>
      <c r="M18" s="31"/>
      <c r="N18" s="293"/>
      <c r="O18" s="300"/>
      <c r="P18" s="841"/>
      <c r="R18" s="123"/>
      <c r="S18" s="124"/>
      <c r="T18" s="125"/>
      <c r="U18" s="126"/>
      <c r="V18" s="125"/>
      <c r="W18" s="126"/>
    </row>
    <row r="19" spans="1:23">
      <c r="A19" s="821"/>
      <c r="B19" s="273" t="s">
        <v>262</v>
      </c>
      <c r="C19" s="17">
        <f>'Bilan enerdata_2015'!E22+0.36*'Bilan enerdata_2015'!E23</f>
        <v>2.4995881858050302</v>
      </c>
      <c r="D19" s="843"/>
      <c r="E19" s="30">
        <f>C19-G19</f>
        <v>1.0998188017542132</v>
      </c>
      <c r="F19" s="823"/>
      <c r="G19" s="17">
        <f>0.56*C19</f>
        <v>1.399769384050817</v>
      </c>
      <c r="H19" s="823"/>
      <c r="I19" s="22"/>
      <c r="J19" s="843"/>
      <c r="K19" s="31"/>
      <c r="L19" s="31"/>
      <c r="M19" s="31"/>
      <c r="N19" s="293"/>
      <c r="O19" s="300"/>
      <c r="P19" s="841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enerdata_2015'!I22</f>
        <v>47.166809974204597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829" t="s">
        <v>13</v>
      </c>
      <c r="B21" s="1" t="s">
        <v>21</v>
      </c>
      <c r="C21" s="17">
        <f>-'Bilan enerdata_2015'!E25</f>
        <v>6.3456577815993098E-3</v>
      </c>
      <c r="D21" s="830">
        <f>SUM(C21:C24)</f>
        <v>35.549428802971811</v>
      </c>
      <c r="E21" s="22"/>
      <c r="F21" s="805"/>
      <c r="G21" s="17">
        <f t="shared" si="0"/>
        <v>6.3456577815993098E-3</v>
      </c>
      <c r="H21" s="832">
        <f>SUM(G21:G24)</f>
        <v>34.307352074167412</v>
      </c>
      <c r="I21" s="17"/>
      <c r="J21" s="805">
        <f>H21-I22</f>
        <v>34.307352074167412</v>
      </c>
      <c r="K21" s="844">
        <f>'Bilan enerdata_2015'!E30</f>
        <v>0.46122098022356001</v>
      </c>
      <c r="L21" s="844"/>
      <c r="M21" s="844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829"/>
      <c r="B22" s="1" t="s">
        <v>30</v>
      </c>
      <c r="C22" s="17"/>
      <c r="D22" s="830"/>
      <c r="E22" s="22"/>
      <c r="F22" s="805"/>
      <c r="G22" s="17">
        <f t="shared" si="0"/>
        <v>0</v>
      </c>
      <c r="H22" s="832"/>
      <c r="I22" s="285"/>
      <c r="J22" s="805"/>
      <c r="K22" s="844"/>
      <c r="L22" s="844"/>
      <c r="M22" s="844"/>
      <c r="N22" s="295"/>
      <c r="O22" s="40"/>
      <c r="P22" s="40"/>
      <c r="R22" s="140"/>
      <c r="S22" s="40"/>
      <c r="T22" s="295"/>
      <c r="U22" s="295"/>
      <c r="V22" s="295"/>
      <c r="W22" s="40"/>
    </row>
    <row r="23" spans="1:23">
      <c r="A23" s="829"/>
      <c r="B23" s="1" t="s">
        <v>31</v>
      </c>
      <c r="C23" s="17"/>
      <c r="D23" s="830"/>
      <c r="E23" s="41"/>
      <c r="F23" s="805"/>
      <c r="G23" s="17">
        <f t="shared" si="0"/>
        <v>0</v>
      </c>
      <c r="H23" s="832"/>
      <c r="I23" s="17"/>
      <c r="J23" s="805"/>
      <c r="K23" s="844"/>
      <c r="L23" s="844"/>
      <c r="M23" s="844"/>
      <c r="N23" s="295">
        <f>C32</f>
        <v>1.9937550478726846</v>
      </c>
      <c r="O23" s="40">
        <f>C19</f>
        <v>2.4995881858050302</v>
      </c>
      <c r="P23" s="40">
        <f>J21-N23-O23-K21</f>
        <v>29.35278786026614</v>
      </c>
      <c r="R23" s="140">
        <f>SUM(S23:W23)</f>
        <v>29.391760194018236</v>
      </c>
      <c r="S23" s="141">
        <f>'Bilan enerdata_2015'!E37</f>
        <v>0.20038837309893301</v>
      </c>
      <c r="T23" s="141">
        <f>'Bilan enerdata_2015'!E33</f>
        <v>10.2038364932448</v>
      </c>
      <c r="U23" s="141">
        <f>'Bilan enerdata_2015'!E35</f>
        <v>11.7825435723501</v>
      </c>
      <c r="V23" s="141">
        <f>'Bilan enerdata_2015'!E36</f>
        <v>7.13877632922933</v>
      </c>
      <c r="W23" s="141">
        <f>'Bilan enerdata_2015'!E34</f>
        <v>6.6215426095074303E-2</v>
      </c>
    </row>
    <row r="24" spans="1:23">
      <c r="A24" s="829"/>
      <c r="B24" s="1" t="s">
        <v>32</v>
      </c>
      <c r="C24" s="17">
        <f>'Bilan enerdata_2015'!E18+'Bilan enerdata_2015'!E17-C45+1.1</f>
        <v>35.543083145190209</v>
      </c>
      <c r="D24" s="830"/>
      <c r="E24" s="41">
        <f>'Bilan enerdata_2015'!E29+'Bilan enerdata_2015'!E26</f>
        <v>1.2420767288043999</v>
      </c>
      <c r="F24" s="805"/>
      <c r="G24" s="17">
        <f t="shared" si="0"/>
        <v>34.30100641638581</v>
      </c>
      <c r="H24" s="832"/>
      <c r="I24" s="42"/>
      <c r="J24" s="805"/>
      <c r="K24" s="844"/>
      <c r="L24" s="844"/>
      <c r="M24" s="844"/>
      <c r="N24" s="295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825" t="s">
        <v>14</v>
      </c>
      <c r="B26" s="1" t="s">
        <v>21</v>
      </c>
      <c r="C26" s="43">
        <f>-'Mix énergie_2015'!F5*'Mix énergie_2015'!L5/11.63</f>
        <v>0</v>
      </c>
      <c r="D26" s="845">
        <f>SUM(C26:C34)</f>
        <v>4.852609931522248</v>
      </c>
      <c r="E26" s="43">
        <f t="shared" ref="E26:E31" si="2">C26*0.2</f>
        <v>0</v>
      </c>
      <c r="F26" s="826"/>
      <c r="G26" s="41">
        <f t="shared" ref="G26:G31" si="3">C26-E26</f>
        <v>0</v>
      </c>
      <c r="H26" s="826">
        <f>SUM(G26:G34)</f>
        <v>3.8257593733700697</v>
      </c>
      <c r="I26" s="1"/>
      <c r="J26" s="800">
        <f>H26</f>
        <v>3.8257593733700697</v>
      </c>
      <c r="K26" s="801">
        <f>'Bilan enerdata_2015'!J30</f>
        <v>0.80882690971625104</v>
      </c>
      <c r="L26" s="303">
        <v>0</v>
      </c>
      <c r="M26" s="801"/>
      <c r="N26" s="298"/>
      <c r="O26" s="306"/>
      <c r="P26" s="808">
        <f>J26-K26-M26</f>
        <v>3.0169324636538186</v>
      </c>
      <c r="R26" s="145"/>
      <c r="S26" s="145"/>
      <c r="T26" s="145"/>
      <c r="U26" s="145"/>
      <c r="V26" s="146"/>
      <c r="W26" s="145"/>
    </row>
    <row r="27" spans="1:23">
      <c r="A27" s="825"/>
      <c r="B27" s="1" t="s">
        <v>22</v>
      </c>
      <c r="C27" s="275">
        <v>0.6</v>
      </c>
      <c r="D27" s="845"/>
      <c r="E27" s="43">
        <f t="shared" si="2"/>
        <v>0.12</v>
      </c>
      <c r="F27" s="826"/>
      <c r="G27" s="41">
        <f t="shared" si="3"/>
        <v>0.48</v>
      </c>
      <c r="H27" s="826"/>
      <c r="I27" s="285"/>
      <c r="J27" s="800"/>
      <c r="K27" s="801"/>
      <c r="L27" s="303"/>
      <c r="M27" s="801"/>
      <c r="N27" s="298"/>
      <c r="O27" s="306"/>
      <c r="P27" s="808"/>
      <c r="R27" s="147"/>
      <c r="S27" s="298"/>
      <c r="T27" s="298"/>
      <c r="U27" s="298"/>
      <c r="V27" s="306"/>
      <c r="W27" s="298"/>
    </row>
    <row r="28" spans="1:23">
      <c r="A28" s="825"/>
      <c r="B28" s="1" t="s">
        <v>26</v>
      </c>
      <c r="C28" s="43">
        <f>'Mix énergie_2015'!J5*'Mix énergie_2015'!L5/11.63</f>
        <v>4.8409286328460872E-2</v>
      </c>
      <c r="D28" s="845"/>
      <c r="E28" s="43">
        <f t="shared" si="2"/>
        <v>9.6818572656921752E-3</v>
      </c>
      <c r="F28" s="826"/>
      <c r="G28" s="41">
        <f>C28-E28</f>
        <v>3.8727429062768701E-2</v>
      </c>
      <c r="H28" s="826"/>
      <c r="I28" s="1"/>
      <c r="J28" s="800"/>
      <c r="K28" s="801"/>
      <c r="L28" s="303"/>
      <c r="M28" s="801"/>
      <c r="N28" s="298"/>
      <c r="O28" s="306"/>
      <c r="P28" s="808"/>
      <c r="R28" s="147"/>
      <c r="S28" s="298"/>
      <c r="T28" s="298"/>
      <c r="U28" s="298"/>
      <c r="V28" s="306"/>
      <c r="W28" s="298"/>
    </row>
    <row r="29" spans="1:23">
      <c r="A29" s="825"/>
      <c r="B29" s="1" t="s">
        <v>23</v>
      </c>
      <c r="C29" s="275">
        <f>'Bilan enerdata_2015'!H24+'Bilan enerdata_2015'!H23*0.64-C30-C27</f>
        <v>1.4497200726091504</v>
      </c>
      <c r="D29" s="845"/>
      <c r="E29" s="43">
        <f t="shared" si="2"/>
        <v>0.28994401452183011</v>
      </c>
      <c r="F29" s="826"/>
      <c r="G29" s="41">
        <f t="shared" si="3"/>
        <v>1.1597760580873202</v>
      </c>
      <c r="H29" s="826"/>
      <c r="I29" s="1"/>
      <c r="J29" s="800"/>
      <c r="K29" s="801"/>
      <c r="L29" s="303"/>
      <c r="M29" s="801"/>
      <c r="N29" s="298"/>
      <c r="O29" s="306"/>
      <c r="P29" s="808"/>
      <c r="R29" s="150">
        <f>SUM(S29:W29)</f>
        <v>3.0705862327457893</v>
      </c>
      <c r="S29" s="151">
        <f>'Bilan enerdata_2015'!J37</f>
        <v>6.4536710533781398E-3</v>
      </c>
      <c r="T29" s="151">
        <f>'Bilan enerdata_2015'!J33</f>
        <v>1.1415347236508699</v>
      </c>
      <c r="U29" s="151">
        <f>'Bilan enerdata_2015'!J35</f>
        <v>1.21184436300186</v>
      </c>
      <c r="V29" s="151">
        <f>'Bilan enerdata_2015'!J36</f>
        <v>0.710753475039681</v>
      </c>
      <c r="W29" s="151">
        <f>'Bilan enerdata_2015'!J34</f>
        <v>0</v>
      </c>
    </row>
    <row r="30" spans="1:23">
      <c r="A30" s="825"/>
      <c r="B30" s="1" t="s">
        <v>24</v>
      </c>
      <c r="C30" s="276">
        <f>'Mix énergie_2015'!K5*'Mix énergie_2015'!L5/11.63</f>
        <v>0.24204643164230435</v>
      </c>
      <c r="D30" s="845"/>
      <c r="E30" s="43">
        <f t="shared" si="2"/>
        <v>4.8409286328460872E-2</v>
      </c>
      <c r="F30" s="826"/>
      <c r="G30" s="41">
        <f t="shared" si="3"/>
        <v>0.19363714531384349</v>
      </c>
      <c r="H30" s="826"/>
      <c r="I30" s="1"/>
      <c r="J30" s="800"/>
      <c r="K30" s="801"/>
      <c r="L30" s="303"/>
      <c r="M30" s="801"/>
      <c r="N30" s="298"/>
      <c r="O30" s="306"/>
      <c r="P30" s="808"/>
      <c r="R30" s="147"/>
      <c r="S30" s="298"/>
      <c r="T30" s="298"/>
      <c r="U30" s="298"/>
      <c r="V30" s="306"/>
      <c r="W30" s="298"/>
    </row>
    <row r="31" spans="1:23">
      <c r="A31" s="825"/>
      <c r="B31" s="1" t="s">
        <v>33</v>
      </c>
      <c r="C31" s="276">
        <v>0</v>
      </c>
      <c r="D31" s="845"/>
      <c r="E31" s="43">
        <f t="shared" si="2"/>
        <v>0</v>
      </c>
      <c r="F31" s="826"/>
      <c r="G31" s="41">
        <f t="shared" si="3"/>
        <v>0</v>
      </c>
      <c r="H31" s="826"/>
      <c r="I31" s="1"/>
      <c r="J31" s="800"/>
      <c r="K31" s="801"/>
      <c r="L31" s="303"/>
      <c r="M31" s="801"/>
      <c r="N31" s="298"/>
      <c r="O31" s="306"/>
      <c r="P31" s="808"/>
      <c r="R31" s="147"/>
      <c r="S31" s="298"/>
      <c r="T31" s="298"/>
      <c r="U31" s="298"/>
      <c r="V31" s="306"/>
      <c r="W31" s="298"/>
    </row>
    <row r="32" spans="1:23">
      <c r="A32" s="825"/>
      <c r="B32" s="1" t="s">
        <v>29</v>
      </c>
      <c r="C32" s="43">
        <f>'Bilan enerdata_2015'!E23*0.64+'Bilan enerdata_2015'!E24</f>
        <v>1.9937550478726846</v>
      </c>
      <c r="D32" s="845"/>
      <c r="E32" s="43">
        <f>C32*0.2+'Bilan enerdata_2015'!J29</f>
        <v>0.45507958142226484</v>
      </c>
      <c r="F32" s="826"/>
      <c r="G32" s="41">
        <f>C32-E32</f>
        <v>1.5386754664504199</v>
      </c>
      <c r="H32" s="826"/>
      <c r="I32" s="1"/>
      <c r="J32" s="800"/>
      <c r="K32" s="801"/>
      <c r="L32" s="303"/>
      <c r="M32" s="801"/>
      <c r="N32" s="298"/>
      <c r="O32" s="306"/>
      <c r="P32" s="808"/>
      <c r="R32" s="152"/>
      <c r="S32" s="153"/>
      <c r="T32" s="153"/>
      <c r="U32" s="153"/>
      <c r="V32" s="154"/>
      <c r="W32" s="153"/>
    </row>
    <row r="33" spans="1:23">
      <c r="A33" s="296"/>
      <c r="B33" s="273" t="s">
        <v>27</v>
      </c>
      <c r="C33" s="34">
        <f>'Bilan enerdata_2015'!D24+'Bilan enerdata_2015'!D23*0.64</f>
        <v>0.22359999999999999</v>
      </c>
      <c r="D33" s="845"/>
      <c r="E33" s="43">
        <f t="shared" ref="E33:E34" si="4">C33*0.2</f>
        <v>4.4720000000000003E-2</v>
      </c>
      <c r="F33" s="297"/>
      <c r="G33" s="41">
        <f t="shared" ref="G33:G34" si="5">C33-E33</f>
        <v>0.17887999999999998</v>
      </c>
      <c r="H33" s="297"/>
      <c r="I33" s="1"/>
      <c r="J33" s="307"/>
      <c r="K33" s="297"/>
      <c r="L33" s="297"/>
      <c r="M33" s="297"/>
      <c r="N33" s="297"/>
      <c r="O33" s="297"/>
      <c r="P33" s="297"/>
      <c r="R33" s="307"/>
      <c r="S33" s="297"/>
      <c r="T33" s="297"/>
      <c r="U33" s="297"/>
      <c r="V33" s="297"/>
      <c r="W33" s="297"/>
    </row>
    <row r="34" spans="1:23">
      <c r="A34" s="296"/>
      <c r="B34" s="273" t="s">
        <v>28</v>
      </c>
      <c r="C34" s="34">
        <f>'Bilan enerdata_2015'!B24+0.64*'Bilan enerdata_2015'!B23</f>
        <v>0.29507909306964736</v>
      </c>
      <c r="D34" s="845"/>
      <c r="E34" s="43">
        <f t="shared" si="4"/>
        <v>5.9015818613929474E-2</v>
      </c>
      <c r="F34" s="297"/>
      <c r="G34" s="41">
        <f t="shared" si="5"/>
        <v>0.2360632744557179</v>
      </c>
      <c r="H34" s="297"/>
      <c r="I34" s="1"/>
      <c r="J34" s="307"/>
      <c r="K34" s="297"/>
      <c r="L34" s="297"/>
      <c r="M34" s="297"/>
      <c r="N34" s="297"/>
      <c r="O34" s="297"/>
      <c r="P34" s="297"/>
      <c r="R34" s="307"/>
      <c r="S34" s="297"/>
      <c r="T34" s="297"/>
      <c r="U34" s="297"/>
      <c r="V34" s="297"/>
      <c r="W34" s="297"/>
    </row>
    <row r="35" spans="1:23">
      <c r="A35" s="4"/>
      <c r="B35" s="1"/>
      <c r="C35" s="22"/>
      <c r="D35" s="37"/>
      <c r="E35" s="1"/>
      <c r="F35" s="1"/>
      <c r="G35" s="44"/>
      <c r="H35" s="45">
        <f>-'Bilan enerdata_2015'!J23-'Bilan enerdata_2015'!J24</f>
        <v>3.8249712484952703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834" t="s">
        <v>34</v>
      </c>
      <c r="B36" s="1" t="s">
        <v>21</v>
      </c>
      <c r="C36" s="22">
        <v>0</v>
      </c>
      <c r="D36" s="834">
        <f>SUM(C36:C46)</f>
        <v>83.648001002078502</v>
      </c>
      <c r="E36" s="302"/>
      <c r="F36" s="839"/>
      <c r="G36" s="17">
        <f t="shared" ref="G36:G40" si="6">C36</f>
        <v>0</v>
      </c>
      <c r="H36" s="834">
        <f>SUM(G36:G46)</f>
        <v>81.799983518558861</v>
      </c>
      <c r="I36" s="301"/>
      <c r="J36" s="304"/>
      <c r="K36" s="301"/>
      <c r="L36" s="301"/>
      <c r="M36" s="301"/>
      <c r="N36" s="301"/>
      <c r="O36" s="301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834"/>
      <c r="B37" s="1" t="s">
        <v>23</v>
      </c>
      <c r="C37" s="280">
        <f>'Bilan enerdata_2015'!H18-C38-C39-C12-C14-C27-C30-C41+E37-'Bilan enerdata_2015'!H25-C44-C40-C31-C29-C13+0.6-8</f>
        <v>2.1426400506471488</v>
      </c>
      <c r="D37" s="834"/>
      <c r="E37" s="286">
        <f>'Bilan enerdata_2015'!H29</f>
        <v>5.1017483519633103E-2</v>
      </c>
      <c r="F37" s="839"/>
      <c r="G37" s="17">
        <f>C37-E37</f>
        <v>2.0916225671275157</v>
      </c>
      <c r="H37" s="834"/>
      <c r="J37" s="304"/>
      <c r="K37" s="301"/>
      <c r="L37" s="301"/>
      <c r="M37" s="50"/>
      <c r="N37" s="301"/>
      <c r="O37" s="301"/>
      <c r="P37" s="51">
        <f>SUM(G36:G41)</f>
        <v>6.193155580684337</v>
      </c>
      <c r="R37" s="299"/>
      <c r="S37" s="251">
        <f>'Bilan enerdata_2015'!H37</f>
        <v>0.15947740517817899</v>
      </c>
      <c r="T37" s="251">
        <f>'Bilan enerdata_2015'!H33</f>
        <v>1.36555364478838</v>
      </c>
      <c r="U37" s="251">
        <f>'Bilan enerdata_2015'!H35-'Bilan 2015'!U38-'Bilan 2015'!U39-2.6</f>
        <v>5.7855655010651166</v>
      </c>
      <c r="V37" s="254">
        <f>'Bilan enerdata_2015'!H36-'Bilan 2015'!V39-V38</f>
        <v>0.19611511847279733</v>
      </c>
      <c r="W37" s="135">
        <f>E37</f>
        <v>5.1017483519633103E-2</v>
      </c>
    </row>
    <row r="38" spans="1:23">
      <c r="A38" s="834"/>
      <c r="B38" s="1" t="s">
        <v>33</v>
      </c>
      <c r="C38" s="41">
        <f>SUM(S38:W38)</f>
        <v>0.1797707497426595</v>
      </c>
      <c r="D38" s="834"/>
      <c r="E38" s="302"/>
      <c r="F38" s="839"/>
      <c r="G38" s="17">
        <f t="shared" si="6"/>
        <v>0.1797707497426595</v>
      </c>
      <c r="H38" s="834"/>
      <c r="I38" s="301"/>
      <c r="J38" s="304"/>
      <c r="K38" s="301"/>
      <c r="L38" s="301"/>
      <c r="M38" s="304"/>
      <c r="N38" s="301"/>
      <c r="O38" s="301"/>
      <c r="P38" s="53"/>
      <c r="R38" s="299"/>
      <c r="S38" s="136">
        <v>0</v>
      </c>
      <c r="T38" s="134">
        <v>0</v>
      </c>
      <c r="U38" s="135">
        <f>'Modèle résidentiel hch_2015'!B8/11.63</f>
        <v>9.0670749742659484E-2</v>
      </c>
      <c r="V38" s="158">
        <f>'Format demande MedPro_2015'!C226</f>
        <v>8.9099999999999999E-2</v>
      </c>
      <c r="W38" s="155">
        <v>0</v>
      </c>
    </row>
    <row r="39" spans="1:23">
      <c r="A39" s="834"/>
      <c r="B39" s="1" t="s">
        <v>35</v>
      </c>
      <c r="C39" s="41">
        <f>SUM(S39:W39)-C40</f>
        <v>7.3606842012311602E-2</v>
      </c>
      <c r="D39" s="834"/>
      <c r="E39" s="302"/>
      <c r="F39" s="839"/>
      <c r="G39" s="17">
        <f t="shared" si="6"/>
        <v>7.3606842012311602E-2</v>
      </c>
      <c r="H39" s="834"/>
      <c r="I39" s="301"/>
      <c r="J39" s="304"/>
      <c r="K39" s="301"/>
      <c r="L39" s="301"/>
      <c r="M39" s="304"/>
      <c r="N39" s="301"/>
      <c r="O39" s="301"/>
      <c r="P39" s="53"/>
      <c r="R39" s="299"/>
      <c r="S39" s="255">
        <f>'Format demande MedPro_2015'!C360</f>
        <v>0</v>
      </c>
      <c r="T39" s="134">
        <v>0</v>
      </c>
      <c r="U39" s="252">
        <f>'Modèle résidentiel ch_2015'!J9/11.63+'Modèle résidentiel hch_2015'!B9/11.63*2/3</f>
        <v>0.36223952016398392</v>
      </c>
      <c r="V39" s="271">
        <f>('Modèle tertiaire_2015'!J3+'Modèle tertiaire_2015'!J4)/11.63+'Corrections Bilan enerdata'!H21*('Modèle tertiaire_2015'!J3+'Modèle tertiaire_2015'!J4)/('Modèle tertiaire_2015'!J3+'Modèle tertiaire_2015'!J4+'Modèle tertiaire_2015'!F3+'Modèle tertiaire_2015'!F4+'Modèle tertiaire_2015'!I3+'Modèle tertiaire_2015'!I4)</f>
        <v>0.61136732184832765</v>
      </c>
      <c r="W39" s="155">
        <v>0</v>
      </c>
    </row>
    <row r="40" spans="1:23">
      <c r="A40" s="834"/>
      <c r="B40" s="1" t="s">
        <v>36</v>
      </c>
      <c r="C40" s="41">
        <v>0.9</v>
      </c>
      <c r="D40" s="834"/>
      <c r="E40" s="302"/>
      <c r="F40" s="839"/>
      <c r="G40" s="17">
        <f t="shared" si="6"/>
        <v>0.9</v>
      </c>
      <c r="H40" s="834"/>
      <c r="I40" s="301"/>
      <c r="J40" s="304"/>
      <c r="K40" s="301"/>
      <c r="L40" s="301"/>
      <c r="M40" s="301"/>
      <c r="N40" s="301"/>
      <c r="O40" s="301"/>
      <c r="P40" s="53"/>
      <c r="R40" s="299"/>
      <c r="S40" s="255"/>
      <c r="T40" s="134"/>
      <c r="U40" s="255"/>
      <c r="V40" s="271"/>
      <c r="W40" s="133">
        <v>0</v>
      </c>
    </row>
    <row r="41" spans="1:23">
      <c r="A41" s="834"/>
      <c r="B41" s="1" t="s">
        <v>37</v>
      </c>
      <c r="C41" s="41">
        <f>SUM(S41:W41)</f>
        <v>2.9481554218018502</v>
      </c>
      <c r="D41" s="834"/>
      <c r="E41" s="54"/>
      <c r="F41" s="839"/>
      <c r="G41" s="17">
        <f>C41</f>
        <v>2.9481554218018502</v>
      </c>
      <c r="H41" s="834"/>
      <c r="I41" s="301"/>
      <c r="J41" s="304"/>
      <c r="K41" s="301"/>
      <c r="L41" s="301"/>
      <c r="M41" s="301"/>
      <c r="N41" s="301"/>
      <c r="O41" s="301"/>
      <c r="P41" s="51">
        <f>G42</f>
        <v>39.807000000000002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enerdata_2015'!H34</f>
        <v>2.9481554218018502</v>
      </c>
    </row>
    <row r="42" spans="1:23">
      <c r="A42" s="834"/>
      <c r="B42" s="1" t="s">
        <v>38</v>
      </c>
      <c r="C42" s="41">
        <f>W42+E42</f>
        <v>41.603999999999999</v>
      </c>
      <c r="D42" s="834"/>
      <c r="E42" s="287">
        <f>'Bilan enerdata_2015'!D29</f>
        <v>1.7969999999999999</v>
      </c>
      <c r="F42" s="839"/>
      <c r="G42" s="17">
        <f>C42-E42</f>
        <v>39.807000000000002</v>
      </c>
      <c r="H42" s="834"/>
      <c r="J42" s="304"/>
      <c r="K42" s="301"/>
      <c r="L42" s="301"/>
      <c r="M42" s="301"/>
      <c r="N42" s="301"/>
      <c r="O42" s="301"/>
      <c r="P42" s="53"/>
      <c r="R42" s="299">
        <f>SUM(S36:W46)</f>
        <v>68.015993255871152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enerdata_2015'!D34</f>
        <v>39.807000000000002</v>
      </c>
    </row>
    <row r="43" spans="1:23">
      <c r="A43" s="834"/>
      <c r="B43" s="1" t="s">
        <v>39</v>
      </c>
      <c r="C43" s="41">
        <f>SUM(S43:W43)+E53</f>
        <v>29.079370516172602</v>
      </c>
      <c r="D43" s="834"/>
      <c r="E43" s="54"/>
      <c r="F43" s="839"/>
      <c r="G43" s="17">
        <f>C43</f>
        <v>29.079370516172602</v>
      </c>
      <c r="H43" s="834"/>
      <c r="I43" s="301"/>
      <c r="J43" s="304"/>
      <c r="K43" s="301"/>
      <c r="L43" s="301"/>
      <c r="M43" s="301"/>
      <c r="N43" s="301"/>
      <c r="O43" s="301"/>
      <c r="P43" s="51">
        <f>G43-E53</f>
        <v>15.418370516172603</v>
      </c>
      <c r="R43" s="299"/>
      <c r="S43" s="134">
        <f>'Bilan enerdata_2015'!D37</f>
        <v>3.371</v>
      </c>
      <c r="T43" s="134">
        <f>'Bilan enerdata_2015'!D33</f>
        <v>2.3566094604778201</v>
      </c>
      <c r="U43" s="134">
        <f>'Bilan enerdata_2015'!D35</f>
        <v>6.6752954110546101</v>
      </c>
      <c r="V43" s="134">
        <f>'Bilan enerdata_2015'!D36</f>
        <v>3.01546564464017</v>
      </c>
      <c r="W43" s="134">
        <v>0</v>
      </c>
    </row>
    <row r="44" spans="1:23">
      <c r="A44" s="834"/>
      <c r="B44" s="1" t="s">
        <v>40</v>
      </c>
      <c r="C44" s="280">
        <v>0</v>
      </c>
      <c r="D44" s="834"/>
      <c r="E44" s="54"/>
      <c r="F44" s="839"/>
      <c r="G44" s="17">
        <f t="shared" si="0"/>
        <v>0</v>
      </c>
      <c r="H44" s="834"/>
      <c r="I44" s="301"/>
      <c r="J44" s="304"/>
      <c r="K44" s="301"/>
      <c r="L44" s="301"/>
      <c r="M44" s="301"/>
      <c r="N44" s="301"/>
      <c r="O44" s="301"/>
      <c r="P44" s="53"/>
      <c r="R44" s="299"/>
      <c r="S44" s="250"/>
      <c r="T44" s="250"/>
      <c r="U44" s="250"/>
      <c r="V44" s="250"/>
      <c r="W44" s="134">
        <v>0</v>
      </c>
    </row>
    <row r="45" spans="1:23">
      <c r="A45" s="834"/>
      <c r="B45" s="1" t="s">
        <v>41</v>
      </c>
      <c r="C45" s="41">
        <f>E52</f>
        <v>1.1015862413247299</v>
      </c>
      <c r="D45" s="834"/>
      <c r="E45" s="54"/>
      <c r="F45" s="839"/>
      <c r="G45" s="17">
        <f t="shared" si="0"/>
        <v>1.1015862413247299</v>
      </c>
      <c r="H45" s="834"/>
      <c r="I45" s="301"/>
      <c r="J45" s="304"/>
      <c r="K45" s="301"/>
      <c r="L45" s="301"/>
      <c r="M45" s="301"/>
      <c r="N45" s="301"/>
      <c r="O45" s="301"/>
      <c r="P45" s="53"/>
      <c r="R45" s="299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834"/>
      <c r="B46" s="1" t="s">
        <v>42</v>
      </c>
      <c r="C46" s="41">
        <f>'Bilan enerdata_2015'!B18-C34-C18</f>
        <v>5.6188711803771962</v>
      </c>
      <c r="D46" s="834"/>
      <c r="E46" s="287"/>
      <c r="F46" s="839"/>
      <c r="G46" s="17">
        <f>C46-E46</f>
        <v>5.6188711803771962</v>
      </c>
      <c r="H46" s="834"/>
      <c r="J46" s="304"/>
      <c r="K46" s="301"/>
      <c r="L46" s="301"/>
      <c r="M46" s="301"/>
      <c r="N46" s="301"/>
      <c r="O46" s="301"/>
      <c r="P46" s="56">
        <f>G46-E51</f>
        <v>1.367053569012338</v>
      </c>
      <c r="R46" s="305"/>
      <c r="S46" s="161">
        <f>'Bilan enerdata_2015'!B37</f>
        <v>2.2137192704974398E-3</v>
      </c>
      <c r="T46" s="162">
        <f>'Bilan enerdata_2015'!B33</f>
        <v>1.0493092649428299</v>
      </c>
      <c r="U46" s="163">
        <f>'Bilan enerdata_2015'!B35</f>
        <v>3.6764196608413298E-2</v>
      </c>
      <c r="V46" s="164">
        <f>'Bilan enerdata_2015'!B36</f>
        <v>4.3073392295861899E-2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enerdata_2015'!B28+'Bilan enerdata_2015'!B39+'Bilan enerdata_2015'!B29</f>
        <v>4.2518176113648583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7">
        <f>SUM(E51:E53)</f>
        <v>19.01440385268959</v>
      </c>
      <c r="R51" s="41">
        <f>SUM(E51:E53)</f>
        <v>19.01440385268959</v>
      </c>
    </row>
    <row r="52" spans="1:18">
      <c r="A52" s="22"/>
      <c r="B52" s="1" t="s">
        <v>41</v>
      </c>
      <c r="C52" s="69"/>
      <c r="D52" s="17"/>
      <c r="E52" s="70">
        <f>'Bilan enerdata_2015'!E39</f>
        <v>1.1015862413247299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enerdata_2015'!D28+'Bilan enerdata_2015'!D39</f>
        <v>13.661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26:P32"/>
    <mergeCell ref="A36:A46"/>
    <mergeCell ref="D36:D46"/>
    <mergeCell ref="F36:F46"/>
    <mergeCell ref="H36:H46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D26:D3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W53"/>
  <sheetViews>
    <sheetView zoomScaleNormal="100" workbookViewId="0">
      <pane xSplit="2" ySplit="4" topLeftCell="E32" activePane="bottomRight" state="frozen"/>
      <selection pane="topRight" activeCell="C1" sqref="C1"/>
      <selection pane="bottomLeft" activeCell="A5" sqref="A5"/>
      <selection pane="bottomRight" activeCell="F21" sqref="F21:F24"/>
    </sheetView>
  </sheetViews>
  <sheetFormatPr baseColWidth="10" defaultColWidth="11.453125" defaultRowHeight="14.5"/>
  <cols>
    <col min="1" max="1" width="11.453125" style="256"/>
    <col min="2" max="2" width="25.81640625" style="256" customWidth="1"/>
    <col min="3" max="17" width="11.453125" style="256"/>
    <col min="18" max="23" width="11.453125" style="22"/>
    <col min="24" max="16384" width="11.453125" style="256"/>
  </cols>
  <sheetData>
    <row r="1" spans="1:23">
      <c r="A1" s="1"/>
      <c r="B1" s="1"/>
      <c r="C1" s="811" t="s">
        <v>0</v>
      </c>
      <c r="D1" s="811"/>
      <c r="E1" s="811"/>
      <c r="F1" s="811"/>
      <c r="G1" s="811"/>
      <c r="H1" s="811"/>
      <c r="I1" s="2"/>
      <c r="J1" s="812" t="s">
        <v>1</v>
      </c>
      <c r="K1" s="812"/>
      <c r="L1" s="812"/>
      <c r="M1" s="812"/>
      <c r="N1" s="812"/>
      <c r="O1" s="812"/>
      <c r="P1" s="812"/>
    </row>
    <row r="2" spans="1:23">
      <c r="A2" s="1"/>
      <c r="B2" s="1"/>
      <c r="C2" s="814" t="s">
        <v>2</v>
      </c>
      <c r="D2" s="783"/>
      <c r="E2" s="784" t="s">
        <v>3</v>
      </c>
      <c r="F2" s="815"/>
      <c r="G2" s="815"/>
      <c r="H2" s="815"/>
      <c r="I2" s="3"/>
      <c r="J2" s="786" t="s">
        <v>4</v>
      </c>
      <c r="K2" s="787" t="s">
        <v>5</v>
      </c>
      <c r="L2" s="816"/>
      <c r="M2" s="816"/>
      <c r="N2" s="816"/>
      <c r="O2" s="816"/>
      <c r="P2" s="786"/>
      <c r="R2" s="108"/>
      <c r="S2" s="109"/>
      <c r="T2" s="108"/>
      <c r="U2" s="110" t="s">
        <v>90</v>
      </c>
      <c r="V2" s="109"/>
      <c r="W2" s="111"/>
    </row>
    <row r="3" spans="1:23" ht="52">
      <c r="A3" s="4"/>
      <c r="B3" s="4"/>
      <c r="C3" s="5"/>
      <c r="D3" s="5"/>
      <c r="E3" s="6" t="s">
        <v>6</v>
      </c>
      <c r="F3" s="7"/>
      <c r="G3" s="789" t="s">
        <v>7</v>
      </c>
      <c r="H3" s="842"/>
      <c r="I3" s="8" t="s">
        <v>75</v>
      </c>
      <c r="J3" s="786"/>
      <c r="K3" s="787"/>
      <c r="L3" s="816"/>
      <c r="M3" s="816"/>
      <c r="N3" s="816"/>
      <c r="O3" s="816"/>
      <c r="P3" s="786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786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240.7439974715553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126.54148641715551</v>
      </c>
      <c r="R5" s="117">
        <f>SUM(R13,R23,R26:R32,R42)</f>
        <v>126.59804214440811</v>
      </c>
      <c r="S5" s="117">
        <f>SUM(S7:S46)</f>
        <v>4.2670698350682335</v>
      </c>
      <c r="T5" s="117">
        <f>SUM(T7:T46)</f>
        <v>26.753595747332739</v>
      </c>
      <c r="U5" s="117">
        <f>SUM(U7:U46)</f>
        <v>29.532607827764888</v>
      </c>
      <c r="V5" s="253">
        <f>SUM(V7:V46)</f>
        <v>23.606668450977025</v>
      </c>
      <c r="W5" s="117">
        <f>SUM(W7:W46)</f>
        <v>42.438100283265221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821" t="s">
        <v>15</v>
      </c>
      <c r="B7" s="1" t="s">
        <v>17</v>
      </c>
      <c r="C7" s="17">
        <f>'Mix énergie_2025'!I14*'Mix énergie_2025'!L14/11.63</f>
        <v>5.5889939810834042</v>
      </c>
      <c r="D7" s="843">
        <f>SUM(C7:C19)</f>
        <v>130.72555524911175</v>
      </c>
      <c r="E7" s="30"/>
      <c r="F7" s="823">
        <f>SUM(E7:E19)</f>
        <v>79.214635214717958</v>
      </c>
      <c r="G7" s="17">
        <f>C7-E7</f>
        <v>5.5889939810834042</v>
      </c>
      <c r="H7" s="823">
        <f>SUM(G7:G19)</f>
        <v>51.510920034393806</v>
      </c>
      <c r="I7" s="22"/>
      <c r="J7" s="843">
        <f>H7-I13</f>
        <v>48.677615362568076</v>
      </c>
      <c r="K7" s="31"/>
      <c r="L7" s="31"/>
      <c r="M7" s="31"/>
      <c r="N7" s="32"/>
      <c r="O7" s="33"/>
      <c r="P7" s="841">
        <f>J7-K12-L12-M12</f>
        <v>39.620190499440156</v>
      </c>
      <c r="R7" s="119"/>
      <c r="S7" s="120"/>
      <c r="T7" s="121"/>
      <c r="U7" s="122"/>
      <c r="V7" s="121"/>
      <c r="W7" s="122"/>
    </row>
    <row r="8" spans="1:23">
      <c r="A8" s="821"/>
      <c r="B8" s="1" t="s">
        <v>18</v>
      </c>
      <c r="C8" s="17">
        <f>'Mix énergie_2025'!H14*'Mix énergie_2025'!L14/11.63</f>
        <v>5.2450558899398105</v>
      </c>
      <c r="D8" s="843"/>
      <c r="E8" s="30">
        <f>C8-G8</f>
        <v>0</v>
      </c>
      <c r="F8" s="823"/>
      <c r="G8" s="17">
        <f>C8</f>
        <v>5.2450558899398105</v>
      </c>
      <c r="H8" s="823"/>
      <c r="I8" s="22"/>
      <c r="J8" s="843"/>
      <c r="K8" s="31"/>
      <c r="L8" s="31"/>
      <c r="M8" s="31"/>
      <c r="N8" s="32"/>
      <c r="O8" s="33"/>
      <c r="P8" s="841"/>
      <c r="R8" s="123"/>
      <c r="S8" s="124"/>
      <c r="T8" s="125"/>
      <c r="U8" s="126"/>
      <c r="V8" s="125"/>
      <c r="W8" s="126"/>
    </row>
    <row r="9" spans="1:23">
      <c r="A9" s="821"/>
      <c r="B9" s="1" t="s">
        <v>19</v>
      </c>
      <c r="C9" s="17">
        <f>'Mix énergie_2025'!J14*'Mix énergie_2025'!L14/11.63</f>
        <v>2.2355975924333618</v>
      </c>
      <c r="D9" s="843"/>
      <c r="E9" s="30"/>
      <c r="F9" s="823"/>
      <c r="G9" s="17">
        <f t="shared" ref="G9:G45" si="0">C9-E9</f>
        <v>2.2355975924333618</v>
      </c>
      <c r="H9" s="823"/>
      <c r="I9" s="22"/>
      <c r="J9" s="843"/>
      <c r="K9" s="31"/>
      <c r="L9" s="31"/>
      <c r="M9" s="31"/>
      <c r="N9" s="32"/>
      <c r="O9" s="33"/>
      <c r="P9" s="841"/>
      <c r="R9" s="123"/>
      <c r="S9" s="124"/>
      <c r="T9" s="125"/>
      <c r="U9" s="126"/>
      <c r="V9" s="125"/>
      <c r="W9" s="126"/>
    </row>
    <row r="10" spans="1:23">
      <c r="A10" s="821"/>
      <c r="B10" s="1" t="s">
        <v>20</v>
      </c>
      <c r="C10" s="17">
        <f>'Bilan enerdata_2025'!F12</f>
        <v>107.5</v>
      </c>
      <c r="D10" s="843"/>
      <c r="E10" s="281">
        <f>C10*(1-0.32)</f>
        <v>73.099999999999994</v>
      </c>
      <c r="F10" s="823"/>
      <c r="G10" s="30">
        <f>C10-E10</f>
        <v>34.400000000000006</v>
      </c>
      <c r="H10" s="823"/>
      <c r="I10" s="22"/>
      <c r="J10" s="843"/>
      <c r="K10" s="31"/>
      <c r="L10" s="31"/>
      <c r="M10" s="31"/>
      <c r="N10" s="32"/>
      <c r="O10" s="33"/>
      <c r="P10" s="841"/>
      <c r="R10" s="123"/>
      <c r="S10" s="124"/>
      <c r="T10" s="125"/>
      <c r="U10" s="126"/>
      <c r="V10" s="125"/>
      <c r="W10" s="126"/>
    </row>
    <row r="11" spans="1:23">
      <c r="A11" s="821"/>
      <c r="B11" s="1" t="s">
        <v>21</v>
      </c>
      <c r="C11" s="17">
        <f>'Mix énergie_2025'!F14*'Mix énergie_2025'!L14/11.63</f>
        <v>0</v>
      </c>
      <c r="D11" s="843"/>
      <c r="E11" s="30"/>
      <c r="F11" s="823"/>
      <c r="G11" s="17">
        <f>C11-E11</f>
        <v>0</v>
      </c>
      <c r="H11" s="823"/>
      <c r="I11" s="22"/>
      <c r="J11" s="843"/>
      <c r="K11" s="31"/>
      <c r="L11" s="31"/>
      <c r="M11" s="31"/>
      <c r="N11" s="32"/>
      <c r="O11" s="33"/>
      <c r="P11" s="841"/>
      <c r="R11" s="123"/>
      <c r="S11" s="124"/>
      <c r="T11" s="125"/>
      <c r="U11" s="126"/>
      <c r="V11" s="125"/>
      <c r="W11" s="126"/>
    </row>
    <row r="12" spans="1:23">
      <c r="A12" s="821"/>
      <c r="B12" s="1" t="s">
        <v>22</v>
      </c>
      <c r="C12" s="274">
        <f>'Bilan enerdata_2025'!H22+'Bilan enerdata_2025'!H23*0.36-C13</f>
        <v>2.7393809114359415</v>
      </c>
      <c r="D12" s="843"/>
      <c r="E12" s="30">
        <f>C12-G12</f>
        <v>1.7805975924333621</v>
      </c>
      <c r="F12" s="823"/>
      <c r="G12" s="17">
        <f>0.35*C12</f>
        <v>0.95878331900257951</v>
      </c>
      <c r="H12" s="823"/>
      <c r="I12" s="22"/>
      <c r="J12" s="843"/>
      <c r="K12" s="31">
        <f>'Bilan enerdata_2025'!I30</f>
        <v>3.3174308475929899</v>
      </c>
      <c r="L12" s="31">
        <f>-('Bilan enerdata_2025'!I14+'Bilan enerdata_2025'!I13)</f>
        <v>5.7399940155349327</v>
      </c>
      <c r="M12" s="31">
        <v>0</v>
      </c>
      <c r="N12" s="32">
        <v>0</v>
      </c>
      <c r="O12" s="33">
        <v>0</v>
      </c>
      <c r="P12" s="841"/>
      <c r="R12" s="123"/>
      <c r="S12" s="124"/>
      <c r="T12" s="125"/>
      <c r="U12" s="126"/>
      <c r="V12" s="125"/>
      <c r="W12" s="126"/>
    </row>
    <row r="13" spans="1:23">
      <c r="A13" s="821"/>
      <c r="B13" s="1" t="s">
        <v>23</v>
      </c>
      <c r="C13" s="272">
        <v>0.7</v>
      </c>
      <c r="D13" s="843"/>
      <c r="E13" s="30">
        <f>C13-G13</f>
        <v>0.45499999999999996</v>
      </c>
      <c r="F13" s="823"/>
      <c r="G13" s="17">
        <f>0.35*C13</f>
        <v>0.24499999999999997</v>
      </c>
      <c r="H13" s="823"/>
      <c r="I13" s="282">
        <f>'Bilan enerdata_2025'!I29+'Bilan enerdata_2025'!H29</f>
        <v>2.8333046718257329</v>
      </c>
      <c r="J13" s="843"/>
      <c r="K13" s="31"/>
      <c r="L13" s="31"/>
      <c r="M13" s="31"/>
      <c r="N13" s="32"/>
      <c r="O13" s="33"/>
      <c r="P13" s="841"/>
      <c r="R13" s="123">
        <f>SUM(S7:W19)</f>
        <v>39.665017097319208</v>
      </c>
      <c r="S13" s="127">
        <f>'Bilan enerdata_2025'!I37</f>
        <v>0.70182045060013498</v>
      </c>
      <c r="T13" s="125">
        <f>'Bilan enerdata_2025'!I33</f>
        <v>10.545152160228</v>
      </c>
      <c r="U13" s="125">
        <f>'Bilan enerdata_2025'!I35</f>
        <v>13.166367058142599</v>
      </c>
      <c r="V13" s="125">
        <f>'Bilan enerdata_2025'!I36</f>
        <v>13.7787654764998</v>
      </c>
      <c r="W13" s="125">
        <f>'Bilan enerdata_2025'!I34</f>
        <v>1.47291195184867</v>
      </c>
    </row>
    <row r="14" spans="1:23">
      <c r="A14" s="821"/>
      <c r="B14" s="1" t="s">
        <v>24</v>
      </c>
      <c r="C14" s="17">
        <v>0</v>
      </c>
      <c r="D14" s="843"/>
      <c r="E14" s="30"/>
      <c r="F14" s="823"/>
      <c r="G14" s="17"/>
      <c r="H14" s="823"/>
      <c r="I14" s="22"/>
      <c r="J14" s="843"/>
      <c r="K14" s="31"/>
      <c r="L14" s="31"/>
      <c r="M14" s="31"/>
      <c r="N14" s="32"/>
      <c r="O14" s="33"/>
      <c r="P14" s="841"/>
      <c r="R14" s="123"/>
      <c r="S14" s="124"/>
      <c r="T14" s="125"/>
      <c r="U14" s="126"/>
      <c r="V14" s="125"/>
      <c r="W14" s="126"/>
    </row>
    <row r="15" spans="1:23">
      <c r="A15" s="821"/>
      <c r="B15" s="1" t="s">
        <v>25</v>
      </c>
      <c r="C15" s="17">
        <v>0</v>
      </c>
      <c r="D15" s="843"/>
      <c r="E15" s="30"/>
      <c r="F15" s="823"/>
      <c r="G15" s="17"/>
      <c r="H15" s="823"/>
      <c r="I15" s="22"/>
      <c r="J15" s="843"/>
      <c r="K15" s="31"/>
      <c r="L15" s="31"/>
      <c r="M15" s="31"/>
      <c r="N15" s="32"/>
      <c r="O15" s="33"/>
      <c r="P15" s="841"/>
      <c r="R15" s="123"/>
      <c r="S15" s="124"/>
      <c r="T15" s="125"/>
      <c r="U15" s="126"/>
      <c r="V15" s="125"/>
      <c r="W15" s="126"/>
    </row>
    <row r="16" spans="1:23">
      <c r="A16" s="821"/>
      <c r="B16" s="1" t="s">
        <v>26</v>
      </c>
      <c r="C16" s="17">
        <v>0</v>
      </c>
      <c r="D16" s="843"/>
      <c r="E16" s="30"/>
      <c r="F16" s="823"/>
      <c r="G16" s="17"/>
      <c r="H16" s="823"/>
      <c r="I16" s="22"/>
      <c r="J16" s="843"/>
      <c r="K16" s="31"/>
      <c r="L16" s="31"/>
      <c r="M16" s="31"/>
      <c r="N16" s="32"/>
      <c r="O16" s="33"/>
      <c r="P16" s="841"/>
      <c r="R16" s="123"/>
      <c r="S16" s="124"/>
      <c r="T16" s="125"/>
      <c r="U16" s="126"/>
      <c r="V16" s="125"/>
      <c r="W16" s="126"/>
    </row>
    <row r="17" spans="1:23">
      <c r="A17" s="821"/>
      <c r="B17" s="1" t="s">
        <v>27</v>
      </c>
      <c r="C17" s="17">
        <f>'Bilan enerdata_2025'!D22+0.36*'Bilan enerdata_2025'!D23</f>
        <v>0</v>
      </c>
      <c r="D17" s="843"/>
      <c r="E17" s="30">
        <f t="shared" ref="E17:E18" si="1">C17-G17</f>
        <v>0</v>
      </c>
      <c r="F17" s="823"/>
      <c r="G17" s="17">
        <f>0.4*C17</f>
        <v>0</v>
      </c>
      <c r="H17" s="823"/>
      <c r="I17" s="22"/>
      <c r="J17" s="843"/>
      <c r="K17" s="31"/>
      <c r="L17" s="31"/>
      <c r="M17" s="31"/>
      <c r="N17" s="32"/>
      <c r="O17" s="33"/>
      <c r="P17" s="841"/>
      <c r="R17" s="123"/>
      <c r="S17" s="124"/>
      <c r="T17" s="125"/>
      <c r="U17" s="126"/>
      <c r="V17" s="125"/>
      <c r="W17" s="126"/>
    </row>
    <row r="18" spans="1:23">
      <c r="A18" s="821"/>
      <c r="B18" s="1" t="s">
        <v>28</v>
      </c>
      <c r="C18" s="17">
        <f>'Bilan enerdata_2025'!B22+0.36*'Bilan enerdata_2025'!B23</f>
        <v>2.5795356835769558</v>
      </c>
      <c r="D18" s="843"/>
      <c r="E18" s="30">
        <f t="shared" si="1"/>
        <v>1.9346517626827169</v>
      </c>
      <c r="F18" s="823"/>
      <c r="G18" s="17">
        <f>0.25*C18</f>
        <v>0.64488392089423896</v>
      </c>
      <c r="H18" s="823"/>
      <c r="I18" s="22"/>
      <c r="J18" s="843"/>
      <c r="K18" s="31"/>
      <c r="L18" s="31"/>
      <c r="M18" s="31"/>
      <c r="N18" s="32"/>
      <c r="O18" s="33"/>
      <c r="P18" s="841"/>
      <c r="R18" s="123"/>
      <c r="S18" s="124"/>
      <c r="T18" s="125"/>
      <c r="U18" s="126"/>
      <c r="V18" s="125"/>
      <c r="W18" s="126"/>
    </row>
    <row r="19" spans="1:23">
      <c r="A19" s="821"/>
      <c r="B19" s="273" t="s">
        <v>262</v>
      </c>
      <c r="C19" s="17">
        <f>'Bilan enerdata_2025'!E22+0.36*'Bilan enerdata_2025'!E23</f>
        <v>4.1369911906422878</v>
      </c>
      <c r="D19" s="843"/>
      <c r="E19" s="30">
        <f>C19-G19</f>
        <v>1.944385859601875</v>
      </c>
      <c r="F19" s="823"/>
      <c r="G19" s="17">
        <f>0.53*C19</f>
        <v>2.1926053310404128</v>
      </c>
      <c r="H19" s="823"/>
      <c r="I19" s="22"/>
      <c r="J19" s="843"/>
      <c r="K19" s="31"/>
      <c r="L19" s="31"/>
      <c r="M19" s="31"/>
      <c r="N19" s="32"/>
      <c r="O19" s="33"/>
      <c r="P19" s="841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enerdata_2025'!I22</f>
        <v>51.504729148753221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829" t="s">
        <v>13</v>
      </c>
      <c r="B21" s="1" t="s">
        <v>21</v>
      </c>
      <c r="C21" s="17">
        <f>-'Bilan enerdata_2025'!E25</f>
        <v>0</v>
      </c>
      <c r="D21" s="830">
        <f>SUM(C21:C24)</f>
        <v>34.166763149217211</v>
      </c>
      <c r="E21" s="22"/>
      <c r="F21" s="805"/>
      <c r="G21" s="17">
        <f t="shared" si="0"/>
        <v>0</v>
      </c>
      <c r="H21" s="832">
        <f>SUM(G21:G24)</f>
        <v>32.224686420412809</v>
      </c>
      <c r="I21" s="17"/>
      <c r="J21" s="805">
        <f>H21-I22</f>
        <v>32.224686420412809</v>
      </c>
      <c r="K21" s="844">
        <f>'Bilan enerdata_2025'!E30</f>
        <v>0.45324533266530498</v>
      </c>
      <c r="L21" s="844"/>
      <c r="M21" s="844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829"/>
      <c r="B22" s="1" t="s">
        <v>30</v>
      </c>
      <c r="C22" s="17"/>
      <c r="D22" s="830"/>
      <c r="E22" s="22"/>
      <c r="F22" s="805"/>
      <c r="G22" s="17">
        <f t="shared" si="0"/>
        <v>0</v>
      </c>
      <c r="H22" s="832"/>
      <c r="I22" s="285"/>
      <c r="J22" s="805"/>
      <c r="K22" s="844"/>
      <c r="L22" s="844"/>
      <c r="M22" s="844"/>
      <c r="N22" s="39"/>
      <c r="O22" s="40"/>
      <c r="P22" s="40"/>
      <c r="R22" s="140"/>
      <c r="S22" s="40"/>
      <c r="T22" s="39"/>
      <c r="U22" s="39"/>
      <c r="V22" s="39"/>
      <c r="W22" s="40"/>
    </row>
    <row r="23" spans="1:23">
      <c r="A23" s="829"/>
      <c r="B23" s="1" t="s">
        <v>31</v>
      </c>
      <c r="C23" s="17"/>
      <c r="D23" s="830"/>
      <c r="E23" s="41"/>
      <c r="F23" s="805"/>
      <c r="G23" s="17">
        <f t="shared" si="0"/>
        <v>0</v>
      </c>
      <c r="H23" s="832"/>
      <c r="I23" s="17"/>
      <c r="J23" s="805"/>
      <c r="K23" s="844"/>
      <c r="L23" s="844"/>
      <c r="M23" s="844"/>
      <c r="N23" s="39">
        <f>C32</f>
        <v>1.3935858860636501</v>
      </c>
      <c r="O23" s="40">
        <f>C19</f>
        <v>4.1369911906422878</v>
      </c>
      <c r="P23" s="40">
        <f>J21-N23-O23-K21</f>
        <v>26.240864011041566</v>
      </c>
      <c r="R23" s="140">
        <f>SUM(S23:W23)</f>
        <v>26.234375386286739</v>
      </c>
      <c r="S23" s="141">
        <f>'Bilan enerdata_2025'!E37</f>
        <v>0.191763640678039</v>
      </c>
      <c r="T23" s="141">
        <f>'Bilan enerdata_2025'!E33</f>
        <v>11.4087101159338</v>
      </c>
      <c r="U23" s="141">
        <f>'Bilan enerdata_2025'!E35</f>
        <v>8.4917229584748206</v>
      </c>
      <c r="V23" s="141">
        <f>'Bilan enerdata_2025'!E36</f>
        <v>6.0618945971729996</v>
      </c>
      <c r="W23" s="141">
        <f>'Bilan enerdata_2025'!E34</f>
        <v>8.0284074027079294E-2</v>
      </c>
    </row>
    <row r="24" spans="1:23">
      <c r="A24" s="829"/>
      <c r="B24" s="1" t="s">
        <v>32</v>
      </c>
      <c r="C24" s="17">
        <f>'Bilan enerdata_2025'!E18+'Bilan enerdata_2025'!E17-C45</f>
        <v>34.166763149217211</v>
      </c>
      <c r="D24" s="830"/>
      <c r="E24" s="41">
        <f>'Bilan enerdata_2025'!E29+'Bilan enerdata_2025'!E26</f>
        <v>1.9420767288043999</v>
      </c>
      <c r="F24" s="805"/>
      <c r="G24" s="17">
        <f t="shared" si="0"/>
        <v>32.224686420412809</v>
      </c>
      <c r="H24" s="832"/>
      <c r="I24" s="42"/>
      <c r="J24" s="805"/>
      <c r="K24" s="844"/>
      <c r="L24" s="844"/>
      <c r="M24" s="844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825" t="s">
        <v>14</v>
      </c>
      <c r="B26" s="1" t="s">
        <v>21</v>
      </c>
      <c r="C26" s="43">
        <f>-'Mix énergie_2025'!F5*'Mix énergie_2025'!L5/11.63</f>
        <v>0</v>
      </c>
      <c r="D26" s="845">
        <f>SUM(C26:C34)</f>
        <v>2.987175238356238</v>
      </c>
      <c r="E26" s="43">
        <f>C26*0.11</f>
        <v>0</v>
      </c>
      <c r="F26" s="826"/>
      <c r="G26" s="41">
        <f t="shared" ref="G26:G31" si="2">C26-E26</f>
        <v>0</v>
      </c>
      <c r="H26" s="826">
        <f>SUM(G26:G34)</f>
        <v>2.6585859621370518</v>
      </c>
      <c r="I26" s="1"/>
      <c r="J26" s="800">
        <f>H26</f>
        <v>2.6585859621370518</v>
      </c>
      <c r="K26" s="801">
        <f>'Bilan enerdata_2025'!J30</f>
        <v>0</v>
      </c>
      <c r="L26" s="283"/>
      <c r="M26" s="801"/>
      <c r="N26" s="148"/>
      <c r="O26" s="149"/>
      <c r="P26" s="808">
        <f>J26-K26-M26</f>
        <v>2.6585859621370518</v>
      </c>
      <c r="R26" s="145"/>
      <c r="S26" s="145"/>
      <c r="T26" s="145"/>
      <c r="U26" s="145"/>
      <c r="V26" s="146"/>
      <c r="W26" s="145"/>
    </row>
    <row r="27" spans="1:23">
      <c r="A27" s="825"/>
      <c r="B27" s="1" t="s">
        <v>22</v>
      </c>
      <c r="C27" s="275">
        <v>0.6</v>
      </c>
      <c r="D27" s="845"/>
      <c r="E27" s="43">
        <f t="shared" ref="E27:E34" si="3">C27*0.11</f>
        <v>6.6000000000000003E-2</v>
      </c>
      <c r="F27" s="826"/>
      <c r="G27" s="41">
        <f t="shared" si="2"/>
        <v>0.53400000000000003</v>
      </c>
      <c r="H27" s="826"/>
      <c r="I27" s="285"/>
      <c r="J27" s="800"/>
      <c r="K27" s="801"/>
      <c r="L27" s="283"/>
      <c r="M27" s="801"/>
      <c r="N27" s="148"/>
      <c r="O27" s="149"/>
      <c r="P27" s="808"/>
      <c r="R27" s="147"/>
      <c r="S27" s="148"/>
      <c r="T27" s="148"/>
      <c r="U27" s="148"/>
      <c r="V27" s="149"/>
      <c r="W27" s="148"/>
    </row>
    <row r="28" spans="1:23">
      <c r="A28" s="825"/>
      <c r="B28" s="1" t="s">
        <v>26</v>
      </c>
      <c r="C28" s="43">
        <v>0.1</v>
      </c>
      <c r="D28" s="845"/>
      <c r="E28" s="43">
        <f t="shared" si="3"/>
        <v>1.1000000000000001E-2</v>
      </c>
      <c r="F28" s="826"/>
      <c r="G28" s="41">
        <f>C28-E28</f>
        <v>8.900000000000001E-2</v>
      </c>
      <c r="H28" s="826"/>
      <c r="I28" s="1"/>
      <c r="J28" s="800"/>
      <c r="K28" s="801"/>
      <c r="L28" s="283"/>
      <c r="M28" s="801"/>
      <c r="N28" s="148"/>
      <c r="O28" s="149"/>
      <c r="P28" s="808"/>
      <c r="R28" s="147"/>
      <c r="S28" s="148"/>
      <c r="T28" s="148"/>
      <c r="U28" s="148"/>
      <c r="V28" s="149"/>
      <c r="W28" s="148"/>
    </row>
    <row r="29" spans="1:23">
      <c r="A29" s="825"/>
      <c r="B29" s="1" t="s">
        <v>23</v>
      </c>
      <c r="C29" s="275">
        <f>('Bilan enerdata_2025'!H24+'Bilan enerdata_2025'!H23*0.64-C30)-C27</f>
        <v>0.45219575327652006</v>
      </c>
      <c r="D29" s="845"/>
      <c r="E29" s="43">
        <f t="shared" si="3"/>
        <v>4.9741532860417208E-2</v>
      </c>
      <c r="F29" s="826"/>
      <c r="G29" s="41">
        <f t="shared" si="2"/>
        <v>0.40245422041610285</v>
      </c>
      <c r="H29" s="826"/>
      <c r="I29" s="1"/>
      <c r="J29" s="800"/>
      <c r="K29" s="801"/>
      <c r="L29" s="283"/>
      <c r="M29" s="801"/>
      <c r="N29" s="148"/>
      <c r="O29" s="149"/>
      <c r="P29" s="808"/>
      <c r="R29" s="150">
        <f>SUM(S29:W29)</f>
        <v>2.6257862327457859</v>
      </c>
      <c r="S29" s="151">
        <f>'Bilan enerdata_2025'!J37</f>
        <v>6.4536710533781398E-3</v>
      </c>
      <c r="T29" s="151">
        <f>'Bilan enerdata_2025'!J33</f>
        <v>0.73363472365086702</v>
      </c>
      <c r="U29" s="151">
        <f>'Bilan enerdata_2025'!J35</f>
        <v>1.3003443630018601</v>
      </c>
      <c r="V29" s="151">
        <f>'Bilan enerdata_2025'!J36</f>
        <v>0.58535347503968105</v>
      </c>
      <c r="W29" s="151">
        <f>'Bilan enerdata_2025'!J34</f>
        <v>0</v>
      </c>
    </row>
    <row r="30" spans="1:23">
      <c r="A30" s="825"/>
      <c r="B30" s="1" t="s">
        <v>24</v>
      </c>
      <c r="C30" s="276">
        <v>0.25</v>
      </c>
      <c r="D30" s="845"/>
      <c r="E30" s="43">
        <f t="shared" si="3"/>
        <v>2.75E-2</v>
      </c>
      <c r="F30" s="826"/>
      <c r="G30" s="41">
        <f t="shared" si="2"/>
        <v>0.2225</v>
      </c>
      <c r="H30" s="826"/>
      <c r="I30" s="1"/>
      <c r="J30" s="800"/>
      <c r="K30" s="801"/>
      <c r="L30" s="283"/>
      <c r="M30" s="801"/>
      <c r="N30" s="148"/>
      <c r="O30" s="149"/>
      <c r="P30" s="808"/>
      <c r="R30" s="147"/>
      <c r="S30" s="148"/>
      <c r="T30" s="148"/>
      <c r="U30" s="148"/>
      <c r="V30" s="149"/>
      <c r="W30" s="148"/>
    </row>
    <row r="31" spans="1:23">
      <c r="A31" s="825"/>
      <c r="B31" s="1" t="s">
        <v>33</v>
      </c>
      <c r="C31" s="276">
        <v>0</v>
      </c>
      <c r="D31" s="845"/>
      <c r="E31" s="43">
        <f t="shared" si="3"/>
        <v>0</v>
      </c>
      <c r="F31" s="826"/>
      <c r="G31" s="41">
        <f t="shared" si="2"/>
        <v>0</v>
      </c>
      <c r="H31" s="826"/>
      <c r="I31" s="1"/>
      <c r="J31" s="800"/>
      <c r="K31" s="801"/>
      <c r="L31" s="283"/>
      <c r="M31" s="801"/>
      <c r="N31" s="148"/>
      <c r="O31" s="149"/>
      <c r="P31" s="808"/>
      <c r="R31" s="147"/>
      <c r="S31" s="148"/>
      <c r="T31" s="148"/>
      <c r="U31" s="148"/>
      <c r="V31" s="149"/>
      <c r="W31" s="148"/>
    </row>
    <row r="32" spans="1:23">
      <c r="A32" s="825"/>
      <c r="B32" s="1" t="s">
        <v>29</v>
      </c>
      <c r="C32" s="43">
        <f>('Bilan enerdata_2025'!E23*0.64+'Bilan enerdata_2025'!E24)</f>
        <v>1.3935858860636501</v>
      </c>
      <c r="D32" s="845"/>
      <c r="E32" s="43">
        <f t="shared" si="3"/>
        <v>0.15329444746700152</v>
      </c>
      <c r="F32" s="826"/>
      <c r="G32" s="41">
        <f>C32-E32</f>
        <v>1.2402914385966486</v>
      </c>
      <c r="H32" s="826"/>
      <c r="I32" s="1"/>
      <c r="J32" s="800"/>
      <c r="K32" s="801"/>
      <c r="L32" s="283"/>
      <c r="M32" s="801"/>
      <c r="N32" s="148"/>
      <c r="O32" s="149"/>
      <c r="P32" s="808"/>
      <c r="R32" s="152"/>
      <c r="S32" s="153"/>
      <c r="T32" s="153"/>
      <c r="U32" s="153"/>
      <c r="V32" s="154"/>
      <c r="W32" s="153"/>
    </row>
    <row r="33" spans="1:23">
      <c r="A33" s="277"/>
      <c r="B33" s="273" t="s">
        <v>27</v>
      </c>
      <c r="C33" s="34">
        <f>('Bilan enerdata_2025'!D24+'Bilan enerdata_2025'!D23*0.64)</f>
        <v>3.27594604359982E-2</v>
      </c>
      <c r="D33" s="845"/>
      <c r="E33" s="43">
        <f t="shared" si="3"/>
        <v>3.6035406479598018E-3</v>
      </c>
      <c r="F33" s="279"/>
      <c r="G33" s="41">
        <f t="shared" ref="G33:G34" si="4">C33-E33</f>
        <v>2.9155919788038397E-2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273" t="s">
        <v>28</v>
      </c>
      <c r="C34" s="34">
        <f>('Bilan enerdata_2025'!B24+0.64*'Bilan enerdata_2025'!B23)</f>
        <v>0.15863413858007</v>
      </c>
      <c r="D34" s="845"/>
      <c r="E34" s="43">
        <f t="shared" si="3"/>
        <v>1.7449755243807701E-2</v>
      </c>
      <c r="F34" s="279"/>
      <c r="G34" s="41">
        <f t="shared" si="4"/>
        <v>0.14118438333626229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1"/>
      <c r="F35" s="1"/>
      <c r="G35" s="44"/>
      <c r="H35" s="45">
        <f>-'Bilan enerdata_2025'!J24</f>
        <v>-2.6193325616924099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834" t="s">
        <v>34</v>
      </c>
      <c r="B36" s="1" t="s">
        <v>21</v>
      </c>
      <c r="C36" s="22">
        <v>0</v>
      </c>
      <c r="D36" s="834">
        <f>SUM(C36:C46)</f>
        <v>78.395080911576031</v>
      </c>
      <c r="E36" s="47"/>
      <c r="F36" s="839"/>
      <c r="G36" s="17">
        <f t="shared" ref="G36:G40" si="5">C36</f>
        <v>0</v>
      </c>
      <c r="H36" s="834">
        <f>SUM(G36:G46)</f>
        <v>76.547063428056404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834"/>
      <c r="B37" s="1" t="s">
        <v>23</v>
      </c>
      <c r="C37" s="280">
        <f>SUM(S37:W37)+E37</f>
        <v>4.408534914848298</v>
      </c>
      <c r="D37" s="834"/>
      <c r="E37" s="286">
        <f>'Bilan enerdata_2025'!H29</f>
        <v>5.1017483519633103E-2</v>
      </c>
      <c r="F37" s="839"/>
      <c r="G37" s="17">
        <f>C37-E37</f>
        <v>4.3575174313286649</v>
      </c>
      <c r="H37" s="834"/>
      <c r="J37" s="52"/>
      <c r="K37" s="48"/>
      <c r="L37" s="48"/>
      <c r="M37" s="50"/>
      <c r="N37" s="48"/>
      <c r="O37" s="48"/>
      <c r="P37" s="51">
        <f>SUM(G36:G41)-E37</f>
        <v>9.6041802118876731</v>
      </c>
      <c r="R37" s="157"/>
      <c r="S37" s="251">
        <f>'Bilan enerdata_2025'!H37-S39</f>
        <v>0.165762557726544</v>
      </c>
      <c r="T37" s="251">
        <f>'Bilan enerdata_2025'!H33</f>
        <v>3.0015800220994202</v>
      </c>
      <c r="U37" s="251">
        <f>'Bilan enerdata_2025'!H35-'Bilan 2025'!U38-'Bilan 2025'!U39-8</f>
        <v>1.086808280853802</v>
      </c>
      <c r="V37" s="254">
        <f>'Bilan enerdata_2025'!H36-'Bilan 2025'!V39-V38</f>
        <v>5.2349087129264935E-2</v>
      </c>
      <c r="W37" s="135">
        <f>E37</f>
        <v>5.1017483519633103E-2</v>
      </c>
    </row>
    <row r="38" spans="1:23">
      <c r="A38" s="834"/>
      <c r="B38" s="1" t="s">
        <v>33</v>
      </c>
      <c r="C38" s="41">
        <f>SUM(S38:W38)</f>
        <v>0.18149999999999999</v>
      </c>
      <c r="D38" s="834"/>
      <c r="E38" s="47"/>
      <c r="F38" s="839"/>
      <c r="G38" s="17">
        <f t="shared" si="5"/>
        <v>0.18149999999999999</v>
      </c>
      <c r="H38" s="834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Medpro'!E140</f>
        <v>0.1164</v>
      </c>
      <c r="V38" s="158">
        <f>'Format demande MedPro_2015'!E226</f>
        <v>6.5100000000000005E-2</v>
      </c>
      <c r="W38" s="155">
        <v>0</v>
      </c>
    </row>
    <row r="39" spans="1:23">
      <c r="A39" s="834"/>
      <c r="B39" s="1" t="s">
        <v>35</v>
      </c>
      <c r="C39" s="41">
        <f>SUM(S39:W39)-C40</f>
        <v>0.2829099267323012</v>
      </c>
      <c r="D39" s="834"/>
      <c r="E39" s="47"/>
      <c r="F39" s="839"/>
      <c r="G39" s="17">
        <f t="shared" si="5"/>
        <v>0.2829099267323012</v>
      </c>
      <c r="H39" s="834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MedPro_2015'!E360</f>
        <v>0</v>
      </c>
      <c r="T39" s="134">
        <v>0</v>
      </c>
      <c r="U39" s="252">
        <f>'Demande Format Medpro'!E141</f>
        <v>0.85316975623719604</v>
      </c>
      <c r="V39" s="271">
        <f>'Demande Format Medpro'!E216</f>
        <v>0.92974017049510504</v>
      </c>
      <c r="W39" s="155">
        <v>0</v>
      </c>
    </row>
    <row r="40" spans="1:23">
      <c r="A40" s="834"/>
      <c r="B40" s="1" t="s">
        <v>36</v>
      </c>
      <c r="C40" s="41">
        <v>1.5</v>
      </c>
      <c r="D40" s="834"/>
      <c r="E40" s="47"/>
      <c r="F40" s="839"/>
      <c r="G40" s="17">
        <f t="shared" si="5"/>
        <v>1.5</v>
      </c>
      <c r="H40" s="834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834"/>
      <c r="B41" s="1" t="s">
        <v>37</v>
      </c>
      <c r="C41" s="41">
        <f>SUM(S41:W41)</f>
        <v>3.3332703373463399</v>
      </c>
      <c r="D41" s="834"/>
      <c r="E41" s="54"/>
      <c r="F41" s="839"/>
      <c r="G41" s="17">
        <f>C41</f>
        <v>3.3332703373463399</v>
      </c>
      <c r="H41" s="834"/>
      <c r="I41" s="48"/>
      <c r="J41" s="52"/>
      <c r="K41" s="48"/>
      <c r="L41" s="48"/>
      <c r="M41" s="48"/>
      <c r="N41" s="48"/>
      <c r="O41" s="48"/>
      <c r="P41" s="51">
        <f>G42</f>
        <v>37.500616436523501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enerdata_2025'!H34</f>
        <v>3.3332703373463399</v>
      </c>
    </row>
    <row r="42" spans="1:23">
      <c r="A42" s="834"/>
      <c r="B42" s="1" t="s">
        <v>38</v>
      </c>
      <c r="C42" s="41">
        <f>W42</f>
        <v>37.500616436523501</v>
      </c>
      <c r="D42" s="834"/>
      <c r="E42" s="54"/>
      <c r="F42" s="839"/>
      <c r="G42" s="17">
        <f>C42</f>
        <v>37.500616436523501</v>
      </c>
      <c r="H42" s="834"/>
      <c r="J42" s="52"/>
      <c r="K42" s="48"/>
      <c r="L42" s="48"/>
      <c r="M42" s="48"/>
      <c r="N42" s="48"/>
      <c r="O42" s="48"/>
      <c r="P42" s="53"/>
      <c r="R42" s="157">
        <f>SUM(S36:W46)</f>
        <v>58.072863428056372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enerdata_2025'!D34</f>
        <v>37.500616436523501</v>
      </c>
    </row>
    <row r="43" spans="1:23">
      <c r="A43" s="834"/>
      <c r="B43" s="1" t="s">
        <v>39</v>
      </c>
      <c r="C43" s="41">
        <f>E53+SUM(S43:W43)+E43</f>
        <v>26.089224548097139</v>
      </c>
      <c r="D43" s="834"/>
      <c r="E43" s="287">
        <f>'Bilan enerdata_2025'!D29</f>
        <v>1.7969999999999999</v>
      </c>
      <c r="F43" s="839"/>
      <c r="G43" s="17">
        <f>C43-E43</f>
        <v>24.292224548097138</v>
      </c>
      <c r="H43" s="834"/>
      <c r="I43" s="48"/>
      <c r="J43" s="52"/>
      <c r="K43" s="48"/>
      <c r="L43" s="48"/>
      <c r="M43" s="48"/>
      <c r="N43" s="48"/>
      <c r="O43" s="48"/>
      <c r="P43" s="51">
        <f>G43-E53</f>
        <v>10.865126311912238</v>
      </c>
      <c r="R43" s="157"/>
      <c r="S43" s="134">
        <f>'Bilan enerdata_2025'!D37</f>
        <v>3.1990557957396399</v>
      </c>
      <c r="T43" s="134">
        <f>'Bilan enerdata_2025'!D33</f>
        <v>1.0148094604778199</v>
      </c>
      <c r="U43" s="134">
        <f>'Bilan enerdata_2025'!D35</f>
        <v>4.5177954110546104</v>
      </c>
      <c r="V43" s="134">
        <f>'Bilan enerdata_2025'!D36</f>
        <v>2.1334656446401699</v>
      </c>
      <c r="W43" s="134">
        <v>0</v>
      </c>
    </row>
    <row r="44" spans="1:23">
      <c r="A44" s="834"/>
      <c r="B44" s="1" t="s">
        <v>40</v>
      </c>
      <c r="C44" s="280">
        <v>0</v>
      </c>
      <c r="D44" s="834"/>
      <c r="E44" s="54"/>
      <c r="F44" s="839"/>
      <c r="G44" s="17">
        <f t="shared" si="0"/>
        <v>0</v>
      </c>
      <c r="H44" s="834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834"/>
      <c r="B45" s="1" t="s">
        <v>41</v>
      </c>
      <c r="C45" s="290">
        <f>E52</f>
        <v>1.91157429870939</v>
      </c>
      <c r="D45" s="834"/>
      <c r="E45" s="54"/>
      <c r="F45" s="839"/>
      <c r="G45" s="17">
        <f t="shared" si="0"/>
        <v>1.91157429870939</v>
      </c>
      <c r="H45" s="834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834"/>
      <c r="B46" s="1" t="s">
        <v>42</v>
      </c>
      <c r="C46" s="41">
        <f>E51+SUM(S46:W46)</f>
        <v>3.1874504493190567</v>
      </c>
      <c r="D46" s="834"/>
      <c r="E46" s="55"/>
      <c r="F46" s="839"/>
      <c r="G46" s="17">
        <f>C46</f>
        <v>3.1874504493190567</v>
      </c>
      <c r="H46" s="834"/>
      <c r="I46" s="287"/>
      <c r="J46" s="52"/>
      <c r="K46" s="48"/>
      <c r="L46" s="48"/>
      <c r="M46" s="48"/>
      <c r="N46" s="48"/>
      <c r="O46" s="48"/>
      <c r="P46" s="56">
        <f>G46-I466-E51</f>
        <v>5.1922984213327084E-2</v>
      </c>
      <c r="R46" s="160"/>
      <c r="S46" s="161">
        <f>'Bilan enerdata_2025'!B37</f>
        <v>2.2137192704974398E-3</v>
      </c>
      <c r="T46" s="162">
        <f>'Bilan enerdata_2025'!B33</f>
        <v>4.9709264942829498E-2</v>
      </c>
      <c r="U46" s="163">
        <f>'Bilan enerdata_2025'!B35</f>
        <v>0</v>
      </c>
      <c r="V46" s="164">
        <f>'Bilan enerdata_2025'!B36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enerdata_2025'!B28+'Bilan enerdata_2025'!B39</f>
        <v>3.1355274651057297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18.474200000000017</v>
      </c>
    </row>
    <row r="52" spans="1:18">
      <c r="A52" s="22"/>
      <c r="B52" s="1" t="s">
        <v>41</v>
      </c>
      <c r="C52" s="69"/>
      <c r="D52" s="17"/>
      <c r="E52" s="70">
        <f>'Bilan enerdata_2025'!E39+0.8</f>
        <v>1.91157429870939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enerdata_2025'!D28+'Bilan enerdata_2025'!D39</f>
        <v>13.4270982361849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F36:F46"/>
    <mergeCell ref="H36:H46"/>
    <mergeCell ref="P26:P32"/>
    <mergeCell ref="D26:D34"/>
    <mergeCell ref="A36:A46"/>
    <mergeCell ref="D36:D46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1</vt:i4>
      </vt:variant>
    </vt:vector>
  </HeadingPairs>
  <TitlesOfParts>
    <vt:vector size="39" baseType="lpstr">
      <vt:lpstr>Feuil1</vt:lpstr>
      <vt:lpstr>Cibles THREEME</vt:lpstr>
      <vt:lpstr>Bilan 2030</vt:lpstr>
      <vt:lpstr>Bilan 2050</vt:lpstr>
      <vt:lpstr>Bilan 2020 BAU</vt:lpstr>
      <vt:lpstr>Bilan 2006</vt:lpstr>
      <vt:lpstr>Bilan 2010</vt:lpstr>
      <vt:lpstr>Bilan 2015</vt:lpstr>
      <vt:lpstr>Bilan 2025</vt:lpstr>
      <vt:lpstr>bilan énergie format SDS</vt:lpstr>
      <vt:lpstr>Bilan enerdata_2015</vt:lpstr>
      <vt:lpstr>Bilan enerdata_2020</vt:lpstr>
      <vt:lpstr>Bilan enerdata_2025</vt:lpstr>
      <vt:lpstr>Bilan enerdata_2030</vt:lpstr>
      <vt:lpstr>Bilan enerdata_2050</vt:lpstr>
      <vt:lpstr>Demande Format Medpro</vt:lpstr>
      <vt:lpstr>Format demande MedPro_2015</vt:lpstr>
      <vt:lpstr>Corrections Bilan enerdata</vt:lpstr>
      <vt:lpstr>Modèle tertiaire_2015</vt:lpstr>
      <vt:lpstr>Modèle tertiaire_2020</vt:lpstr>
      <vt:lpstr>Modèle tertiaire_2025</vt:lpstr>
      <vt:lpstr>Modèle tertiaire_2030</vt:lpstr>
      <vt:lpstr>Modèle tertiaire_2050</vt:lpstr>
      <vt:lpstr>Modèle résidentiel ch_2015</vt:lpstr>
      <vt:lpstr>Modèle résidentiel ch_2020</vt:lpstr>
      <vt:lpstr>Modèle résidentiel ch_2025</vt:lpstr>
      <vt:lpstr>Modèle résidentiel ch_2030</vt:lpstr>
      <vt:lpstr>Modèle résidentiel ch_2050</vt:lpstr>
      <vt:lpstr>Modèle résidentiel hch_2015</vt:lpstr>
      <vt:lpstr>Modèle résidentiel hch_2020</vt:lpstr>
      <vt:lpstr>Modèle résidentiel hch_2025</vt:lpstr>
      <vt:lpstr>Modèle résidentiel hch_2030</vt:lpstr>
      <vt:lpstr>Modèle résidentiel hch_2050</vt:lpstr>
      <vt:lpstr>Mix énergie_2015</vt:lpstr>
      <vt:lpstr>Mix énergie_2020</vt:lpstr>
      <vt:lpstr>Mix énergie_2025</vt:lpstr>
      <vt:lpstr>Mix énergie_2030</vt:lpstr>
      <vt:lpstr>Mix énergie_2050</vt:lpstr>
      <vt:lpstr>'Bilan 2030'!Zone_d_impression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DESLOT Quentin</dc:creator>
  <cp:lastModifiedBy>CALLONNEC Gaël</cp:lastModifiedBy>
  <dcterms:created xsi:type="dcterms:W3CDTF">2018-06-25T08:16:03Z</dcterms:created>
  <dcterms:modified xsi:type="dcterms:W3CDTF">2022-02-11T14:28:04Z</dcterms:modified>
</cp:coreProperties>
</file>