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X_Transport\1_Etudes\1_1_Commandes\2022\2022.02. SNBC3\Run 2\"/>
    </mc:Choice>
  </mc:AlternateContent>
  <bookViews>
    <workbookView xWindow="0" yWindow="0" windowWidth="20460" windowHeight="7140" activeTab="1"/>
  </bookViews>
  <sheets>
    <sheet name="Voyageurs" sheetId="1" r:id="rId1"/>
    <sheet name="Marchandises" sheetId="6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K17" i="1"/>
  <c r="K26" i="1" s="1"/>
  <c r="K27" i="1"/>
  <c r="B26" i="1"/>
  <c r="C26" i="1"/>
  <c r="D26" i="1"/>
  <c r="E26" i="1"/>
  <c r="F26" i="1"/>
  <c r="G26" i="1"/>
  <c r="H26" i="1"/>
  <c r="I26" i="1"/>
  <c r="J26" i="1"/>
  <c r="M26" i="1"/>
  <c r="F6" i="6" l="1"/>
  <c r="H10" i="6" l="1"/>
  <c r="H13" i="6" s="1"/>
  <c r="I10" i="6"/>
  <c r="I13" i="6" s="1"/>
  <c r="J10" i="6"/>
  <c r="J13" i="6" s="1"/>
  <c r="K10" i="6"/>
  <c r="K13" i="6" s="1"/>
  <c r="H11" i="6"/>
  <c r="I11" i="6"/>
  <c r="J11" i="6"/>
  <c r="K11" i="6"/>
  <c r="H12" i="6"/>
  <c r="I12" i="6"/>
  <c r="J12" i="6"/>
  <c r="K12" i="6"/>
  <c r="G3" i="6" l="1"/>
  <c r="G6" i="6"/>
  <c r="G5" i="6"/>
  <c r="M5" i="6" s="1"/>
  <c r="G4" i="6"/>
  <c r="L4" i="6" s="1"/>
  <c r="M3" i="6" l="1"/>
  <c r="L3" i="6"/>
  <c r="L5" i="6"/>
  <c r="M4" i="6"/>
  <c r="C11" i="6"/>
  <c r="D11" i="6"/>
  <c r="E11" i="6"/>
  <c r="F11" i="6"/>
  <c r="C12" i="6"/>
  <c r="D12" i="6"/>
  <c r="E12" i="6"/>
  <c r="F12" i="6"/>
  <c r="B11" i="6"/>
  <c r="B12" i="6"/>
  <c r="F10" i="6"/>
  <c r="E10" i="6"/>
  <c r="D10" i="6"/>
  <c r="C10" i="6"/>
  <c r="B10" i="6"/>
  <c r="D13" i="6" l="1"/>
  <c r="B13" i="6"/>
  <c r="C13" i="6"/>
  <c r="M6" i="6"/>
  <c r="M11" i="6" s="1"/>
  <c r="E13" i="6"/>
  <c r="L6" i="6"/>
  <c r="L11" i="6" s="1"/>
  <c r="F13" i="6"/>
  <c r="E20" i="1"/>
  <c r="E21" i="1"/>
  <c r="E22" i="1"/>
  <c r="E23" i="1"/>
  <c r="E24" i="1"/>
  <c r="E25" i="1"/>
  <c r="E27" i="1"/>
  <c r="D20" i="1"/>
  <c r="D21" i="1"/>
  <c r="D22" i="1"/>
  <c r="D23" i="1"/>
  <c r="D24" i="1"/>
  <c r="D25" i="1"/>
  <c r="D27" i="1"/>
  <c r="C20" i="1"/>
  <c r="C21" i="1"/>
  <c r="C22" i="1"/>
  <c r="C23" i="1"/>
  <c r="C24" i="1"/>
  <c r="C25" i="1"/>
  <c r="C27" i="1"/>
  <c r="E17" i="1"/>
  <c r="D17" i="1"/>
  <c r="C17" i="1"/>
  <c r="B20" i="1"/>
  <c r="B21" i="1"/>
  <c r="B22" i="1"/>
  <c r="B23" i="1"/>
  <c r="B24" i="1"/>
  <c r="B25" i="1"/>
  <c r="B27" i="1"/>
  <c r="B17" i="1"/>
  <c r="M10" i="6" l="1"/>
  <c r="M12" i="6"/>
  <c r="L10" i="6"/>
  <c r="L12" i="6"/>
  <c r="G8" i="1"/>
  <c r="L8" i="1" s="1"/>
  <c r="G9" i="1"/>
  <c r="L9" i="1" s="1"/>
  <c r="F7" i="1"/>
  <c r="F3" i="1"/>
  <c r="M13" i="6" l="1"/>
  <c r="L13" i="6"/>
  <c r="H9" i="1"/>
  <c r="I9" i="1"/>
  <c r="J9" i="1"/>
  <c r="K9" i="1"/>
  <c r="H8" i="1"/>
  <c r="I8" i="1"/>
  <c r="J8" i="1"/>
  <c r="K8" i="1"/>
  <c r="M8" i="1"/>
  <c r="G3" i="1"/>
  <c r="G7" i="1"/>
  <c r="L7" i="1" s="1"/>
  <c r="M9" i="1"/>
  <c r="F6" i="1"/>
  <c r="G5" i="1"/>
  <c r="G4" i="1"/>
  <c r="L6" i="1" l="1"/>
  <c r="H7" i="1"/>
  <c r="I7" i="1"/>
  <c r="J7" i="1"/>
  <c r="K7" i="1"/>
  <c r="H5" i="1"/>
  <c r="I5" i="1"/>
  <c r="J5" i="1"/>
  <c r="K5" i="1"/>
  <c r="H4" i="1"/>
  <c r="I4" i="1"/>
  <c r="J4" i="1"/>
  <c r="K4" i="1"/>
  <c r="M5" i="1"/>
  <c r="L5" i="1"/>
  <c r="M4" i="1"/>
  <c r="L4" i="1"/>
  <c r="M7" i="1"/>
  <c r="F12" i="1"/>
  <c r="G6" i="1"/>
  <c r="J6" i="1" l="1"/>
  <c r="H6" i="1"/>
  <c r="H3" i="1"/>
  <c r="K3" i="1"/>
  <c r="K6" i="1"/>
  <c r="I6" i="1"/>
  <c r="J3" i="1"/>
  <c r="I3" i="1"/>
  <c r="F22" i="1"/>
  <c r="F23" i="1"/>
  <c r="F24" i="1"/>
  <c r="F25" i="1"/>
  <c r="F17" i="1"/>
  <c r="F21" i="1"/>
  <c r="M6" i="1"/>
  <c r="L3" i="1"/>
  <c r="M3" i="1"/>
  <c r="F20" i="1"/>
  <c r="K10" i="1" l="1"/>
  <c r="K12" i="1" s="1"/>
  <c r="J10" i="1"/>
  <c r="M10" i="1"/>
  <c r="M12" i="1"/>
  <c r="I10" i="1"/>
  <c r="H10" i="1"/>
  <c r="L10" i="1"/>
  <c r="K22" i="1" l="1"/>
  <c r="I12" i="1"/>
  <c r="I24" i="1"/>
  <c r="L12" i="1"/>
  <c r="L21" i="1" s="1"/>
  <c r="K20" i="1"/>
  <c r="I13" i="1"/>
  <c r="K24" i="1"/>
  <c r="H12" i="1"/>
  <c r="H22" i="1" s="1"/>
  <c r="K25" i="1"/>
  <c r="K13" i="1"/>
  <c r="K23" i="1"/>
  <c r="K18" i="1"/>
  <c r="K19" i="1"/>
  <c r="K21" i="1"/>
  <c r="J12" i="1"/>
  <c r="M13" i="1"/>
  <c r="M22" i="1"/>
  <c r="M25" i="1"/>
  <c r="M23" i="1"/>
  <c r="M18" i="1"/>
  <c r="M21" i="1"/>
  <c r="M19" i="1"/>
  <c r="M17" i="1"/>
  <c r="L25" i="1"/>
  <c r="L22" i="1"/>
  <c r="M20" i="1"/>
  <c r="M24" i="1"/>
  <c r="L23" i="1" l="1"/>
  <c r="J24" i="1"/>
  <c r="L13" i="1"/>
  <c r="L27" i="1" s="1"/>
  <c r="L24" i="1"/>
  <c r="I19" i="1"/>
  <c r="I25" i="1"/>
  <c r="I23" i="1"/>
  <c r="I22" i="1"/>
  <c r="I21" i="1"/>
  <c r="I20" i="1"/>
  <c r="I17" i="1"/>
  <c r="I18" i="1"/>
  <c r="L18" i="1"/>
  <c r="L19" i="1"/>
  <c r="M27" i="1"/>
  <c r="L20" i="1"/>
  <c r="L17" i="1"/>
  <c r="L26" i="1" s="1"/>
  <c r="H25" i="1"/>
  <c r="H13" i="1"/>
  <c r="H27" i="1" s="1"/>
  <c r="H23" i="1"/>
  <c r="H19" i="1"/>
  <c r="H21" i="1"/>
  <c r="H18" i="1"/>
  <c r="H20" i="1"/>
  <c r="H17" i="1"/>
  <c r="I27" i="1"/>
  <c r="J25" i="1"/>
  <c r="J13" i="1"/>
  <c r="J27" i="1" s="1"/>
  <c r="J23" i="1"/>
  <c r="J22" i="1"/>
  <c r="J18" i="1"/>
  <c r="J19" i="1"/>
  <c r="J21" i="1"/>
  <c r="J20" i="1"/>
  <c r="H24" i="1"/>
  <c r="F13" i="1"/>
  <c r="F27" i="1" s="1"/>
</calcChain>
</file>

<file path=xl/comments1.xml><?xml version="1.0" encoding="utf-8"?>
<comments xmlns="http://schemas.openxmlformats.org/spreadsheetml/2006/main">
  <authors>
    <author>ALLEZARD Marie</author>
  </authors>
  <commentList>
    <comment ref="H10" authorId="0" shapeId="0">
      <text>
        <r>
          <rPr>
            <b/>
            <sz val="9"/>
            <color indexed="81"/>
            <rFont val="Tahoma"/>
            <charset val="1"/>
          </rPr>
          <t>ALLEZARD Marie:</t>
        </r>
        <r>
          <rPr>
            <sz val="9"/>
            <color indexed="81"/>
            <rFont val="Tahoma"/>
            <charset val="1"/>
          </rPr>
          <t xml:space="preserve">
Même croissance que les VP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ALLEZARD Marie:</t>
        </r>
        <r>
          <rPr>
            <sz val="9"/>
            <color indexed="81"/>
            <rFont val="Tahoma"/>
            <charset val="1"/>
          </rPr>
          <t xml:space="preserve">
Multiplication des vélos par 3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ALLEZARD Marie:</t>
        </r>
        <r>
          <rPr>
            <sz val="9"/>
            <color indexed="81"/>
            <rFont val="Tahoma"/>
            <charset val="1"/>
          </rPr>
          <t xml:space="preserve">
Multiplication des vélos par 3</t>
        </r>
      </text>
    </comment>
  </commentList>
</comments>
</file>

<file path=xl/sharedStrings.xml><?xml version="1.0" encoding="utf-8"?>
<sst xmlns="http://schemas.openxmlformats.org/spreadsheetml/2006/main" count="76" uniqueCount="29">
  <si>
    <t>VP</t>
  </si>
  <si>
    <t>TC</t>
  </si>
  <si>
    <t xml:space="preserve">  dont ferrés</t>
  </si>
  <si>
    <t xml:space="preserve">  dont bus et cars</t>
  </si>
  <si>
    <t>Aérien</t>
  </si>
  <si>
    <t>2RM</t>
  </si>
  <si>
    <t>Total</t>
  </si>
  <si>
    <t>dont hors vélo (périmètre CCTN)</t>
  </si>
  <si>
    <t>Trafics passagers (%)</t>
  </si>
  <si>
    <t>Vélo</t>
  </si>
  <si>
    <t>observé</t>
  </si>
  <si>
    <t>Simulé</t>
  </si>
  <si>
    <t>2030 AME</t>
  </si>
  <si>
    <t>2030 AMS</t>
  </si>
  <si>
    <t>2050 AME</t>
  </si>
  <si>
    <t>Routier PL</t>
  </si>
  <si>
    <t>Fer</t>
  </si>
  <si>
    <t>Fluvial</t>
  </si>
  <si>
    <t>Ensemble (hors VUL)</t>
  </si>
  <si>
    <t>Routier</t>
  </si>
  <si>
    <t>2050 AMS</t>
  </si>
  <si>
    <t>coeff de redressement</t>
  </si>
  <si>
    <t xml:space="preserve">  dont LD</t>
  </si>
  <si>
    <t xml:space="preserve">  dont CD</t>
  </si>
  <si>
    <t>Trafic en Mdspassagers.km</t>
  </si>
  <si>
    <t>Trafic en Mds t.km</t>
  </si>
  <si>
    <t>Trafics t (%)</t>
  </si>
  <si>
    <t>Projection Run1</t>
  </si>
  <si>
    <t>Projection Run2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</si>
</sst>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0.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0" tint="-0.14999847407452621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2">
    <xf numFmtId="0" fontId="0" fillId="0" borderId="0" xfId="0"/>
    <xf numFmtId="0" fontId="0" fillId="0" borderId="0" xfId="0" applyNumberFormat="1"/>
    <xf numFmtId="0" fontId="0" fillId="2" borderId="14" xfId="0" applyNumberFormat="1" applyFont="1" applyFill="1" applyBorder="1"/>
    <xf numFmtId="0" fontId="0" fillId="0" borderId="14" xfId="0" applyNumberFormat="1" applyFont="1" applyFill="1" applyBorder="1"/>
    <xf numFmtId="0" fontId="0" fillId="0" borderId="14" xfId="0" applyNumberFormat="1" applyFont="1" applyBorder="1"/>
    <xf numFmtId="0" fontId="0" fillId="2" borderId="15" xfId="0" applyNumberFormat="1" applyFont="1" applyFill="1" applyBorder="1"/>
    <xf numFmtId="0" fontId="3" fillId="0" borderId="13" xfId="0" applyNumberFormat="1" applyFont="1" applyBorder="1" applyAlignment="1">
      <alignment horizontal="center" vertical="center"/>
    </xf>
    <xf numFmtId="0" fontId="3" fillId="0" borderId="21" xfId="0" applyNumberFormat="1" applyFont="1" applyBorder="1" applyAlignment="1">
      <alignment horizontal="center" vertical="center"/>
    </xf>
    <xf numFmtId="0" fontId="0" fillId="2" borderId="26" xfId="0" applyNumberFormat="1" applyFont="1" applyFill="1" applyBorder="1"/>
    <xf numFmtId="0" fontId="0" fillId="3" borderId="14" xfId="0" applyNumberFormat="1" applyFont="1" applyFill="1" applyBorder="1"/>
    <xf numFmtId="0" fontId="0" fillId="3" borderId="15" xfId="0" applyNumberFormat="1" applyFont="1" applyFill="1" applyBorder="1"/>
    <xf numFmtId="0" fontId="0" fillId="3" borderId="16" xfId="0" applyNumberFormat="1" applyFont="1" applyFill="1" applyBorder="1"/>
    <xf numFmtId="0" fontId="3" fillId="0" borderId="23" xfId="0" applyNumberFormat="1" applyFont="1" applyBorder="1" applyAlignment="1">
      <alignment horizontal="center"/>
    </xf>
    <xf numFmtId="0" fontId="3" fillId="0" borderId="24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15" xfId="0" applyNumberFormat="1" applyFont="1" applyBorder="1" applyAlignment="1">
      <alignment horizontal="center"/>
    </xf>
    <xf numFmtId="0" fontId="4" fillId="0" borderId="25" xfId="0" applyNumberFormat="1" applyFont="1" applyBorder="1" applyAlignment="1">
      <alignment horizontal="center"/>
    </xf>
    <xf numFmtId="0" fontId="3" fillId="0" borderId="12" xfId="0" applyNumberFormat="1" applyFont="1" applyFill="1" applyBorder="1" applyAlignment="1">
      <alignment horizontal="center"/>
    </xf>
    <xf numFmtId="0" fontId="3" fillId="0" borderId="10" xfId="0" applyNumberFormat="1" applyFont="1" applyFill="1" applyBorder="1" applyAlignment="1">
      <alignment horizontal="center"/>
    </xf>
    <xf numFmtId="164" fontId="0" fillId="2" borderId="27" xfId="2" applyNumberFormat="1" applyFont="1" applyFill="1" applyBorder="1" applyAlignment="1">
      <alignment horizontal="center"/>
    </xf>
    <xf numFmtId="164" fontId="0" fillId="2" borderId="28" xfId="2" applyNumberFormat="1" applyFont="1" applyFill="1" applyBorder="1" applyAlignment="1">
      <alignment horizontal="center"/>
    </xf>
    <xf numFmtId="164" fontId="0" fillId="2" borderId="29" xfId="2" applyNumberFormat="1" applyFont="1" applyFill="1" applyBorder="1" applyAlignment="1">
      <alignment horizontal="center"/>
    </xf>
    <xf numFmtId="164" fontId="0" fillId="2" borderId="26" xfId="0" applyNumberFormat="1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center"/>
    </xf>
    <xf numFmtId="164" fontId="0" fillId="2" borderId="27" xfId="0" applyNumberFormat="1" applyFont="1" applyFill="1" applyBorder="1" applyAlignment="1">
      <alignment horizontal="center"/>
    </xf>
    <xf numFmtId="164" fontId="0" fillId="2" borderId="28" xfId="0" applyNumberFormat="1" applyFont="1" applyFill="1" applyBorder="1" applyAlignment="1">
      <alignment horizontal="center"/>
    </xf>
    <xf numFmtId="164" fontId="0" fillId="2" borderId="29" xfId="0" applyNumberFormat="1" applyFont="1" applyFill="1" applyBorder="1" applyAlignment="1">
      <alignment horizontal="center"/>
    </xf>
    <xf numFmtId="164" fontId="0" fillId="0" borderId="8" xfId="2" applyNumberFormat="1" applyFont="1" applyFill="1" applyBorder="1" applyAlignment="1">
      <alignment horizontal="center"/>
    </xf>
    <xf numFmtId="164" fontId="0" fillId="0" borderId="2" xfId="2" applyNumberFormat="1" applyFont="1" applyFill="1" applyBorder="1" applyAlignment="1">
      <alignment horizontal="center"/>
    </xf>
    <xf numFmtId="164" fontId="0" fillId="0" borderId="7" xfId="2" applyNumberFormat="1" applyFont="1" applyFill="1" applyBorder="1" applyAlignment="1">
      <alignment horizontal="center"/>
    </xf>
    <xf numFmtId="164" fontId="0" fillId="0" borderId="14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7" xfId="0" applyNumberFormat="1" applyFont="1" applyFill="1" applyBorder="1" applyAlignment="1">
      <alignment horizontal="center"/>
    </xf>
    <xf numFmtId="164" fontId="0" fillId="2" borderId="8" xfId="2" applyNumberFormat="1" applyFont="1" applyFill="1" applyBorder="1" applyAlignment="1">
      <alignment horizontal="center"/>
    </xf>
    <xf numFmtId="164" fontId="0" fillId="2" borderId="2" xfId="2" applyNumberFormat="1" applyFont="1" applyFill="1" applyBorder="1" applyAlignment="1">
      <alignment horizontal="center"/>
    </xf>
    <xf numFmtId="164" fontId="0" fillId="2" borderId="7" xfId="2" applyNumberFormat="1" applyFont="1" applyFill="1" applyBorder="1" applyAlignment="1">
      <alignment horizontal="center"/>
    </xf>
    <xf numFmtId="164" fontId="0" fillId="2" borderId="14" xfId="0" applyNumberFormat="1" applyFont="1" applyFill="1" applyBorder="1" applyAlignment="1">
      <alignment horizontal="center"/>
    </xf>
    <xf numFmtId="164" fontId="0" fillId="2" borderId="8" xfId="0" applyNumberFormat="1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164" fontId="0" fillId="2" borderId="7" xfId="0" applyNumberFormat="1" applyFont="1" applyFill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2" xfId="2" applyNumberFormat="1" applyFont="1" applyBorder="1" applyAlignment="1">
      <alignment horizontal="center"/>
    </xf>
    <xf numFmtId="164" fontId="0" fillId="0" borderId="7" xfId="2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0" borderId="14" xfId="2" applyNumberFormat="1" applyFont="1" applyBorder="1" applyAlignment="1">
      <alignment horizontal="center"/>
    </xf>
    <xf numFmtId="164" fontId="2" fillId="0" borderId="14" xfId="2" applyNumberFormat="1" applyFont="1" applyBorder="1" applyAlignment="1">
      <alignment horizontal="center"/>
    </xf>
    <xf numFmtId="164" fontId="2" fillId="2" borderId="14" xfId="2" applyNumberFormat="1" applyFont="1" applyFill="1" applyBorder="1" applyAlignment="1">
      <alignment horizontal="center"/>
    </xf>
    <xf numFmtId="164" fontId="0" fillId="2" borderId="9" xfId="2" applyNumberFormat="1" applyFont="1" applyFill="1" applyBorder="1" applyAlignment="1">
      <alignment horizontal="center"/>
    </xf>
    <xf numFmtId="164" fontId="0" fillId="2" borderId="12" xfId="2" applyNumberFormat="1" applyFont="1" applyFill="1" applyBorder="1" applyAlignment="1">
      <alignment horizontal="center"/>
    </xf>
    <xf numFmtId="164" fontId="0" fillId="2" borderId="10" xfId="2" applyNumberFormat="1" applyFont="1" applyFill="1" applyBorder="1" applyAlignment="1">
      <alignment horizontal="center"/>
    </xf>
    <xf numFmtId="164" fontId="0" fillId="2" borderId="15" xfId="0" applyNumberFormat="1" applyFont="1" applyFill="1" applyBorder="1" applyAlignment="1">
      <alignment horizontal="center"/>
    </xf>
    <xf numFmtId="165" fontId="5" fillId="2" borderId="25" xfId="0" applyNumberFormat="1" applyFont="1" applyFill="1" applyBorder="1" applyAlignment="1">
      <alignment horizontal="center"/>
    </xf>
    <xf numFmtId="164" fontId="0" fillId="2" borderId="9" xfId="0" applyNumberFormat="1" applyFont="1" applyFill="1" applyBorder="1" applyAlignment="1">
      <alignment horizontal="center"/>
    </xf>
    <xf numFmtId="164" fontId="0" fillId="2" borderId="12" xfId="0" applyNumberFormat="1" applyFont="1" applyFill="1" applyBorder="1" applyAlignment="1">
      <alignment horizontal="center"/>
    </xf>
    <xf numFmtId="164" fontId="0" fillId="2" borderId="10" xfId="0" applyNumberFormat="1" applyFont="1" applyFill="1" applyBorder="1" applyAlignment="1">
      <alignment horizontal="center"/>
    </xf>
    <xf numFmtId="0" fontId="3" fillId="0" borderId="25" xfId="0" applyNumberFormat="1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9" fontId="0" fillId="2" borderId="17" xfId="1" applyNumberFormat="1" applyFont="1" applyFill="1" applyBorder="1" applyAlignment="1">
      <alignment horizontal="center"/>
    </xf>
    <xf numFmtId="9" fontId="0" fillId="2" borderId="18" xfId="1" applyNumberFormat="1" applyFont="1" applyFill="1" applyBorder="1" applyAlignment="1">
      <alignment horizontal="center"/>
    </xf>
    <xf numFmtId="9" fontId="0" fillId="2" borderId="19" xfId="1" applyNumberFormat="1" applyFont="1" applyFill="1" applyBorder="1" applyAlignment="1">
      <alignment horizontal="center"/>
    </xf>
    <xf numFmtId="9" fontId="0" fillId="2" borderId="16" xfId="1" applyNumberFormat="1" applyFont="1" applyFill="1" applyBorder="1" applyAlignment="1">
      <alignment horizontal="center"/>
    </xf>
    <xf numFmtId="9" fontId="0" fillId="3" borderId="20" xfId="1" applyNumberFormat="1" applyFont="1" applyFill="1" applyBorder="1" applyAlignment="1">
      <alignment horizontal="center"/>
    </xf>
    <xf numFmtId="9" fontId="0" fillId="3" borderId="17" xfId="1" applyNumberFormat="1" applyFont="1" applyFill="1" applyBorder="1" applyAlignment="1">
      <alignment horizontal="center"/>
    </xf>
    <xf numFmtId="9" fontId="0" fillId="3" borderId="18" xfId="1" applyNumberFormat="1" applyFont="1" applyFill="1" applyBorder="1" applyAlignment="1">
      <alignment horizontal="center"/>
    </xf>
    <xf numFmtId="9" fontId="0" fillId="3" borderId="19" xfId="1" applyNumberFormat="1" applyFont="1" applyFill="1" applyBorder="1" applyAlignment="1">
      <alignment horizontal="center"/>
    </xf>
    <xf numFmtId="9" fontId="0" fillId="0" borderId="8" xfId="1" applyNumberFormat="1" applyFont="1" applyFill="1" applyBorder="1" applyAlignment="1">
      <alignment horizontal="center"/>
    </xf>
    <xf numFmtId="9" fontId="0" fillId="0" borderId="2" xfId="1" applyNumberFormat="1" applyFont="1" applyFill="1" applyBorder="1" applyAlignment="1">
      <alignment horizontal="center"/>
    </xf>
    <xf numFmtId="9" fontId="0" fillId="0" borderId="7" xfId="1" applyNumberFormat="1" applyFont="1" applyFill="1" applyBorder="1" applyAlignment="1">
      <alignment horizontal="center"/>
    </xf>
    <xf numFmtId="9" fontId="0" fillId="0" borderId="14" xfId="1" applyNumberFormat="1" applyFont="1" applyFill="1" applyBorder="1" applyAlignment="1">
      <alignment horizontal="center"/>
    </xf>
    <xf numFmtId="9" fontId="0" fillId="0" borderId="3" xfId="1" applyNumberFormat="1" applyFont="1" applyFill="1" applyBorder="1" applyAlignment="1">
      <alignment horizontal="center"/>
    </xf>
    <xf numFmtId="9" fontId="0" fillId="2" borderId="8" xfId="1" applyNumberFormat="1" applyFont="1" applyFill="1" applyBorder="1" applyAlignment="1">
      <alignment horizontal="center"/>
    </xf>
    <xf numFmtId="9" fontId="0" fillId="2" borderId="2" xfId="1" applyNumberFormat="1" applyFont="1" applyFill="1" applyBorder="1" applyAlignment="1">
      <alignment horizontal="center"/>
    </xf>
    <xf numFmtId="9" fontId="0" fillId="2" borderId="7" xfId="1" applyNumberFormat="1" applyFont="1" applyFill="1" applyBorder="1" applyAlignment="1">
      <alignment horizontal="center"/>
    </xf>
    <xf numFmtId="9" fontId="0" fillId="2" borderId="14" xfId="1" applyNumberFormat="1" applyFont="1" applyFill="1" applyBorder="1" applyAlignment="1">
      <alignment horizontal="center"/>
    </xf>
    <xf numFmtId="9" fontId="0" fillId="3" borderId="3" xfId="1" applyNumberFormat="1" applyFont="1" applyFill="1" applyBorder="1" applyAlignment="1">
      <alignment horizontal="center"/>
    </xf>
    <xf numFmtId="9" fontId="0" fillId="3" borderId="8" xfId="1" applyNumberFormat="1" applyFont="1" applyFill="1" applyBorder="1" applyAlignment="1">
      <alignment horizontal="center"/>
    </xf>
    <xf numFmtId="9" fontId="0" fillId="3" borderId="2" xfId="1" applyNumberFormat="1" applyFont="1" applyFill="1" applyBorder="1" applyAlignment="1">
      <alignment horizontal="center"/>
    </xf>
    <xf numFmtId="9" fontId="0" fillId="3" borderId="7" xfId="1" applyNumberFormat="1" applyFont="1" applyFill="1" applyBorder="1" applyAlignment="1">
      <alignment horizontal="center"/>
    </xf>
    <xf numFmtId="9" fontId="0" fillId="0" borderId="8" xfId="1" applyNumberFormat="1" applyFont="1" applyBorder="1" applyAlignment="1">
      <alignment horizontal="center"/>
    </xf>
    <xf numFmtId="9" fontId="0" fillId="0" borderId="2" xfId="1" applyNumberFormat="1" applyFont="1" applyBorder="1" applyAlignment="1">
      <alignment horizontal="center"/>
    </xf>
    <xf numFmtId="9" fontId="0" fillId="0" borderId="7" xfId="1" applyNumberFormat="1" applyFont="1" applyBorder="1" applyAlignment="1">
      <alignment horizontal="center"/>
    </xf>
    <xf numFmtId="9" fontId="0" fillId="0" borderId="14" xfId="1" applyNumberFormat="1" applyFont="1" applyBorder="1" applyAlignment="1">
      <alignment horizontal="center"/>
    </xf>
    <xf numFmtId="9" fontId="0" fillId="2" borderId="9" xfId="1" applyNumberFormat="1" applyFont="1" applyFill="1" applyBorder="1" applyAlignment="1">
      <alignment horizontal="center"/>
    </xf>
    <xf numFmtId="9" fontId="0" fillId="2" borderId="12" xfId="1" applyNumberFormat="1" applyFont="1" applyFill="1" applyBorder="1" applyAlignment="1">
      <alignment horizontal="center"/>
    </xf>
    <xf numFmtId="9" fontId="0" fillId="2" borderId="10" xfId="1" applyNumberFormat="1" applyFont="1" applyFill="1" applyBorder="1" applyAlignment="1">
      <alignment horizontal="center"/>
    </xf>
    <xf numFmtId="9" fontId="0" fillId="2" borderId="15" xfId="1" applyNumberFormat="1" applyFont="1" applyFill="1" applyBorder="1" applyAlignment="1">
      <alignment horizontal="center"/>
    </xf>
    <xf numFmtId="9" fontId="0" fillId="3" borderId="25" xfId="1" applyNumberFormat="1" applyFont="1" applyFill="1" applyBorder="1" applyAlignment="1">
      <alignment horizontal="center"/>
    </xf>
    <xf numFmtId="9" fontId="0" fillId="3" borderId="9" xfId="1" applyNumberFormat="1" applyFont="1" applyFill="1" applyBorder="1" applyAlignment="1">
      <alignment horizontal="center"/>
    </xf>
    <xf numFmtId="9" fontId="0" fillId="3" borderId="12" xfId="1" applyNumberFormat="1" applyFont="1" applyFill="1" applyBorder="1" applyAlignment="1">
      <alignment horizontal="center"/>
    </xf>
    <xf numFmtId="9" fontId="0" fillId="3" borderId="10" xfId="1" applyNumberFormat="1" applyFont="1" applyFill="1" applyBorder="1" applyAlignment="1">
      <alignment horizontal="center"/>
    </xf>
    <xf numFmtId="2" fontId="0" fillId="2" borderId="32" xfId="0" applyNumberFormat="1" applyFont="1" applyFill="1" applyBorder="1"/>
    <xf numFmtId="2" fontId="0" fillId="0" borderId="32" xfId="0" applyNumberFormat="1" applyFont="1" applyBorder="1"/>
    <xf numFmtId="2" fontId="0" fillId="0" borderId="23" xfId="0" applyNumberFormat="1" applyFont="1" applyBorder="1"/>
    <xf numFmtId="0" fontId="3" fillId="0" borderId="33" xfId="0" applyNumberFormat="1" applyFont="1" applyBorder="1" applyAlignment="1">
      <alignment horizontal="center" vertical="center"/>
    </xf>
    <xf numFmtId="2" fontId="0" fillId="2" borderId="37" xfId="0" applyNumberFormat="1" applyFont="1" applyFill="1" applyBorder="1"/>
    <xf numFmtId="9" fontId="0" fillId="2" borderId="32" xfId="0" applyNumberFormat="1" applyFont="1" applyFill="1" applyBorder="1"/>
    <xf numFmtId="9" fontId="0" fillId="0" borderId="32" xfId="0" applyNumberFormat="1" applyFont="1" applyBorder="1"/>
    <xf numFmtId="9" fontId="0" fillId="0" borderId="23" xfId="0" applyNumberFormat="1" applyFont="1" applyBorder="1"/>
    <xf numFmtId="9" fontId="0" fillId="2" borderId="37" xfId="0" applyNumberFormat="1" applyFont="1" applyFill="1" applyBorder="1"/>
    <xf numFmtId="0" fontId="3" fillId="0" borderId="35" xfId="0" applyNumberFormat="1" applyFont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3" borderId="38" xfId="0" applyNumberFormat="1" applyFill="1" applyBorder="1" applyAlignment="1">
      <alignment horizontal="center"/>
    </xf>
    <xf numFmtId="165" fontId="5" fillId="2" borderId="20" xfId="0" applyNumberFormat="1" applyFont="1" applyFill="1" applyBorder="1" applyAlignment="1">
      <alignment horizontal="center"/>
    </xf>
    <xf numFmtId="2" fontId="0" fillId="2" borderId="19" xfId="0" applyNumberFormat="1" applyFont="1" applyFill="1" applyBorder="1" applyAlignment="1">
      <alignment horizontal="center"/>
    </xf>
    <xf numFmtId="2" fontId="0" fillId="3" borderId="39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34" xfId="0" applyNumberFormat="1" applyFill="1" applyBorder="1" applyAlignment="1">
      <alignment horizontal="center"/>
    </xf>
    <xf numFmtId="2" fontId="0" fillId="2" borderId="7" xfId="0" applyNumberFormat="1" applyFon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165" fontId="5" fillId="0" borderId="25" xfId="0" applyNumberFormat="1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3" fillId="0" borderId="36" xfId="0" applyNumberFormat="1" applyFont="1" applyBorder="1" applyAlignment="1">
      <alignment horizontal="center"/>
    </xf>
    <xf numFmtId="9" fontId="0" fillId="2" borderId="41" xfId="1" applyNumberFormat="1" applyFont="1" applyFill="1" applyBorder="1" applyAlignment="1">
      <alignment horizontal="center"/>
    </xf>
    <xf numFmtId="9" fontId="0" fillId="2" borderId="39" xfId="1" applyNumberFormat="1" applyFont="1" applyFill="1" applyBorder="1" applyAlignment="1">
      <alignment horizontal="center"/>
    </xf>
    <xf numFmtId="9" fontId="0" fillId="4" borderId="8" xfId="1" applyNumberFormat="1" applyFont="1" applyFill="1" applyBorder="1" applyAlignment="1">
      <alignment horizontal="center"/>
    </xf>
    <xf numFmtId="9" fontId="0" fillId="4" borderId="2" xfId="1" applyNumberFormat="1" applyFont="1" applyFill="1" applyBorder="1" applyAlignment="1">
      <alignment horizontal="center"/>
    </xf>
    <xf numFmtId="9" fontId="0" fillId="4" borderId="1" xfId="1" applyNumberFormat="1" applyFont="1" applyFill="1" applyBorder="1" applyAlignment="1">
      <alignment horizontal="center"/>
    </xf>
    <xf numFmtId="9" fontId="0" fillId="4" borderId="14" xfId="1" applyNumberFormat="1" applyFont="1" applyFill="1" applyBorder="1" applyAlignment="1">
      <alignment horizontal="center"/>
    </xf>
    <xf numFmtId="9" fontId="0" fillId="4" borderId="4" xfId="1" applyNumberFormat="1" applyFont="1" applyFill="1" applyBorder="1" applyAlignment="1">
      <alignment horizontal="center"/>
    </xf>
    <xf numFmtId="9" fontId="0" fillId="4" borderId="7" xfId="1" applyNumberFormat="1" applyFont="1" applyFill="1" applyBorder="1" applyAlignment="1">
      <alignment horizontal="center"/>
    </xf>
    <xf numFmtId="9" fontId="0" fillId="0" borderId="4" xfId="1" applyNumberFormat="1" applyFont="1" applyFill="1" applyBorder="1" applyAlignment="1">
      <alignment horizontal="center"/>
    </xf>
    <xf numFmtId="9" fontId="0" fillId="2" borderId="1" xfId="1" applyNumberFormat="1" applyFont="1" applyFill="1" applyBorder="1" applyAlignment="1">
      <alignment horizontal="center"/>
    </xf>
    <xf numFmtId="9" fontId="0" fillId="2" borderId="4" xfId="1" applyNumberFormat="1" applyFont="1" applyFill="1" applyBorder="1" applyAlignment="1">
      <alignment horizontal="center"/>
    </xf>
    <xf numFmtId="9" fontId="0" fillId="0" borderId="9" xfId="1" applyNumberFormat="1" applyFont="1" applyBorder="1" applyAlignment="1">
      <alignment horizontal="center"/>
    </xf>
    <xf numFmtId="9" fontId="0" fillId="0" borderId="12" xfId="1" applyNumberFormat="1" applyFont="1" applyBorder="1" applyAlignment="1">
      <alignment horizontal="center"/>
    </xf>
    <xf numFmtId="9" fontId="0" fillId="0" borderId="24" xfId="1" applyNumberFormat="1" applyFont="1" applyBorder="1" applyAlignment="1">
      <alignment horizontal="center"/>
    </xf>
    <xf numFmtId="9" fontId="0" fillId="0" borderId="15" xfId="1" applyNumberFormat="1" applyFont="1" applyBorder="1" applyAlignment="1">
      <alignment horizontal="center"/>
    </xf>
    <xf numFmtId="9" fontId="0" fillId="0" borderId="36" xfId="1" applyNumberFormat="1" applyFont="1" applyBorder="1" applyAlignment="1">
      <alignment horizontal="center"/>
    </xf>
    <xf numFmtId="9" fontId="0" fillId="0" borderId="10" xfId="1" applyNumberFormat="1" applyFont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0" fontId="3" fillId="0" borderId="6" xfId="0" applyNumberFormat="1" applyFont="1" applyFill="1" applyBorder="1" applyAlignment="1">
      <alignment horizontal="center"/>
    </xf>
    <xf numFmtId="0" fontId="3" fillId="0" borderId="11" xfId="0" applyNumberFormat="1" applyFont="1" applyFill="1" applyBorder="1" applyAlignment="1">
      <alignment horizont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/>
    </xf>
    <xf numFmtId="0" fontId="3" fillId="0" borderId="11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31" xfId="0" applyNumberFormat="1" applyFont="1" applyFill="1" applyBorder="1" applyAlignment="1">
      <alignment horizontal="center"/>
    </xf>
    <xf numFmtId="0" fontId="3" fillId="0" borderId="30" xfId="0" applyNumberFormat="1" applyFont="1" applyBorder="1" applyAlignment="1">
      <alignment horizontal="center" vertical="center"/>
    </xf>
    <xf numFmtId="0" fontId="3" fillId="0" borderId="40" xfId="0" applyNumberFormat="1" applyFont="1" applyBorder="1" applyAlignment="1">
      <alignment horizontal="center" vertical="center"/>
    </xf>
  </cellXfs>
  <cellStyles count="4">
    <cellStyle name="Milliers 2" xfId="2"/>
    <cellStyle name="Milliers 3" xfId="3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"/>
  <sheetViews>
    <sheetView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21" sqref="O21"/>
    </sheetView>
  </sheetViews>
  <sheetFormatPr baseColWidth="10" defaultRowHeight="15" x14ac:dyDescent="0.25"/>
  <cols>
    <col min="1" max="1" width="30.140625" bestFit="1" customWidth="1"/>
    <col min="7" max="7" width="2.5703125" hidden="1" customWidth="1"/>
    <col min="13" max="13" width="11.85546875" bestFit="1" customWidth="1"/>
  </cols>
  <sheetData>
    <row r="1" spans="1:13" x14ac:dyDescent="0.25">
      <c r="A1" s="154" t="s">
        <v>24</v>
      </c>
      <c r="B1" s="156" t="s">
        <v>10</v>
      </c>
      <c r="C1" s="157"/>
      <c r="D1" s="157"/>
      <c r="E1" s="158"/>
      <c r="F1" s="6" t="s">
        <v>11</v>
      </c>
      <c r="G1" s="7"/>
      <c r="H1" s="151" t="s">
        <v>27</v>
      </c>
      <c r="I1" s="153"/>
      <c r="J1" s="153"/>
      <c r="K1" s="152"/>
      <c r="L1" s="151" t="s">
        <v>28</v>
      </c>
      <c r="M1" s="152"/>
    </row>
    <row r="2" spans="1:13" ht="15.75" thickBot="1" x14ac:dyDescent="0.3">
      <c r="A2" s="155"/>
      <c r="B2" s="12">
        <v>2015</v>
      </c>
      <c r="C2" s="13">
        <v>2016</v>
      </c>
      <c r="D2" s="13">
        <v>2017</v>
      </c>
      <c r="E2" s="14">
        <v>2018</v>
      </c>
      <c r="F2" s="15">
        <v>2018</v>
      </c>
      <c r="G2" s="16" t="s">
        <v>21</v>
      </c>
      <c r="H2" s="12" t="s">
        <v>12</v>
      </c>
      <c r="I2" s="13" t="s">
        <v>13</v>
      </c>
      <c r="J2" s="17" t="s">
        <v>14</v>
      </c>
      <c r="K2" s="18" t="s">
        <v>20</v>
      </c>
      <c r="L2" s="12" t="s">
        <v>12</v>
      </c>
      <c r="M2" s="18" t="s">
        <v>14</v>
      </c>
    </row>
    <row r="3" spans="1:13" x14ac:dyDescent="0.25">
      <c r="A3" s="8" t="s">
        <v>0</v>
      </c>
      <c r="B3" s="19">
        <v>722.85914336558403</v>
      </c>
      <c r="C3" s="20">
        <v>740.35400000000004</v>
      </c>
      <c r="D3" s="20">
        <v>743.35500000000002</v>
      </c>
      <c r="E3" s="21">
        <v>743.17697336543495</v>
      </c>
      <c r="F3" s="22">
        <f>718.2</f>
        <v>718.2</v>
      </c>
      <c r="G3" s="23">
        <f>E3/F3</f>
        <v>1.034777183744688</v>
      </c>
      <c r="H3" s="24">
        <f>H4+H5</f>
        <v>752.65018360527347</v>
      </c>
      <c r="I3" s="25">
        <f t="shared" ref="I3:K3" si="0">I4+I5</f>
        <v>749.06912296204791</v>
      </c>
      <c r="J3" s="25">
        <f t="shared" si="0"/>
        <v>819.39165217420316</v>
      </c>
      <c r="K3" s="26">
        <f t="shared" si="0"/>
        <v>837.29563087553561</v>
      </c>
      <c r="L3" s="24">
        <f>L4+L5</f>
        <v>754.43258895645795</v>
      </c>
      <c r="M3" s="26">
        <f t="shared" ref="M3" si="1">M4+M5</f>
        <v>861.48539365975796</v>
      </c>
    </row>
    <row r="4" spans="1:13" x14ac:dyDescent="0.25">
      <c r="A4" s="3" t="s">
        <v>22</v>
      </c>
      <c r="B4" s="27"/>
      <c r="C4" s="28"/>
      <c r="D4" s="28"/>
      <c r="E4" s="29"/>
      <c r="F4" s="30"/>
      <c r="G4" s="31">
        <f>E3/F3</f>
        <v>1.034777183744688</v>
      </c>
      <c r="H4" s="32">
        <f>258.141638*G4</f>
        <v>267.11907717688075</v>
      </c>
      <c r="I4" s="33">
        <f>254.835449*G4</f>
        <v>263.69790823453309</v>
      </c>
      <c r="J4" s="33">
        <f>296.473705*G4</f>
        <v>306.78422551425342</v>
      </c>
      <c r="K4" s="34">
        <f>312.764009*G4</f>
        <v>323.64106040971825</v>
      </c>
      <c r="L4" s="32">
        <f>260.156302*G4</f>
        <v>269.20380551699253</v>
      </c>
      <c r="M4" s="34">
        <f>312.387825*G4</f>
        <v>323.25179378962844</v>
      </c>
    </row>
    <row r="5" spans="1:13" x14ac:dyDescent="0.25">
      <c r="A5" s="2" t="s">
        <v>23</v>
      </c>
      <c r="B5" s="35"/>
      <c r="C5" s="36"/>
      <c r="D5" s="36"/>
      <c r="E5" s="37"/>
      <c r="F5" s="38"/>
      <c r="G5" s="31">
        <f>E3/F3</f>
        <v>1.034777183744688</v>
      </c>
      <c r="H5" s="39">
        <f>469.213193*G5</f>
        <v>485.53110642839272</v>
      </c>
      <c r="I5" s="40">
        <f>469.058675*G5</f>
        <v>485.37121472751488</v>
      </c>
      <c r="J5" s="40">
        <f>495.379522*G5</f>
        <v>512.60742665994974</v>
      </c>
      <c r="K5" s="41">
        <f>496.391473*G5</f>
        <v>513.6545704658173</v>
      </c>
      <c r="L5" s="39">
        <f>468.921030596657*G5</f>
        <v>485.22878343946536</v>
      </c>
      <c r="M5" s="41">
        <f>520.144441069285*G5</f>
        <v>538.23359987012952</v>
      </c>
    </row>
    <row r="6" spans="1:13" x14ac:dyDescent="0.25">
      <c r="A6" s="4" t="s">
        <v>1</v>
      </c>
      <c r="B6" s="42">
        <v>163.174731408176</v>
      </c>
      <c r="C6" s="43">
        <v>162.976564658429</v>
      </c>
      <c r="D6" s="43">
        <v>168.68669789593599</v>
      </c>
      <c r="E6" s="44">
        <v>166.425840891614</v>
      </c>
      <c r="F6" s="45">
        <f>SUM(F7:F8)</f>
        <v>136</v>
      </c>
      <c r="G6" s="46">
        <f t="shared" ref="G6:G9" si="2">E6/F6</f>
        <v>1.2237194183206912</v>
      </c>
      <c r="H6" s="47">
        <f>H7+H8</f>
        <v>189.818754105106</v>
      </c>
      <c r="I6" s="48">
        <f t="shared" ref="I6:K6" si="3">I7+I8</f>
        <v>192.85177787107028</v>
      </c>
      <c r="J6" s="48">
        <f t="shared" si="3"/>
        <v>257.40951021250692</v>
      </c>
      <c r="K6" s="49">
        <f t="shared" si="3"/>
        <v>246.93897188233862</v>
      </c>
      <c r="L6" s="47">
        <f>L7+L8</f>
        <v>201.71698734061314</v>
      </c>
      <c r="M6" s="49">
        <f t="shared" ref="M6" si="4">M7+M8</f>
        <v>246.25531834751666</v>
      </c>
    </row>
    <row r="7" spans="1:13" x14ac:dyDescent="0.25">
      <c r="A7" s="2" t="s">
        <v>2</v>
      </c>
      <c r="B7" s="35">
        <v>104.84877268771599</v>
      </c>
      <c r="C7" s="36">
        <v>104.207603508264</v>
      </c>
      <c r="D7" s="36">
        <v>110.46922118471301</v>
      </c>
      <c r="E7" s="37">
        <v>107.92049502896801</v>
      </c>
      <c r="F7" s="38">
        <f>72.1</f>
        <v>72.099999999999994</v>
      </c>
      <c r="G7" s="31">
        <f t="shared" si="2"/>
        <v>1.4968168519967824</v>
      </c>
      <c r="H7" s="39">
        <f>(82.957759+2.158694+4.336097)*G7</f>
        <v>133.89408429408476</v>
      </c>
      <c r="I7" s="40">
        <f>(84.848631+2.214939+4.418756)*G7</f>
        <v>136.93228721666341</v>
      </c>
      <c r="J7" s="40">
        <f>(125.1+2.516056+2.856451)*G7</f>
        <v>195.29344719986815</v>
      </c>
      <c r="K7" s="41">
        <f>(115.7+2.318574+5.483721)*G7</f>
        <v>184.86031641627795</v>
      </c>
      <c r="L7" s="39">
        <f>(89.966453+2.342972+4.722728)*G7</f>
        <v>145.23936179593017</v>
      </c>
      <c r="M7" s="41">
        <f>(113.5+3.23269+5.84394)*G7</f>
        <v>183.47476544497437</v>
      </c>
    </row>
    <row r="8" spans="1:13" x14ac:dyDescent="0.25">
      <c r="A8" s="4" t="s">
        <v>3</v>
      </c>
      <c r="B8" s="42">
        <v>58.325958720460598</v>
      </c>
      <c r="C8" s="43">
        <v>58.768961150165097</v>
      </c>
      <c r="D8" s="43">
        <v>58.217476711223298</v>
      </c>
      <c r="E8" s="44">
        <v>58.505345862645903</v>
      </c>
      <c r="F8" s="50">
        <v>63.9</v>
      </c>
      <c r="G8" s="46">
        <f t="shared" si="2"/>
        <v>0.91557661756879349</v>
      </c>
      <c r="H8" s="47">
        <f>61.0813652706888*G8</f>
        <v>55.924669811021225</v>
      </c>
      <c r="I8" s="48">
        <f>61.0757085550028*G8</f>
        <v>55.919490654406886</v>
      </c>
      <c r="J8" s="48">
        <f>67.8436537376639*G8</f>
        <v>62.116063012638747</v>
      </c>
      <c r="K8" s="49">
        <f>67.8027969203749*G8</f>
        <v>62.07865546606066</v>
      </c>
      <c r="L8" s="47">
        <f>61.6853078824279*G8</f>
        <v>56.477625544682972</v>
      </c>
      <c r="M8" s="49">
        <f>68.5694148341716*G8</f>
        <v>62.780552902542283</v>
      </c>
    </row>
    <row r="9" spans="1:13" x14ac:dyDescent="0.25">
      <c r="A9" s="2" t="s">
        <v>4</v>
      </c>
      <c r="B9" s="35">
        <v>14.28</v>
      </c>
      <c r="C9" s="36">
        <v>14.82</v>
      </c>
      <c r="D9" s="36">
        <v>15.41</v>
      </c>
      <c r="E9" s="37">
        <v>15.88</v>
      </c>
      <c r="F9" s="38">
        <v>13.5</v>
      </c>
      <c r="G9" s="31">
        <f t="shared" si="2"/>
        <v>1.1762962962962964</v>
      </c>
      <c r="H9" s="39">
        <f>17.4*G9</f>
        <v>20.467555555555556</v>
      </c>
      <c r="I9" s="40">
        <f>17.254012*G9</f>
        <v>20.295830411851853</v>
      </c>
      <c r="J9" s="40">
        <f>20.107939*G9</f>
        <v>23.652894171851852</v>
      </c>
      <c r="K9" s="41">
        <f>20.107939*G9</f>
        <v>23.652894171851852</v>
      </c>
      <c r="L9" s="39">
        <f>19.521519*G9</f>
        <v>22.963090497777781</v>
      </c>
      <c r="M9" s="41">
        <f>18.529594*G9</f>
        <v>21.796292794074077</v>
      </c>
    </row>
    <row r="10" spans="1:13" x14ac:dyDescent="0.25">
      <c r="A10" s="4" t="s">
        <v>5</v>
      </c>
      <c r="B10" s="42">
        <v>13.931941648584999</v>
      </c>
      <c r="C10" s="43">
        <v>13.9</v>
      </c>
      <c r="D10" s="43">
        <v>13.9</v>
      </c>
      <c r="E10" s="44">
        <v>13.9</v>
      </c>
      <c r="F10" s="51">
        <v>13.9</v>
      </c>
      <c r="G10" s="46"/>
      <c r="H10" s="47">
        <f>$F$10*H3/$F$3</f>
        <v>14.566746800491925</v>
      </c>
      <c r="I10" s="48">
        <f t="shared" ref="I10" si="5">$F$10*I3/$F$3</f>
        <v>14.497439166210617</v>
      </c>
      <c r="J10" s="48">
        <f>$F$10*J3/$F$3</f>
        <v>15.858457205822088</v>
      </c>
      <c r="K10" s="49">
        <f>$F$10*K3/$F$3</f>
        <v>16.20496974264821</v>
      </c>
      <c r="L10" s="47">
        <f>$F$10*L3/$F$3</f>
        <v>14.601243367439103</v>
      </c>
      <c r="M10" s="49">
        <f>$F$10*M3/$F$3</f>
        <v>16.673136970023162</v>
      </c>
    </row>
    <row r="11" spans="1:13" x14ac:dyDescent="0.25">
      <c r="A11" s="2" t="s">
        <v>9</v>
      </c>
      <c r="B11" s="35">
        <v>5.5</v>
      </c>
      <c r="C11" s="36">
        <v>5.5</v>
      </c>
      <c r="D11" s="36">
        <v>5.5</v>
      </c>
      <c r="E11" s="37">
        <v>5.5</v>
      </c>
      <c r="F11" s="52">
        <v>5.5</v>
      </c>
      <c r="G11" s="31"/>
      <c r="H11" s="39">
        <v>16.5</v>
      </c>
      <c r="I11" s="40">
        <v>16.5</v>
      </c>
      <c r="J11" s="40">
        <v>16.5</v>
      </c>
      <c r="K11" s="41">
        <v>16.5</v>
      </c>
      <c r="L11" s="39">
        <v>16.5</v>
      </c>
      <c r="M11" s="41">
        <v>16.5</v>
      </c>
    </row>
    <row r="12" spans="1:13" x14ac:dyDescent="0.25">
      <c r="A12" s="4" t="s">
        <v>6</v>
      </c>
      <c r="B12" s="42">
        <v>919.74581642234602</v>
      </c>
      <c r="C12" s="43">
        <v>937.55056465842904</v>
      </c>
      <c r="D12" s="43">
        <v>946.85169789593601</v>
      </c>
      <c r="E12" s="44">
        <v>944.88281425704895</v>
      </c>
      <c r="F12" s="45">
        <f>F3+F6+F9+F10+F11</f>
        <v>887.1</v>
      </c>
      <c r="G12" s="46"/>
      <c r="H12" s="47">
        <f>SUM(H3,H6,H9:H11)</f>
        <v>994.003240066427</v>
      </c>
      <c r="I12" s="48">
        <f t="shared" ref="I12:K12" si="6">SUM(I3,I6,I9:I11)</f>
        <v>993.21417041118059</v>
      </c>
      <c r="J12" s="48">
        <f t="shared" si="6"/>
        <v>1132.812513764384</v>
      </c>
      <c r="K12" s="49">
        <f t="shared" si="6"/>
        <v>1140.5924666723743</v>
      </c>
      <c r="L12" s="47">
        <f>SUM(L3,L6,L9:L11)</f>
        <v>1010.213910162288</v>
      </c>
      <c r="M12" s="49">
        <f>SUM(M3,M6,M9:M11)</f>
        <v>1162.7101417713718</v>
      </c>
    </row>
    <row r="13" spans="1:13" ht="15.75" thickBot="1" x14ac:dyDescent="0.3">
      <c r="A13" s="5" t="s">
        <v>7</v>
      </c>
      <c r="B13" s="53">
        <v>914.24581642234602</v>
      </c>
      <c r="C13" s="54">
        <v>932.05056465842904</v>
      </c>
      <c r="D13" s="54">
        <v>941.35169789593601</v>
      </c>
      <c r="E13" s="55">
        <v>939.38281425704895</v>
      </c>
      <c r="F13" s="56">
        <f>F12-F11</f>
        <v>881.6</v>
      </c>
      <c r="G13" s="57"/>
      <c r="H13" s="58">
        <f>H12-H11</f>
        <v>977.503240066427</v>
      </c>
      <c r="I13" s="59">
        <f t="shared" ref="I13:K13" si="7">I12-I11</f>
        <v>976.71417041118059</v>
      </c>
      <c r="J13" s="59">
        <f t="shared" si="7"/>
        <v>1116.312513764384</v>
      </c>
      <c r="K13" s="60">
        <f t="shared" si="7"/>
        <v>1124.0924666723743</v>
      </c>
      <c r="L13" s="58">
        <f>L12-L11</f>
        <v>993.71391016228802</v>
      </c>
      <c r="M13" s="60">
        <f t="shared" ref="M13" si="8">M12-M11</f>
        <v>1146.2101417713718</v>
      </c>
    </row>
    <row r="14" spans="1:13" ht="15.75" thickBot="1" x14ac:dyDescent="0.3">
      <c r="A14" s="1"/>
      <c r="B14" s="1"/>
      <c r="C14" s="1"/>
      <c r="D14" s="1"/>
      <c r="E14" s="1"/>
      <c r="F14" s="1"/>
      <c r="G14" s="1"/>
    </row>
    <row r="15" spans="1:13" x14ac:dyDescent="0.25">
      <c r="A15" s="154" t="s">
        <v>8</v>
      </c>
      <c r="B15" s="156" t="s">
        <v>10</v>
      </c>
      <c r="C15" s="157"/>
      <c r="D15" s="157"/>
      <c r="E15" s="158"/>
      <c r="F15" s="6" t="s">
        <v>11</v>
      </c>
      <c r="G15" s="7"/>
      <c r="H15" s="151" t="s">
        <v>27</v>
      </c>
      <c r="I15" s="153"/>
      <c r="J15" s="153"/>
      <c r="K15" s="152"/>
      <c r="L15" s="151" t="s">
        <v>28</v>
      </c>
      <c r="M15" s="152"/>
    </row>
    <row r="16" spans="1:13" ht="15.75" thickBot="1" x14ac:dyDescent="0.3">
      <c r="A16" s="155"/>
      <c r="B16" s="12">
        <v>2015</v>
      </c>
      <c r="C16" s="13">
        <v>2016</v>
      </c>
      <c r="D16" s="13">
        <v>2017</v>
      </c>
      <c r="E16" s="14">
        <v>2018</v>
      </c>
      <c r="F16" s="15">
        <v>2018</v>
      </c>
      <c r="G16" s="61"/>
      <c r="H16" s="62" t="s">
        <v>12</v>
      </c>
      <c r="I16" s="63" t="s">
        <v>13</v>
      </c>
      <c r="J16" s="17" t="s">
        <v>14</v>
      </c>
      <c r="K16" s="18" t="s">
        <v>20</v>
      </c>
      <c r="L16" s="62" t="s">
        <v>12</v>
      </c>
      <c r="M16" s="18" t="s">
        <v>14</v>
      </c>
    </row>
    <row r="17" spans="1:13" x14ac:dyDescent="0.25">
      <c r="A17" s="11" t="s">
        <v>0</v>
      </c>
      <c r="B17" s="64">
        <f>B3/$B$12</f>
        <v>0.7859336030223899</v>
      </c>
      <c r="C17" s="65">
        <f>C3/$C$12</f>
        <v>0.78966834206934511</v>
      </c>
      <c r="D17" s="65">
        <f>D3/$D$12</f>
        <v>0.78508070656879003</v>
      </c>
      <c r="E17" s="66">
        <f>E3/$E$12</f>
        <v>0.78652819392189588</v>
      </c>
      <c r="F17" s="67">
        <f>F3/$F$12</f>
        <v>0.80960432871153198</v>
      </c>
      <c r="G17" s="68"/>
      <c r="H17" s="69">
        <f>H3/H$12</f>
        <v>0.75719087550959652</v>
      </c>
      <c r="I17" s="70">
        <f t="shared" ref="I17" si="9">I3/I$12</f>
        <v>0.75418690678964129</v>
      </c>
      <c r="J17" s="70">
        <f>J3/J12</f>
        <v>0.72332503588906338</v>
      </c>
      <c r="K17" s="71">
        <f>K3/K12</f>
        <v>0.73408834035026271</v>
      </c>
      <c r="L17" s="69">
        <f>L3/L$12</f>
        <v>0.74680479190319249</v>
      </c>
      <c r="M17" s="71">
        <f>M3/M$12</f>
        <v>0.74092876866739776</v>
      </c>
    </row>
    <row r="18" spans="1:13" x14ac:dyDescent="0.25">
      <c r="A18" s="3" t="s">
        <v>22</v>
      </c>
      <c r="B18" s="72"/>
      <c r="C18" s="73"/>
      <c r="D18" s="73"/>
      <c r="E18" s="74"/>
      <c r="F18" s="75"/>
      <c r="G18" s="76"/>
      <c r="H18" s="72">
        <f t="shared" ref="H18:J19" si="10">H4/H$12</f>
        <v>0.26873059001199007</v>
      </c>
      <c r="I18" s="73">
        <f t="shared" si="10"/>
        <v>0.26549954288848376</v>
      </c>
      <c r="J18" s="73">
        <f t="shared" si="10"/>
        <v>0.27081641647371679</v>
      </c>
      <c r="K18" s="74">
        <f t="shared" ref="K18:K27" si="11">K4/$K$12</f>
        <v>0.28374820092747594</v>
      </c>
      <c r="L18" s="72">
        <f t="shared" ref="L18:M18" si="12">L4/L$12</f>
        <v>0.26648198248799176</v>
      </c>
      <c r="M18" s="74">
        <f t="shared" si="12"/>
        <v>0.27801580305918644</v>
      </c>
    </row>
    <row r="19" spans="1:13" x14ac:dyDescent="0.25">
      <c r="A19" s="2" t="s">
        <v>23</v>
      </c>
      <c r="B19" s="77"/>
      <c r="C19" s="78"/>
      <c r="D19" s="78"/>
      <c r="E19" s="79"/>
      <c r="F19" s="80"/>
      <c r="G19" s="81"/>
      <c r="H19" s="82">
        <f t="shared" si="10"/>
        <v>0.48846028549760639</v>
      </c>
      <c r="I19" s="83">
        <f t="shared" si="10"/>
        <v>0.48868736390115752</v>
      </c>
      <c r="J19" s="83">
        <f t="shared" si="10"/>
        <v>0.45250861941534659</v>
      </c>
      <c r="K19" s="84">
        <f t="shared" si="11"/>
        <v>0.45034013942278678</v>
      </c>
      <c r="L19" s="82">
        <f>L5/L$12</f>
        <v>0.48032280941520072</v>
      </c>
      <c r="M19" s="84">
        <f t="shared" ref="L19:M27" si="13">M5/M$12</f>
        <v>0.46291296560821132</v>
      </c>
    </row>
    <row r="20" spans="1:13" x14ac:dyDescent="0.25">
      <c r="A20" s="3" t="s">
        <v>1</v>
      </c>
      <c r="B20" s="85">
        <f t="shared" ref="B20:B27" si="14">B6/$B$12</f>
        <v>0.17741285526353118</v>
      </c>
      <c r="C20" s="86">
        <f t="shared" ref="C20:C27" si="15">C6/$C$12</f>
        <v>0.17383229321375862</v>
      </c>
      <c r="D20" s="86">
        <f t="shared" ref="D20:D27" si="16">D6/$D$12</f>
        <v>0.17815535238600327</v>
      </c>
      <c r="E20" s="87">
        <f t="shared" ref="E20:E27" si="17">E6/$E$12</f>
        <v>0.17613384261039061</v>
      </c>
      <c r="F20" s="88">
        <f t="shared" ref="F20:F27" si="18">F6/$F$12</f>
        <v>0.15330853342351483</v>
      </c>
      <c r="G20" s="76"/>
      <c r="H20" s="72">
        <f t="shared" ref="H20:H27" si="19">H6/H$12</f>
        <v>0.19096391888261938</v>
      </c>
      <c r="I20" s="73">
        <f>I6/I$12</f>
        <v>0.19416937818278571</v>
      </c>
      <c r="J20" s="73">
        <f t="shared" ref="J20" si="20">J6/J$12</f>
        <v>0.22723046142659936</v>
      </c>
      <c r="K20" s="74">
        <f t="shared" si="11"/>
        <v>0.21650061621288069</v>
      </c>
      <c r="L20" s="72">
        <f t="shared" si="13"/>
        <v>0.19967749930131914</v>
      </c>
      <c r="M20" s="74">
        <f t="shared" si="13"/>
        <v>0.21179424647689948</v>
      </c>
    </row>
    <row r="21" spans="1:13" x14ac:dyDescent="0.25">
      <c r="A21" s="9" t="s">
        <v>2</v>
      </c>
      <c r="B21" s="77">
        <f t="shared" si="14"/>
        <v>0.11399755325396292</v>
      </c>
      <c r="C21" s="78">
        <f t="shared" si="15"/>
        <v>0.11114878219526132</v>
      </c>
      <c r="D21" s="78">
        <f t="shared" si="16"/>
        <v>0.11667003547672167</v>
      </c>
      <c r="E21" s="79">
        <f t="shared" si="17"/>
        <v>0.11421574548778804</v>
      </c>
      <c r="F21" s="80">
        <f t="shared" si="18"/>
        <v>8.127606808702513E-2</v>
      </c>
      <c r="G21" s="81"/>
      <c r="H21" s="82">
        <f t="shared" si="19"/>
        <v>0.13470185900514461</v>
      </c>
      <c r="I21" s="83">
        <f>I7/I$12</f>
        <v>0.1378678348497332</v>
      </c>
      <c r="J21" s="83">
        <f t="shared" ref="J21" si="21">J7/J$12</f>
        <v>0.17239697198515203</v>
      </c>
      <c r="K21" s="84">
        <f t="shared" si="11"/>
        <v>0.16207394123476843</v>
      </c>
      <c r="L21" s="82">
        <f t="shared" si="13"/>
        <v>0.14377089875212457</v>
      </c>
      <c r="M21" s="84">
        <f t="shared" si="13"/>
        <v>0.15779923030984597</v>
      </c>
    </row>
    <row r="22" spans="1:13" x14ac:dyDescent="0.25">
      <c r="A22" s="3" t="s">
        <v>3</v>
      </c>
      <c r="B22" s="85">
        <f t="shared" si="14"/>
        <v>6.3415302009568908E-2</v>
      </c>
      <c r="C22" s="86">
        <f t="shared" si="15"/>
        <v>6.2683511018497395E-2</v>
      </c>
      <c r="D22" s="86">
        <f t="shared" si="16"/>
        <v>6.1485316909281926E-2</v>
      </c>
      <c r="E22" s="87">
        <f t="shared" si="17"/>
        <v>6.1918097122602468E-2</v>
      </c>
      <c r="F22" s="88">
        <f t="shared" si="18"/>
        <v>7.2032465336489687E-2</v>
      </c>
      <c r="G22" s="76"/>
      <c r="H22" s="72">
        <f>H8/H$12</f>
        <v>5.6262059877474749E-2</v>
      </c>
      <c r="I22" s="73">
        <f>I8/I$12</f>
        <v>5.6301543333052512E-2</v>
      </c>
      <c r="J22" s="73">
        <f t="shared" ref="J22" si="22">J8/J$12</f>
        <v>5.4833489441447322E-2</v>
      </c>
      <c r="K22" s="74">
        <f>K8/$K$12</f>
        <v>5.4426674978112266E-2</v>
      </c>
      <c r="L22" s="72">
        <f t="shared" si="13"/>
        <v>5.5906600549194579E-2</v>
      </c>
      <c r="M22" s="74">
        <f t="shared" si="13"/>
        <v>5.3995016167053496E-2</v>
      </c>
    </row>
    <row r="23" spans="1:13" x14ac:dyDescent="0.25">
      <c r="A23" s="9" t="s">
        <v>4</v>
      </c>
      <c r="B23" s="77">
        <f t="shared" si="14"/>
        <v>1.5526028762540892E-2</v>
      </c>
      <c r="C23" s="78">
        <f t="shared" si="15"/>
        <v>1.5807147431455351E-2</v>
      </c>
      <c r="D23" s="78">
        <f t="shared" si="16"/>
        <v>1.6274987977783234E-2</v>
      </c>
      <c r="E23" s="79">
        <f t="shared" si="17"/>
        <v>1.6806316889662418E-2</v>
      </c>
      <c r="F23" s="80">
        <f t="shared" si="18"/>
        <v>1.5218126479540075E-2</v>
      </c>
      <c r="G23" s="81"/>
      <c r="H23" s="82">
        <f t="shared" si="19"/>
        <v>2.0591035049531383E-2</v>
      </c>
      <c r="I23" s="83">
        <f>I9/I$12</f>
        <v>2.0434495415474777E-2</v>
      </c>
      <c r="J23" s="83">
        <f t="shared" ref="J23" si="23">J9/J$12</f>
        <v>2.0879795980759678E-2</v>
      </c>
      <c r="K23" s="84">
        <f t="shared" si="11"/>
        <v>2.0737375410568925E-2</v>
      </c>
      <c r="L23" s="82">
        <f t="shared" si="13"/>
        <v>2.2730918933880871E-2</v>
      </c>
      <c r="M23" s="84">
        <f t="shared" si="13"/>
        <v>1.8746110497383076E-2</v>
      </c>
    </row>
    <row r="24" spans="1:13" x14ac:dyDescent="0.25">
      <c r="A24" s="3" t="s">
        <v>5</v>
      </c>
      <c r="B24" s="85">
        <f t="shared" si="14"/>
        <v>1.5147599912743143E-2</v>
      </c>
      <c r="C24" s="86">
        <f t="shared" si="15"/>
        <v>1.4825867024104546E-2</v>
      </c>
      <c r="D24" s="86">
        <f t="shared" si="16"/>
        <v>1.4680229259648731E-2</v>
      </c>
      <c r="E24" s="87">
        <f t="shared" si="17"/>
        <v>1.4710818939943806E-2</v>
      </c>
      <c r="F24" s="88">
        <f t="shared" si="18"/>
        <v>1.5669033930785708E-2</v>
      </c>
      <c r="G24" s="76"/>
      <c r="H24" s="72">
        <f t="shared" si="19"/>
        <v>1.4654627081012797E-2</v>
      </c>
      <c r="I24" s="73">
        <f>I10/I$12</f>
        <v>1.4596488449423576E-2</v>
      </c>
      <c r="J24" s="73">
        <f t="shared" ref="J24" si="24">J10/J$12</f>
        <v>1.3999189639178474E-2</v>
      </c>
      <c r="K24" s="74">
        <f t="shared" si="11"/>
        <v>1.4207501992298317E-2</v>
      </c>
      <c r="L24" s="72">
        <f>L10/L$12</f>
        <v>1.4453615437836779E-2</v>
      </c>
      <c r="M24" s="74">
        <f t="shared" si="13"/>
        <v>1.4339891234303575E-2</v>
      </c>
    </row>
    <row r="25" spans="1:13" x14ac:dyDescent="0.25">
      <c r="A25" s="9" t="s">
        <v>9</v>
      </c>
      <c r="B25" s="77">
        <f t="shared" si="14"/>
        <v>5.9799130387937615E-3</v>
      </c>
      <c r="C25" s="78">
        <f t="shared" si="15"/>
        <v>5.8663502613363313E-3</v>
      </c>
      <c r="D25" s="78">
        <f t="shared" si="16"/>
        <v>5.8087238077746779E-3</v>
      </c>
      <c r="E25" s="79">
        <f t="shared" si="17"/>
        <v>5.8208276381072612E-3</v>
      </c>
      <c r="F25" s="80">
        <f t="shared" si="18"/>
        <v>6.1999774546274379E-3</v>
      </c>
      <c r="G25" s="81"/>
      <c r="H25" s="82">
        <f t="shared" si="19"/>
        <v>1.6599543477239916E-2</v>
      </c>
      <c r="I25" s="83">
        <f>I11/I$12</f>
        <v>1.6612731162674782E-2</v>
      </c>
      <c r="J25" s="83">
        <f t="shared" ref="J25" si="25">J11/J$12</f>
        <v>1.4565517064399121E-2</v>
      </c>
      <c r="K25" s="84">
        <f t="shared" si="11"/>
        <v>1.4466166033989324E-2</v>
      </c>
      <c r="L25" s="82">
        <f t="shared" si="13"/>
        <v>1.6333174423770625E-2</v>
      </c>
      <c r="M25" s="84">
        <f t="shared" si="13"/>
        <v>1.4190983124016182E-2</v>
      </c>
    </row>
    <row r="26" spans="1:13" x14ac:dyDescent="0.25">
      <c r="A26" s="3" t="s">
        <v>6</v>
      </c>
      <c r="B26" s="85">
        <f t="shared" ref="B26:K26" si="26">SUM(B17,B20,B23,B24,B25)</f>
        <v>0.99999999999999889</v>
      </c>
      <c r="C26" s="86">
        <f t="shared" si="26"/>
        <v>1</v>
      </c>
      <c r="D26" s="86">
        <f t="shared" si="26"/>
        <v>0.99999999999999989</v>
      </c>
      <c r="E26" s="87">
        <f t="shared" si="26"/>
        <v>0.99999999999999989</v>
      </c>
      <c r="F26" s="88">
        <f t="shared" si="26"/>
        <v>1</v>
      </c>
      <c r="G26" s="76">
        <f t="shared" si="26"/>
        <v>0</v>
      </c>
      <c r="H26" s="72">
        <f t="shared" si="26"/>
        <v>1.0000000000000002</v>
      </c>
      <c r="I26" s="73">
        <f t="shared" si="26"/>
        <v>1.0000000000000002</v>
      </c>
      <c r="J26" s="73">
        <f t="shared" si="26"/>
        <v>1</v>
      </c>
      <c r="K26" s="74">
        <f t="shared" si="26"/>
        <v>1</v>
      </c>
      <c r="L26" s="72">
        <f>SUM(L17,L20,L23,L24,L25)</f>
        <v>0.99999999999999989</v>
      </c>
      <c r="M26" s="74">
        <f>SUM(M17,M20,M23,M24,M25)</f>
        <v>1</v>
      </c>
    </row>
    <row r="27" spans="1:13" ht="15.75" thickBot="1" x14ac:dyDescent="0.3">
      <c r="A27" s="10" t="s">
        <v>7</v>
      </c>
      <c r="B27" s="89">
        <f t="shared" si="14"/>
        <v>0.99402008696120625</v>
      </c>
      <c r="C27" s="90">
        <f t="shared" si="15"/>
        <v>0.99413364973866369</v>
      </c>
      <c r="D27" s="90">
        <f t="shared" si="16"/>
        <v>0.99419127619222536</v>
      </c>
      <c r="E27" s="91">
        <f t="shared" si="17"/>
        <v>0.99417917236189279</v>
      </c>
      <c r="F27" s="92">
        <f t="shared" si="18"/>
        <v>0.99380002254537259</v>
      </c>
      <c r="G27" s="93"/>
      <c r="H27" s="94">
        <f t="shared" si="19"/>
        <v>0.98340045652276009</v>
      </c>
      <c r="I27" s="95">
        <f>I13/I$12</f>
        <v>0.98338726883732519</v>
      </c>
      <c r="J27" s="95">
        <f t="shared" ref="J27" si="27">J13/J$12</f>
        <v>0.98543448293560088</v>
      </c>
      <c r="K27" s="96">
        <f>K13/$K$12</f>
        <v>0.98553383396601069</v>
      </c>
      <c r="L27" s="94">
        <f t="shared" si="13"/>
        <v>0.98366682557622942</v>
      </c>
      <c r="M27" s="96">
        <f t="shared" si="13"/>
        <v>0.98580901687598377</v>
      </c>
    </row>
  </sheetData>
  <mergeCells count="8">
    <mergeCell ref="A1:A2"/>
    <mergeCell ref="B1:E1"/>
    <mergeCell ref="B15:E15"/>
    <mergeCell ref="A15:A16"/>
    <mergeCell ref="L1:M1"/>
    <mergeCell ref="L15:M15"/>
    <mergeCell ref="H15:K15"/>
    <mergeCell ref="H1:K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2" sqref="F22"/>
    </sheetView>
  </sheetViews>
  <sheetFormatPr baseColWidth="10" defaultRowHeight="15" x14ac:dyDescent="0.25"/>
  <cols>
    <col min="1" max="1" width="30.140625" bestFit="1" customWidth="1"/>
    <col min="7" max="7" width="2.5703125" hidden="1" customWidth="1"/>
    <col min="13" max="13" width="11.85546875" bestFit="1" customWidth="1"/>
  </cols>
  <sheetData>
    <row r="1" spans="1:13" x14ac:dyDescent="0.25">
      <c r="A1" s="160" t="s">
        <v>25</v>
      </c>
      <c r="B1" s="156" t="s">
        <v>10</v>
      </c>
      <c r="C1" s="157"/>
      <c r="D1" s="157"/>
      <c r="E1" s="158"/>
      <c r="F1" s="100" t="s">
        <v>11</v>
      </c>
      <c r="G1" s="7"/>
      <c r="H1" s="151" t="s">
        <v>27</v>
      </c>
      <c r="I1" s="153"/>
      <c r="J1" s="153"/>
      <c r="K1" s="152"/>
      <c r="L1" s="153" t="s">
        <v>28</v>
      </c>
      <c r="M1" s="152"/>
    </row>
    <row r="2" spans="1:13" ht="15.75" thickBot="1" x14ac:dyDescent="0.3">
      <c r="A2" s="161"/>
      <c r="B2" s="12">
        <v>2015</v>
      </c>
      <c r="C2" s="13">
        <v>2016</v>
      </c>
      <c r="D2" s="13">
        <v>2017</v>
      </c>
      <c r="E2" s="14">
        <v>2018</v>
      </c>
      <c r="F2" s="106">
        <v>2018</v>
      </c>
      <c r="G2" s="16" t="s">
        <v>21</v>
      </c>
      <c r="H2" s="12" t="s">
        <v>12</v>
      </c>
      <c r="I2" s="13" t="s">
        <v>13</v>
      </c>
      <c r="J2" s="17" t="s">
        <v>14</v>
      </c>
      <c r="K2" s="18" t="s">
        <v>20</v>
      </c>
      <c r="L2" s="61" t="s">
        <v>12</v>
      </c>
      <c r="M2" s="18" t="s">
        <v>14</v>
      </c>
    </row>
    <row r="3" spans="1:13" x14ac:dyDescent="0.25">
      <c r="A3" s="101" t="s">
        <v>15</v>
      </c>
      <c r="B3" s="107">
        <v>258.490296307574</v>
      </c>
      <c r="C3" s="108">
        <v>265.248054403362</v>
      </c>
      <c r="D3" s="108">
        <v>283.74679583022998</v>
      </c>
      <c r="E3" s="109">
        <v>292.83479914100201</v>
      </c>
      <c r="F3" s="110">
        <v>202.05737170250001</v>
      </c>
      <c r="G3" s="111">
        <f>E3/F3</f>
        <v>1.4492656054744615</v>
      </c>
      <c r="H3" s="107">
        <v>370.73059585637515</v>
      </c>
      <c r="I3" s="108">
        <v>375.14697621733791</v>
      </c>
      <c r="J3" s="108">
        <v>319.69686724080532</v>
      </c>
      <c r="K3" s="112">
        <v>370.5</v>
      </c>
      <c r="L3" s="113">
        <f>221.2440093918*G3</f>
        <v>320.64133322880446</v>
      </c>
      <c r="M3" s="109">
        <f>268.013419391*G3</f>
        <v>388.4226305289784</v>
      </c>
    </row>
    <row r="4" spans="1:13" x14ac:dyDescent="0.25">
      <c r="A4" s="98" t="s">
        <v>16</v>
      </c>
      <c r="B4" s="114">
        <v>34.252178000000001</v>
      </c>
      <c r="C4" s="115">
        <v>32.569393669962899</v>
      </c>
      <c r="D4" s="115">
        <v>33.441592999999997</v>
      </c>
      <c r="E4" s="116">
        <v>32.038921999999999</v>
      </c>
      <c r="F4" s="117">
        <v>22.843265893500003</v>
      </c>
      <c r="G4" s="31">
        <f>E3/F3</f>
        <v>1.4492656054744615</v>
      </c>
      <c r="H4" s="114">
        <v>61.321982268417138</v>
      </c>
      <c r="I4" s="115">
        <v>46.421313679829801</v>
      </c>
      <c r="J4" s="115">
        <v>78.658337068600488</v>
      </c>
      <c r="K4" s="118">
        <v>52.72544269807829</v>
      </c>
      <c r="L4" s="119">
        <f>(9.25830777+4.70465305+13.2112778)*G4</f>
        <v>39.38268938692179</v>
      </c>
      <c r="M4" s="116">
        <f>(14.0085546+5.49081766+10.0916871)*G4</f>
        <v>42.885304560001131</v>
      </c>
    </row>
    <row r="5" spans="1:13" x14ac:dyDescent="0.25">
      <c r="A5" s="97" t="s">
        <v>17</v>
      </c>
      <c r="B5" s="120">
        <v>7.4611168299999999</v>
      </c>
      <c r="C5" s="121">
        <v>6.8364299009999998</v>
      </c>
      <c r="D5" s="121">
        <v>6.7146486019999996</v>
      </c>
      <c r="E5" s="122">
        <v>6.7016106449999997</v>
      </c>
      <c r="F5" s="123">
        <v>4.6142221194999999</v>
      </c>
      <c r="G5" s="31">
        <f>E3/F3</f>
        <v>1.4492656054744615</v>
      </c>
      <c r="H5" s="120">
        <v>13.289802119442589</v>
      </c>
      <c r="I5" s="121">
        <v>11.314290993579499</v>
      </c>
      <c r="J5" s="121">
        <v>14.72653748370665</v>
      </c>
      <c r="K5" s="124">
        <v>12.571434437310556</v>
      </c>
      <c r="L5" s="125">
        <f>4.7428848681*G5</f>
        <v>6.8736999100626077</v>
      </c>
      <c r="M5" s="122">
        <f>5.0961205313*G5</f>
        <v>7.3856322073653295</v>
      </c>
    </row>
    <row r="6" spans="1:13" ht="15.75" thickBot="1" x14ac:dyDescent="0.3">
      <c r="A6" s="99" t="s">
        <v>18</v>
      </c>
      <c r="B6" s="126">
        <v>300.20359113757399</v>
      </c>
      <c r="C6" s="127">
        <v>304.65387797432498</v>
      </c>
      <c r="D6" s="127">
        <v>323.90303743223001</v>
      </c>
      <c r="E6" s="128">
        <v>331.57533178600198</v>
      </c>
      <c r="F6" s="129">
        <f>SUM(F3:F5)</f>
        <v>229.51485971550002</v>
      </c>
      <c r="G6" s="130">
        <f t="shared" ref="G6" si="0">E6/F6</f>
        <v>1.4446791471236902</v>
      </c>
      <c r="H6" s="126">
        <v>445.34238024423502</v>
      </c>
      <c r="I6" s="127">
        <v>432.88258089074719</v>
      </c>
      <c r="J6" s="127">
        <v>413.08174179311243</v>
      </c>
      <c r="K6" s="131">
        <v>435.7968771353888</v>
      </c>
      <c r="L6" s="132">
        <f>SUM(L3:L5)</f>
        <v>366.89772252578888</v>
      </c>
      <c r="M6" s="128">
        <f>SUM(M3:M5)</f>
        <v>438.6935672963449</v>
      </c>
    </row>
    <row r="7" spans="1:13" ht="15.75" thickBot="1" x14ac:dyDescent="0.3">
      <c r="A7" s="1"/>
      <c r="B7" s="1"/>
      <c r="C7" s="1"/>
      <c r="D7" s="1"/>
      <c r="E7" s="1"/>
      <c r="F7" s="1"/>
      <c r="G7" s="1"/>
    </row>
    <row r="8" spans="1:13" x14ac:dyDescent="0.25">
      <c r="A8" s="160" t="s">
        <v>26</v>
      </c>
      <c r="B8" s="156" t="s">
        <v>10</v>
      </c>
      <c r="C8" s="157"/>
      <c r="D8" s="157"/>
      <c r="E8" s="157"/>
      <c r="F8" s="6" t="s">
        <v>11</v>
      </c>
      <c r="G8" s="7"/>
      <c r="H8" s="159" t="s">
        <v>27</v>
      </c>
      <c r="I8" s="153"/>
      <c r="J8" s="153"/>
      <c r="K8" s="152"/>
      <c r="L8" s="153" t="s">
        <v>28</v>
      </c>
      <c r="M8" s="152"/>
    </row>
    <row r="9" spans="1:13" ht="15.75" thickBot="1" x14ac:dyDescent="0.3">
      <c r="A9" s="161"/>
      <c r="B9" s="12">
        <v>2015</v>
      </c>
      <c r="C9" s="13">
        <v>2016</v>
      </c>
      <c r="D9" s="13">
        <v>2017</v>
      </c>
      <c r="E9" s="13">
        <v>2018</v>
      </c>
      <c r="F9" s="15">
        <v>2018</v>
      </c>
      <c r="G9" s="61"/>
      <c r="H9" s="63" t="s">
        <v>12</v>
      </c>
      <c r="I9" s="63" t="s">
        <v>13</v>
      </c>
      <c r="J9" s="17" t="s">
        <v>14</v>
      </c>
      <c r="K9" s="18" t="s">
        <v>20</v>
      </c>
      <c r="L9" s="133" t="s">
        <v>12</v>
      </c>
      <c r="M9" s="18" t="s">
        <v>14</v>
      </c>
    </row>
    <row r="10" spans="1:13" x14ac:dyDescent="0.25">
      <c r="A10" s="105" t="s">
        <v>19</v>
      </c>
      <c r="B10" s="64">
        <f>B3/$B$6</f>
        <v>0.86104998054175808</v>
      </c>
      <c r="C10" s="65">
        <f>C3/$C$6</f>
        <v>0.8706537929765531</v>
      </c>
      <c r="D10" s="65">
        <f>D3/$D$6</f>
        <v>0.87602388072571913</v>
      </c>
      <c r="E10" s="134">
        <f>E3/$E$6</f>
        <v>0.88316219895995451</v>
      </c>
      <c r="F10" s="67">
        <f>F3/$F$6</f>
        <v>0.88036727536057791</v>
      </c>
      <c r="G10" s="135"/>
      <c r="H10" s="65">
        <f>H3/$H$6</f>
        <v>0.83246197151292622</v>
      </c>
      <c r="I10" s="65">
        <f>I3/$I$6</f>
        <v>0.86662525307762184</v>
      </c>
      <c r="J10" s="65">
        <f>J3/$J$6</f>
        <v>0.77393124627842325</v>
      </c>
      <c r="K10" s="66">
        <f>K3/$K$6</f>
        <v>0.85016671628167029</v>
      </c>
      <c r="L10" s="135">
        <f>L3/$L$6</f>
        <v>0.87392565705083358</v>
      </c>
      <c r="M10" s="66">
        <f>M3/$M$6</f>
        <v>0.88540762729395661</v>
      </c>
    </row>
    <row r="11" spans="1:13" x14ac:dyDescent="0.25">
      <c r="A11" s="103" t="s">
        <v>16</v>
      </c>
      <c r="B11" s="136">
        <f>B4/$B$6</f>
        <v>0.11409649654824845</v>
      </c>
      <c r="C11" s="137">
        <f>C4/$C$6</f>
        <v>0.10690621726701841</v>
      </c>
      <c r="D11" s="137">
        <f>D4/$D$6</f>
        <v>0.10324569125720828</v>
      </c>
      <c r="E11" s="138">
        <f>E4/$E$6</f>
        <v>9.6626373944723523E-2</v>
      </c>
      <c r="F11" s="139">
        <f>F4/$F$6</f>
        <v>9.9528483348816088E-2</v>
      </c>
      <c r="G11" s="140"/>
      <c r="H11" s="137">
        <f>H4/$H$6</f>
        <v>0.13769626469141988</v>
      </c>
      <c r="I11" s="137">
        <f>I4/$I$6</f>
        <v>0.1072376568821692</v>
      </c>
      <c r="J11" s="137">
        <f>J4/$J$6</f>
        <v>0.19041833397709376</v>
      </c>
      <c r="K11" s="141">
        <f>K4/$K$6</f>
        <v>0.12098627930667365</v>
      </c>
      <c r="L11" s="142">
        <f t="shared" ref="L11:L12" si="1">L4/$L$6</f>
        <v>0.10733969433171835</v>
      </c>
      <c r="M11" s="74">
        <f t="shared" ref="M11:M12" si="2">M4/$M$6</f>
        <v>9.7756857535664266E-2</v>
      </c>
    </row>
    <row r="12" spans="1:13" x14ac:dyDescent="0.25">
      <c r="A12" s="102" t="s">
        <v>17</v>
      </c>
      <c r="B12" s="77">
        <f>B5/$B$6</f>
        <v>2.4853522909993445E-2</v>
      </c>
      <c r="C12" s="78">
        <f>C5/$C$6</f>
        <v>2.2439989756428268E-2</v>
      </c>
      <c r="D12" s="78">
        <f>D5/$D$6</f>
        <v>2.073042801707255E-2</v>
      </c>
      <c r="E12" s="143">
        <f>E5/$E$6</f>
        <v>2.0211427095322053E-2</v>
      </c>
      <c r="F12" s="80">
        <f>F5/$F$6</f>
        <v>2.0104241290606003E-2</v>
      </c>
      <c r="G12" s="144"/>
      <c r="H12" s="78">
        <f>H5/$H$6</f>
        <v>2.984176379565355E-2</v>
      </c>
      <c r="I12" s="78">
        <f>I5/$I$6</f>
        <v>2.6137090040208963E-2</v>
      </c>
      <c r="J12" s="78">
        <f>J5/$J$6</f>
        <v>3.565041974448311E-2</v>
      </c>
      <c r="K12" s="79">
        <f>K5/$K$6</f>
        <v>2.8847004411656201E-2</v>
      </c>
      <c r="L12" s="144">
        <f t="shared" si="1"/>
        <v>1.8734648617448047E-2</v>
      </c>
      <c r="M12" s="79">
        <f t="shared" si="2"/>
        <v>1.6835515170379078E-2</v>
      </c>
    </row>
    <row r="13" spans="1:13" ht="15.75" thickBot="1" x14ac:dyDescent="0.3">
      <c r="A13" s="104" t="s">
        <v>18</v>
      </c>
      <c r="B13" s="145">
        <f>SUM(B10:B12)</f>
        <v>1</v>
      </c>
      <c r="C13" s="146">
        <f t="shared" ref="C13:M13" si="3">SUM(C10:C12)</f>
        <v>0.99999999999999978</v>
      </c>
      <c r="D13" s="146">
        <f t="shared" si="3"/>
        <v>1</v>
      </c>
      <c r="E13" s="147">
        <f t="shared" si="3"/>
        <v>1</v>
      </c>
      <c r="F13" s="148">
        <f t="shared" si="3"/>
        <v>0.99999999999999989</v>
      </c>
      <c r="G13" s="149"/>
      <c r="H13" s="146">
        <f t="shared" si="3"/>
        <v>0.99999999999999967</v>
      </c>
      <c r="I13" s="146">
        <f t="shared" si="3"/>
        <v>1</v>
      </c>
      <c r="J13" s="146">
        <f t="shared" si="3"/>
        <v>1</v>
      </c>
      <c r="K13" s="150">
        <f t="shared" si="3"/>
        <v>1</v>
      </c>
      <c r="L13" s="149">
        <f t="shared" si="3"/>
        <v>0.99999999999999989</v>
      </c>
      <c r="M13" s="150">
        <f t="shared" si="3"/>
        <v>0.99999999999999989</v>
      </c>
    </row>
  </sheetData>
  <mergeCells count="8">
    <mergeCell ref="A1:A2"/>
    <mergeCell ref="B1:E1"/>
    <mergeCell ref="A8:A9"/>
    <mergeCell ref="B8:E8"/>
    <mergeCell ref="L1:M1"/>
    <mergeCell ref="H8:K8"/>
    <mergeCell ref="H1:K1"/>
    <mergeCell ref="L8:M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Voyageurs</vt:lpstr>
      <vt:lpstr>Marchandises</vt:lpstr>
    </vt:vector>
  </TitlesOfParts>
  <Company>MTES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BOUCAUD Benoît</dc:creator>
  <cp:lastModifiedBy>ALLEZARD Marie</cp:lastModifiedBy>
  <dcterms:created xsi:type="dcterms:W3CDTF">2022-02-16T13:08:16Z</dcterms:created>
  <dcterms:modified xsi:type="dcterms:W3CDTF">2022-11-23T14:55:16Z</dcterms:modified>
</cp:coreProperties>
</file>