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00 - Docs essentiels RUN2 AME\Pour RESANA\002_Bâtiments\"/>
    </mc:Choice>
  </mc:AlternateContent>
  <bookViews>
    <workbookView xWindow="0" yWindow="0" windowWidth="23040" windowHeight="8616" tabRatio="738"/>
  </bookViews>
  <sheets>
    <sheet name="Totaux" sheetId="1" r:id="rId1"/>
    <sheet name="R_ECS" sheetId="2" r:id="rId2"/>
    <sheet name="R_cuisson" sheetId="3" r:id="rId3"/>
    <sheet name="R_Elec spé" sheetId="4" r:id="rId4"/>
    <sheet name="R_climatisation" sheetId="5" r:id="rId5"/>
    <sheet name="T_ECS" sheetId="6" r:id="rId6"/>
    <sheet name="T_cuisson" sheetId="7" r:id="rId7"/>
    <sheet name="T_Elec spé" sheetId="8" r:id="rId8"/>
    <sheet name="T_climatisation" sheetId="9" r:id="rId9"/>
    <sheet name="T_Hors CEREN" sheetId="10" r:id="rId10"/>
  </sheets>
  <externalReferences>
    <externalReference r:id="rId11"/>
  </externalReferenc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0" i="9" l="1"/>
  <c r="D30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U44" i="10" l="1"/>
  <c r="T44" i="10"/>
  <c r="S44" i="10"/>
  <c r="R44" i="10"/>
  <c r="Q44" i="10"/>
  <c r="P44" i="10"/>
  <c r="O44" i="10"/>
  <c r="N44" i="10"/>
  <c r="P35" i="10"/>
  <c r="Q35" i="10" s="1"/>
  <c r="R35" i="10" s="1"/>
  <c r="S35" i="10" s="1"/>
  <c r="T35" i="10" s="1"/>
  <c r="U35" i="10" s="1"/>
  <c r="B29" i="10"/>
  <c r="C29" i="10" s="1"/>
  <c r="D29" i="10" s="1"/>
  <c r="E29" i="10" s="1"/>
  <c r="F29" i="10" s="1"/>
  <c r="G29" i="10" s="1"/>
  <c r="H29" i="10" s="1"/>
  <c r="H28" i="10"/>
  <c r="G28" i="10"/>
  <c r="B28" i="10"/>
  <c r="C28" i="10" s="1"/>
  <c r="B27" i="10"/>
  <c r="B26" i="10"/>
  <c r="H26" i="10" s="1"/>
  <c r="B25" i="10"/>
  <c r="F25" i="10" s="1"/>
  <c r="B24" i="10"/>
  <c r="F23" i="10"/>
  <c r="E23" i="10" s="1"/>
  <c r="B23" i="10"/>
  <c r="C22" i="10"/>
  <c r="D22" i="10" s="1"/>
  <c r="E22" i="10" s="1"/>
  <c r="F22" i="10" s="1"/>
  <c r="G22" i="10" s="1"/>
  <c r="H22" i="10" s="1"/>
  <c r="G44" i="9"/>
  <c r="G45" i="9" s="1"/>
  <c r="F44" i="9"/>
  <c r="F45" i="9" s="1"/>
  <c r="E44" i="9"/>
  <c r="E45" i="9" s="1"/>
  <c r="D44" i="9"/>
  <c r="D45" i="9" s="1"/>
  <c r="G31" i="9"/>
  <c r="F31" i="9"/>
  <c r="E31" i="9"/>
  <c r="D31" i="9"/>
  <c r="G30" i="9"/>
  <c r="F30" i="9"/>
  <c r="F33" i="9" s="1"/>
  <c r="G15" i="1" s="1"/>
  <c r="E30" i="9"/>
  <c r="E33" i="9" s="1"/>
  <c r="E15" i="1" s="1"/>
  <c r="H15" i="8"/>
  <c r="I14" i="1" s="1"/>
  <c r="G15" i="8"/>
  <c r="H14" i="1" s="1"/>
  <c r="F15" i="8"/>
  <c r="G14" i="1" s="1"/>
  <c r="E15" i="8"/>
  <c r="F14" i="1" s="1"/>
  <c r="D15" i="8"/>
  <c r="C15" i="8"/>
  <c r="B15" i="8"/>
  <c r="C11" i="8"/>
  <c r="D11" i="8" s="1"/>
  <c r="E11" i="8" s="1"/>
  <c r="F11" i="8" s="1"/>
  <c r="G11" i="8" s="1"/>
  <c r="H11" i="8" s="1"/>
  <c r="G29" i="7"/>
  <c r="F29" i="7"/>
  <c r="E29" i="7"/>
  <c r="G28" i="7"/>
  <c r="B28" i="7"/>
  <c r="B29" i="7" s="1"/>
  <c r="B30" i="7" s="1"/>
  <c r="B31" i="7" s="1"/>
  <c r="D27" i="7"/>
  <c r="B27" i="7"/>
  <c r="B26" i="7"/>
  <c r="B18" i="7"/>
  <c r="B19" i="7" s="1"/>
  <c r="B20" i="7" s="1"/>
  <c r="B21" i="7" s="1"/>
  <c r="B22" i="7" s="1"/>
  <c r="B23" i="7" s="1"/>
  <c r="H13" i="7"/>
  <c r="C31" i="7" s="1"/>
  <c r="G13" i="7"/>
  <c r="G30" i="7" s="1"/>
  <c r="F13" i="7"/>
  <c r="D29" i="7" s="1"/>
  <c r="E13" i="7"/>
  <c r="F28" i="7" s="1"/>
  <c r="D13" i="7"/>
  <c r="G27" i="7" s="1"/>
  <c r="C13" i="7"/>
  <c r="D13" i="1" s="1"/>
  <c r="B13" i="7"/>
  <c r="G25" i="7" s="1"/>
  <c r="C9" i="7"/>
  <c r="D9" i="7" s="1"/>
  <c r="E9" i="7" s="1"/>
  <c r="F9" i="7" s="1"/>
  <c r="G9" i="7" s="1"/>
  <c r="H9" i="7" s="1"/>
  <c r="G30" i="6"/>
  <c r="B25" i="6"/>
  <c r="B26" i="6" s="1"/>
  <c r="B27" i="6" s="1"/>
  <c r="B28" i="6" s="1"/>
  <c r="B29" i="6" s="1"/>
  <c r="B30" i="6" s="1"/>
  <c r="H20" i="6"/>
  <c r="H21" i="6" s="1"/>
  <c r="G20" i="6"/>
  <c r="G21" i="6" s="1"/>
  <c r="F20" i="6"/>
  <c r="F21" i="6" s="1"/>
  <c r="D20" i="6"/>
  <c r="D21" i="6" s="1"/>
  <c r="C20" i="6"/>
  <c r="C21" i="6" s="1"/>
  <c r="H17" i="6"/>
  <c r="G17" i="6"/>
  <c r="F17" i="6"/>
  <c r="D17" i="6"/>
  <c r="C17" i="6"/>
  <c r="B17" i="6"/>
  <c r="B18" i="6" s="1"/>
  <c r="B19" i="6" s="1"/>
  <c r="B20" i="6" s="1"/>
  <c r="B21" i="6" s="1"/>
  <c r="B22" i="6" s="1"/>
  <c r="H13" i="6"/>
  <c r="H30" i="6" s="1"/>
  <c r="G13" i="6"/>
  <c r="E29" i="6" s="1"/>
  <c r="F13" i="6"/>
  <c r="E13" i="6"/>
  <c r="F12" i="1" s="1"/>
  <c r="D13" i="6"/>
  <c r="F26" i="6" s="1"/>
  <c r="C13" i="6"/>
  <c r="B13" i="6"/>
  <c r="E24" i="6" s="1"/>
  <c r="D9" i="6"/>
  <c r="E9" i="6" s="1"/>
  <c r="F9" i="6" s="1"/>
  <c r="G9" i="6" s="1"/>
  <c r="H9" i="6" s="1"/>
  <c r="C9" i="6"/>
  <c r="G31" i="5"/>
  <c r="F31" i="5"/>
  <c r="E31" i="5"/>
  <c r="D31" i="5"/>
  <c r="G30" i="5"/>
  <c r="I9" i="1" s="1"/>
  <c r="F30" i="5"/>
  <c r="G9" i="1" s="1"/>
  <c r="E30" i="5"/>
  <c r="E9" i="1" s="1"/>
  <c r="F21" i="4"/>
  <c r="E21" i="4"/>
  <c r="D21" i="4"/>
  <c r="C21" i="4"/>
  <c r="B21" i="4"/>
  <c r="H15" i="4"/>
  <c r="I8" i="1" s="1"/>
  <c r="G15" i="4"/>
  <c r="F15" i="4"/>
  <c r="G8" i="1" s="1"/>
  <c r="E15" i="4"/>
  <c r="D15" i="4"/>
  <c r="E8" i="1" s="1"/>
  <c r="C15" i="4"/>
  <c r="B15" i="4"/>
  <c r="C11" i="4"/>
  <c r="D11" i="4" s="1"/>
  <c r="E11" i="4" s="1"/>
  <c r="F11" i="4" s="1"/>
  <c r="G11" i="4" s="1"/>
  <c r="H11" i="4" s="1"/>
  <c r="F40" i="3"/>
  <c r="E40" i="3"/>
  <c r="D40" i="3"/>
  <c r="C40" i="3"/>
  <c r="B40" i="3"/>
  <c r="G31" i="3"/>
  <c r="B27" i="3"/>
  <c r="B28" i="3" s="1"/>
  <c r="B29" i="3" s="1"/>
  <c r="B30" i="3" s="1"/>
  <c r="B31" i="3" s="1"/>
  <c r="B32" i="3" s="1"/>
  <c r="B19" i="3"/>
  <c r="B20" i="3" s="1"/>
  <c r="B21" i="3" s="1"/>
  <c r="B22" i="3" s="1"/>
  <c r="B23" i="3" s="1"/>
  <c r="B24" i="3" s="1"/>
  <c r="H14" i="3"/>
  <c r="G32" i="3" s="1"/>
  <c r="G14" i="3"/>
  <c r="F31" i="3" s="1"/>
  <c r="F14" i="3"/>
  <c r="H30" i="3" s="1"/>
  <c r="E14" i="3"/>
  <c r="D29" i="3" s="1"/>
  <c r="D14" i="3"/>
  <c r="H28" i="3" s="1"/>
  <c r="C14" i="3"/>
  <c r="D27" i="3" s="1"/>
  <c r="B14" i="3"/>
  <c r="E26" i="3" s="1"/>
  <c r="C10" i="3"/>
  <c r="D10" i="3" s="1"/>
  <c r="E10" i="3" s="1"/>
  <c r="F10" i="3" s="1"/>
  <c r="G10" i="3" s="1"/>
  <c r="H10" i="3" s="1"/>
  <c r="F43" i="2"/>
  <c r="E43" i="2"/>
  <c r="D43" i="2"/>
  <c r="C43" i="2"/>
  <c r="B43" i="2"/>
  <c r="E30" i="2"/>
  <c r="H28" i="2"/>
  <c r="B26" i="2"/>
  <c r="B27" i="2" s="1"/>
  <c r="B28" i="2" s="1"/>
  <c r="B29" i="2" s="1"/>
  <c r="B30" i="2" s="1"/>
  <c r="B31" i="2" s="1"/>
  <c r="B18" i="2"/>
  <c r="B19" i="2" s="1"/>
  <c r="B20" i="2" s="1"/>
  <c r="B21" i="2" s="1"/>
  <c r="B22" i="2" s="1"/>
  <c r="B23" i="2" s="1"/>
  <c r="H14" i="2"/>
  <c r="E31" i="2" s="1"/>
  <c r="G14" i="2"/>
  <c r="K30" i="2" s="1"/>
  <c r="F14" i="2"/>
  <c r="E14" i="2"/>
  <c r="F28" i="2" s="1"/>
  <c r="D14" i="2"/>
  <c r="D27" i="2" s="1"/>
  <c r="C14" i="2"/>
  <c r="G26" i="2" s="1"/>
  <c r="B14" i="2"/>
  <c r="K25" i="2" s="1"/>
  <c r="C10" i="2"/>
  <c r="D10" i="2" s="1"/>
  <c r="E10" i="2" s="1"/>
  <c r="F10" i="2" s="1"/>
  <c r="G10" i="2" s="1"/>
  <c r="H10" i="2" s="1"/>
  <c r="E14" i="1"/>
  <c r="D14" i="1"/>
  <c r="C14" i="1"/>
  <c r="I13" i="1"/>
  <c r="F13" i="1"/>
  <c r="I12" i="1"/>
  <c r="H12" i="1"/>
  <c r="G12" i="1"/>
  <c r="C9" i="1"/>
  <c r="D9" i="1" s="1"/>
  <c r="I7" i="1"/>
  <c r="E7" i="1"/>
  <c r="D4" i="1"/>
  <c r="E4" i="1" s="1"/>
  <c r="F4" i="1" s="1"/>
  <c r="G4" i="1" s="1"/>
  <c r="H4" i="1" s="1"/>
  <c r="I4" i="1" s="1"/>
  <c r="G23" i="10" l="1"/>
  <c r="H25" i="10"/>
  <c r="G25" i="10" s="1"/>
  <c r="D26" i="10"/>
  <c r="D28" i="10"/>
  <c r="E28" i="10"/>
  <c r="F28" i="10"/>
  <c r="F15" i="1"/>
  <c r="G33" i="9"/>
  <c r="I15" i="1" s="1"/>
  <c r="H15" i="1" s="1"/>
  <c r="D33" i="9"/>
  <c r="C15" i="1" s="1"/>
  <c r="D15" i="1" s="1"/>
  <c r="C30" i="7"/>
  <c r="D31" i="7"/>
  <c r="E31" i="7"/>
  <c r="F31" i="7"/>
  <c r="G31" i="7"/>
  <c r="G13" i="1"/>
  <c r="C29" i="7"/>
  <c r="H13" i="1"/>
  <c r="F24" i="6"/>
  <c r="D25" i="6"/>
  <c r="G24" i="6"/>
  <c r="H24" i="6"/>
  <c r="C8" i="1"/>
  <c r="D8" i="1" s="1"/>
  <c r="G30" i="3"/>
  <c r="H31" i="3"/>
  <c r="C26" i="3"/>
  <c r="C27" i="3"/>
  <c r="C28" i="7"/>
  <c r="D30" i="7"/>
  <c r="E27" i="7"/>
  <c r="D28" i="7"/>
  <c r="E30" i="7"/>
  <c r="E28" i="7"/>
  <c r="F30" i="7"/>
  <c r="E13" i="1"/>
  <c r="C26" i="7"/>
  <c r="E26" i="6"/>
  <c r="D29" i="6"/>
  <c r="F29" i="6"/>
  <c r="E12" i="1"/>
  <c r="G29" i="6"/>
  <c r="H29" i="6"/>
  <c r="C30" i="6"/>
  <c r="G19" i="6"/>
  <c r="G27" i="6" s="1"/>
  <c r="D30" i="6"/>
  <c r="F28" i="6"/>
  <c r="D19" i="6"/>
  <c r="D27" i="6" s="1"/>
  <c r="C29" i="6"/>
  <c r="E30" i="6"/>
  <c r="G28" i="6"/>
  <c r="C19" i="6"/>
  <c r="C27" i="6" s="1"/>
  <c r="F19" i="6"/>
  <c r="C12" i="1"/>
  <c r="C26" i="6"/>
  <c r="F30" i="6"/>
  <c r="F9" i="1"/>
  <c r="H9" i="1"/>
  <c r="F8" i="1"/>
  <c r="F29" i="3"/>
  <c r="E29" i="3"/>
  <c r="G29" i="3"/>
  <c r="H32" i="3"/>
  <c r="D31" i="2"/>
  <c r="F31" i="2"/>
  <c r="H25" i="2"/>
  <c r="I25" i="2"/>
  <c r="H26" i="2"/>
  <c r="D25" i="2"/>
  <c r="I26" i="2"/>
  <c r="C6" i="1"/>
  <c r="F25" i="2"/>
  <c r="K26" i="2"/>
  <c r="C25" i="2"/>
  <c r="E25" i="2"/>
  <c r="J26" i="2"/>
  <c r="G25" i="2"/>
  <c r="D30" i="2"/>
  <c r="G29" i="2"/>
  <c r="F29" i="2"/>
  <c r="E29" i="2"/>
  <c r="D29" i="2"/>
  <c r="G6" i="1"/>
  <c r="C29" i="2"/>
  <c r="K29" i="2"/>
  <c r="H27" i="3"/>
  <c r="F27" i="3"/>
  <c r="E27" i="3"/>
  <c r="H19" i="6"/>
  <c r="H27" i="6" s="1"/>
  <c r="G27" i="3"/>
  <c r="H24" i="10"/>
  <c r="C24" i="10"/>
  <c r="C28" i="2"/>
  <c r="I28" i="2"/>
  <c r="J28" i="2"/>
  <c r="K28" i="2"/>
  <c r="G28" i="2"/>
  <c r="C31" i="2"/>
  <c r="I6" i="1"/>
  <c r="I10" i="1" s="1"/>
  <c r="I31" i="2"/>
  <c r="K31" i="2"/>
  <c r="J31" i="2"/>
  <c r="G31" i="2"/>
  <c r="H31" i="2"/>
  <c r="C28" i="3"/>
  <c r="G28" i="3"/>
  <c r="D12" i="1"/>
  <c r="H29" i="2"/>
  <c r="I29" i="2"/>
  <c r="E30" i="3"/>
  <c r="D30" i="3"/>
  <c r="C30" i="3"/>
  <c r="G7" i="1"/>
  <c r="H7" i="1" s="1"/>
  <c r="D28" i="3"/>
  <c r="F30" i="3"/>
  <c r="B31" i="10"/>
  <c r="H25" i="6"/>
  <c r="H28" i="6"/>
  <c r="C7" i="1"/>
  <c r="D7" i="1" s="1"/>
  <c r="F26" i="3"/>
  <c r="H26" i="3"/>
  <c r="G26" i="3"/>
  <c r="D26" i="3"/>
  <c r="D28" i="2"/>
  <c r="J29" i="2"/>
  <c r="E28" i="3"/>
  <c r="C25" i="6"/>
  <c r="G25" i="6"/>
  <c r="F25" i="6"/>
  <c r="K27" i="2"/>
  <c r="J27" i="2"/>
  <c r="F27" i="2"/>
  <c r="E27" i="2"/>
  <c r="I27" i="2"/>
  <c r="H27" i="2"/>
  <c r="G27" i="2"/>
  <c r="E6" i="1"/>
  <c r="C27" i="2"/>
  <c r="H8" i="1"/>
  <c r="E28" i="2"/>
  <c r="F28" i="3"/>
  <c r="E25" i="6"/>
  <c r="C30" i="2"/>
  <c r="H29" i="3"/>
  <c r="D26" i="6"/>
  <c r="C27" i="7"/>
  <c r="C26" i="10"/>
  <c r="G26" i="6"/>
  <c r="C25" i="7"/>
  <c r="E26" i="7"/>
  <c r="F27" i="7"/>
  <c r="F26" i="10"/>
  <c r="E26" i="10"/>
  <c r="F30" i="2"/>
  <c r="J25" i="2"/>
  <c r="C26" i="2"/>
  <c r="G30" i="2"/>
  <c r="C32" i="3"/>
  <c r="H26" i="6"/>
  <c r="E27" i="6"/>
  <c r="D25" i="7"/>
  <c r="F26" i="7"/>
  <c r="G26" i="10"/>
  <c r="D26" i="2"/>
  <c r="H30" i="2"/>
  <c r="C31" i="3"/>
  <c r="D32" i="3"/>
  <c r="F27" i="6"/>
  <c r="C28" i="6"/>
  <c r="E25" i="7"/>
  <c r="G26" i="7"/>
  <c r="E26" i="2"/>
  <c r="I30" i="2"/>
  <c r="D31" i="3"/>
  <c r="E32" i="3"/>
  <c r="C24" i="6"/>
  <c r="D28" i="6"/>
  <c r="F25" i="7"/>
  <c r="D25" i="10"/>
  <c r="C13" i="1"/>
  <c r="F26" i="2"/>
  <c r="J30" i="2"/>
  <c r="C29" i="3"/>
  <c r="E31" i="3"/>
  <c r="F32" i="3"/>
  <c r="D24" i="6"/>
  <c r="E28" i="6"/>
  <c r="D26" i="7"/>
  <c r="C10" i="1" l="1"/>
  <c r="F24" i="10"/>
  <c r="H31" i="10"/>
  <c r="I16" i="1" s="1"/>
  <c r="I17" i="1" s="1"/>
  <c r="I19" i="1" s="1"/>
  <c r="E10" i="1"/>
  <c r="F6" i="1"/>
  <c r="C16" i="1"/>
  <c r="C17" i="1" s="1"/>
  <c r="E25" i="10"/>
  <c r="D31" i="10"/>
  <c r="E16" i="1" s="1"/>
  <c r="E17" i="1" s="1"/>
  <c r="F7" i="1"/>
  <c r="C25" i="10"/>
  <c r="C31" i="10" s="1"/>
  <c r="D16" i="1" s="1"/>
  <c r="D17" i="1" s="1"/>
  <c r="D6" i="1"/>
  <c r="D10" i="1" s="1"/>
  <c r="H6" i="1"/>
  <c r="H10" i="1" s="1"/>
  <c r="G10" i="1"/>
  <c r="C19" i="1" l="1"/>
  <c r="E19" i="1"/>
  <c r="D19" i="1"/>
  <c r="F10" i="1"/>
  <c r="G24" i="10"/>
  <c r="G31" i="10" s="1"/>
  <c r="H16" i="1" s="1"/>
  <c r="H17" i="1" s="1"/>
  <c r="H19" i="1" s="1"/>
  <c r="F31" i="10"/>
  <c r="G16" i="1" s="1"/>
  <c r="G17" i="1" s="1"/>
  <c r="G19" i="1" s="1"/>
  <c r="E24" i="10"/>
  <c r="E31" i="10" s="1"/>
  <c r="F16" i="1" s="1"/>
  <c r="F17" i="1" s="1"/>
  <c r="F19" i="1" l="1"/>
</calcChain>
</file>

<file path=xl/sharedStrings.xml><?xml version="1.0" encoding="utf-8"?>
<sst xmlns="http://schemas.openxmlformats.org/spreadsheetml/2006/main" count="321" uniqueCount="127">
  <si>
    <t>AME 23</t>
  </si>
  <si>
    <t>TWh</t>
  </si>
  <si>
    <t>ECS</t>
  </si>
  <si>
    <t xml:space="preserve">Cuisson </t>
  </si>
  <si>
    <t>Elec spé</t>
  </si>
  <si>
    <t>Clim</t>
  </si>
  <si>
    <t>Total resi</t>
  </si>
  <si>
    <t>Hors CEREN</t>
  </si>
  <si>
    <t>Total tert</t>
  </si>
  <si>
    <t>Total bâtiments</t>
  </si>
  <si>
    <t xml:space="preserve">Périmètre géographique : </t>
  </si>
  <si>
    <t>FR métropole</t>
  </si>
  <si>
    <t xml:space="preserve">Périmètre sectoriel : </t>
  </si>
  <si>
    <t>Résidentiel (résidences principales, secondaires et logements vacants)</t>
  </si>
  <si>
    <t xml:space="preserve">Unités : </t>
  </si>
  <si>
    <t xml:space="preserve">Gaz (PCI/PCS, réseau/naturel/vert) : </t>
  </si>
  <si>
    <t>N.A.</t>
  </si>
  <si>
    <t xml:space="preserve">Données historiques : </t>
  </si>
  <si>
    <t>CEREN</t>
  </si>
  <si>
    <t>AME</t>
  </si>
  <si>
    <t>1. Résidences principales</t>
  </si>
  <si>
    <t>ECS (kWh/hab/an)</t>
  </si>
  <si>
    <t>Population métropolitaine (Mhab)</t>
  </si>
  <si>
    <t>Conso (TWh ef)</t>
  </si>
  <si>
    <t>Électricité</t>
  </si>
  <si>
    <t>PAC/CET</t>
  </si>
  <si>
    <t>Réseau de chaleur</t>
  </si>
  <si>
    <t>Charbon</t>
  </si>
  <si>
    <t>Pétrole/GPL</t>
  </si>
  <si>
    <t>Gaz naturel</t>
  </si>
  <si>
    <t>Biomasse</t>
  </si>
  <si>
    <t>Biogaz</t>
  </si>
  <si>
    <t>Renouvelables thermiques</t>
  </si>
  <si>
    <t>Chaleur Environnement</t>
  </si>
  <si>
    <t>Mix ECS</t>
  </si>
  <si>
    <t>Conso ECS (TWh Ef)</t>
  </si>
  <si>
    <t>2. Résidences secondaires</t>
  </si>
  <si>
    <t>MWh</t>
  </si>
  <si>
    <t>2015*</t>
  </si>
  <si>
    <t>Bois</t>
  </si>
  <si>
    <t>Fuel domestique</t>
  </si>
  <si>
    <t>GPL</t>
  </si>
  <si>
    <t>Total (TWh)</t>
  </si>
  <si>
    <t>3. Logements vacants : conso nulle</t>
  </si>
  <si>
    <t>Cuisson (kWh/hab/an)</t>
  </si>
  <si>
    <t>Gaz réseau</t>
  </si>
  <si>
    <t>Mix cuisson</t>
  </si>
  <si>
    <t>Conso cuisson (TWh Ef)</t>
  </si>
  <si>
    <t>Résidentiel (résidences principales)</t>
  </si>
  <si>
    <t>Elec spécifique (kWh/hab/an)</t>
  </si>
  <si>
    <t>Électricité (MWh)</t>
  </si>
  <si>
    <t>Sortie MICO</t>
  </si>
  <si>
    <t>TWh par zone climatique</t>
  </si>
  <si>
    <t>H1A</t>
  </si>
  <si>
    <t>H1B</t>
  </si>
  <si>
    <t>H1C</t>
  </si>
  <si>
    <t>H2A</t>
  </si>
  <si>
    <t>H2B</t>
  </si>
  <si>
    <t>H2C</t>
  </si>
  <si>
    <t>H2D</t>
  </si>
  <si>
    <t>H3</t>
  </si>
  <si>
    <t>Martinique</t>
  </si>
  <si>
    <t>Guadeloupe</t>
  </si>
  <si>
    <t>Guyane</t>
  </si>
  <si>
    <t>Mayotte</t>
  </si>
  <si>
    <t>La Réunion</t>
  </si>
  <si>
    <t>Total en TWh</t>
  </si>
  <si>
    <t>Conso (TWh)</t>
  </si>
  <si>
    <t>Métropole</t>
  </si>
  <si>
    <t>DROM</t>
  </si>
  <si>
    <t>Tertiaire périmètre CEREN</t>
  </si>
  <si>
    <t>ECS (kWh/m²)</t>
  </si>
  <si>
    <t>Surface tertiaire (Mm²)</t>
  </si>
  <si>
    <t>Sorties CGDD</t>
  </si>
  <si>
    <t>électricité (PAC incluses)</t>
  </si>
  <si>
    <t>Réseau de Chaleur Urbain</t>
  </si>
  <si>
    <t>Gaz</t>
  </si>
  <si>
    <t>Cuisson (kWh/m²)</t>
  </si>
  <si>
    <t>Elec spé (kWh/m²)</t>
  </si>
  <si>
    <t>Sortie MICO scénario BAU corrigé des ratios des surfaces</t>
  </si>
  <si>
    <t xml:space="preserve">ADEME - Résultats tertiaire </t>
  </si>
  <si>
    <t>Métropole corrigée des surfaces</t>
  </si>
  <si>
    <t>Ratio surfaces</t>
  </si>
  <si>
    <t>Surface tertiaire (m2, surface chauffée) par zone climatique</t>
  </si>
  <si>
    <t>Zone climatique</t>
  </si>
  <si>
    <t>2020 - VIVALDI</t>
  </si>
  <si>
    <t>Ademe BAU</t>
  </si>
  <si>
    <t>Total</t>
  </si>
  <si>
    <t>NA</t>
  </si>
  <si>
    <t>DGEC AME</t>
  </si>
  <si>
    <t>Ratio</t>
  </si>
  <si>
    <t>Tertiaire hors CEREN</t>
  </si>
  <si>
    <t>Historique</t>
  </si>
  <si>
    <t>Secteur</t>
  </si>
  <si>
    <t>Eclairage public</t>
  </si>
  <si>
    <t>Data centers</t>
  </si>
  <si>
    <t>Parties communes d'immeubles</t>
  </si>
  <si>
    <t>Télécommunication</t>
  </si>
  <si>
    <t>Entrepôts frigorifiques</t>
  </si>
  <si>
    <t>Grands centres de recherche</t>
  </si>
  <si>
    <t>Secteur de l'eau</t>
  </si>
  <si>
    <t>Autres</t>
  </si>
  <si>
    <t>Total extension du champ tertiaire</t>
  </si>
  <si>
    <t>Source : ADEME</t>
  </si>
  <si>
    <t>AME 2023</t>
  </si>
  <si>
    <t>AME 2021 : pas pris en compte</t>
  </si>
  <si>
    <t>décroissance linéaire (~installation de LED à 50 %, nb de points lumineux suit la population, puissance moyenne et temps à pleine puissance constants)</t>
  </si>
  <si>
    <t>http://www.afe-eclairage.fr/afe/l-eclairage-en-chiffres-26.html</t>
  </si>
  <si>
    <t>2030 : reprise du chiffre 10TWh du CGE, 2050 reprise du x3 de RTE ? (mais dit 3TWh en 2015)</t>
  </si>
  <si>
    <t>https://www.economie.gouv.fr/files/files/directions_services/cge/consommation-energique-numerique.pdf</t>
  </si>
  <si>
    <t>Consommations générales d’immeubles</t>
  </si>
  <si>
    <t>annexé au nb de LC</t>
  </si>
  <si>
    <t>Télécommunications</t>
  </si>
  <si>
    <t>annexé population</t>
  </si>
  <si>
    <t>Entrepôts frigorifiques et grands établissements de recherche</t>
  </si>
  <si>
    <t>hausse modérée (plateformes logistiques, livraisons alimentaires)</t>
  </si>
  <si>
    <t>Eau (distribution et assainissements)</t>
  </si>
  <si>
    <t>Non spécifié</t>
  </si>
  <si>
    <t xml:space="preserve">constant  </t>
  </si>
  <si>
    <t>AMS 2018</t>
  </si>
  <si>
    <t>nW</t>
  </si>
  <si>
    <t>Gain de 60 % en 2050/2015</t>
  </si>
  <si>
    <t>Croissance de 40 % d’ici 2030/2015, constant ensuite</t>
  </si>
  <si>
    <t>Gain de 20 % en 2030/2015, de 25 % en 2050/2015</t>
  </si>
  <si>
    <t>Croissance de 25 % en 2030/2015, constant ensuite</t>
  </si>
  <si>
    <t>Gain de 30 % en 2030, constant ensuite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</si>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</sst>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-* #,##0.00\ _€_-;\-* #,##0.00\ _€_-;_-* \-??\ _€_-;_-@_-"/>
    <numFmt numFmtId="165" formatCode="0\ %"/>
    <numFmt numFmtId="166" formatCode="0.0"/>
    <numFmt numFmtId="167" formatCode="0.0%"/>
    <numFmt numFmtId="168" formatCode="0.00\ %"/>
    <numFmt numFmtId="169" formatCode="_-* #,##0.0\ _€_-;\-* #,##0.0\ _€_-;_-* \-??\ _€_-;_-@_-"/>
    <numFmt numFmtId="170" formatCode="_-* #,##0\ _€_-;\-* #,##0\ _€_-;_-* \-??\ _€_-;_-@_-"/>
    <numFmt numFmtId="171" formatCode="0.000"/>
    <numFmt numFmtId="173" formatCode="_-* #,##0.0\ _€_-;\-* #,##0.0\ _€_-;_-* &quot;-&quot;??\ _€_-;_-@_-"/>
    <numFmt numFmtId="174" formatCode="_-* #,##0\ _€_-;\-* #,##0\ _€_-;_-* &quot;-&quot;??\ _€_-;_-@_-"/>
    <numFmt numFmtId="175" formatCode="#,##0.00&quot;    &quot;;#,##0.00&quot;    &quot;;&quot;-&quot;#&quot;    &quot;;@&quot; &quot;"/>
  </numFmts>
  <fonts count="2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FFFFFF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0"/>
      <color rgb="FF808080"/>
      <name val="Arial"/>
      <family val="2"/>
      <charset val="1"/>
    </font>
    <font>
      <sz val="10"/>
      <color rgb="FF80808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8"/>
      <color theme="0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ED7D31"/>
        <bgColor rgb="FFFF8080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DAE3F3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165" fontId="15" fillId="0" borderId="0" applyBorder="0" applyProtection="0"/>
    <xf numFmtId="164" fontId="1" fillId="0" borderId="0" applyBorder="0" applyProtection="0"/>
    <xf numFmtId="0" fontId="2" fillId="0" borderId="0"/>
    <xf numFmtId="0" fontId="1" fillId="0" borderId="0"/>
    <xf numFmtId="0" fontId="15" fillId="0" borderId="0"/>
    <xf numFmtId="0" fontId="1" fillId="0" borderId="0"/>
    <xf numFmtId="165" fontId="15" fillId="0" borderId="0" applyBorder="0" applyProtection="0"/>
    <xf numFmtId="165" fontId="1" fillId="0" borderId="0" applyBorder="0" applyProtection="0"/>
    <xf numFmtId="0" fontId="1" fillId="0" borderId="0">
      <alignment wrapText="1"/>
    </xf>
    <xf numFmtId="0" fontId="3" fillId="0" borderId="0" applyBorder="0" applyProtection="0"/>
    <xf numFmtId="175" fontId="20" fillId="0" borderId="0"/>
  </cellStyleXfs>
  <cellXfs count="101">
    <xf numFmtId="0" fontId="0" fillId="0" borderId="0" xfId="0"/>
    <xf numFmtId="0" fontId="1" fillId="0" borderId="1" xfId="0" applyFont="1" applyBorder="1"/>
    <xf numFmtId="1" fontId="0" fillId="0" borderId="0" xfId="0" applyNumberFormat="1"/>
    <xf numFmtId="166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3" xfId="0" applyFont="1" applyBorder="1"/>
    <xf numFmtId="166" fontId="0" fillId="0" borderId="4" xfId="0" applyNumberFormat="1" applyBorder="1"/>
    <xf numFmtId="0" fontId="5" fillId="0" borderId="4" xfId="0" applyFont="1" applyBorder="1"/>
    <xf numFmtId="1" fontId="5" fillId="0" borderId="4" xfId="0" applyNumberFormat="1" applyFont="1" applyBorder="1"/>
    <xf numFmtId="0" fontId="6" fillId="0" borderId="1" xfId="0" applyFont="1" applyBorder="1"/>
    <xf numFmtId="167" fontId="0" fillId="0" borderId="1" xfId="0" applyNumberFormat="1" applyBorder="1"/>
    <xf numFmtId="168" fontId="0" fillId="0" borderId="1" xfId="0" applyNumberFormat="1" applyBorder="1"/>
    <xf numFmtId="2" fontId="0" fillId="0" borderId="0" xfId="0" applyNumberFormat="1"/>
    <xf numFmtId="0" fontId="7" fillId="0" borderId="4" xfId="5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4" borderId="4" xfId="5" applyFont="1" applyFill="1" applyBorder="1" applyAlignment="1">
      <alignment vertical="center"/>
    </xf>
    <xf numFmtId="3" fontId="8" fillId="4" borderId="4" xfId="5" applyNumberFormat="1" applyFont="1" applyFill="1" applyBorder="1" applyAlignment="1">
      <alignment horizontal="right" vertical="center"/>
    </xf>
    <xf numFmtId="3" fontId="8" fillId="4" borderId="4" xfId="5" applyNumberFormat="1" applyFont="1" applyFill="1" applyBorder="1"/>
    <xf numFmtId="0" fontId="8" fillId="4" borderId="5" xfId="5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3" fontId="8" fillId="5" borderId="4" xfId="0" applyNumberFormat="1" applyFont="1" applyFill="1" applyBorder="1" applyAlignment="1">
      <alignment horizontal="right" vertical="center"/>
    </xf>
    <xf numFmtId="3" fontId="8" fillId="5" borderId="4" xfId="0" applyNumberFormat="1" applyFont="1" applyFill="1" applyBorder="1"/>
    <xf numFmtId="0" fontId="8" fillId="5" borderId="0" xfId="0" applyFont="1" applyFill="1" applyBorder="1" applyAlignment="1">
      <alignment vertical="center"/>
    </xf>
    <xf numFmtId="0" fontId="0" fillId="0" borderId="4" xfId="0" applyBorder="1"/>
    <xf numFmtId="0" fontId="0" fillId="0" borderId="6" xfId="0" applyFont="1" applyBorder="1"/>
    <xf numFmtId="1" fontId="0" fillId="0" borderId="4" xfId="0" applyNumberFormat="1" applyBorder="1"/>
    <xf numFmtId="0" fontId="8" fillId="6" borderId="4" xfId="0" applyFont="1" applyFill="1" applyBorder="1" applyAlignment="1">
      <alignment vertical="center"/>
    </xf>
    <xf numFmtId="3" fontId="8" fillId="6" borderId="4" xfId="0" applyNumberFormat="1" applyFont="1" applyFill="1" applyBorder="1" applyAlignment="1">
      <alignment horizontal="right" vertical="center"/>
    </xf>
    <xf numFmtId="3" fontId="8" fillId="7" borderId="4" xfId="0" applyNumberFormat="1" applyFont="1" applyFill="1" applyBorder="1"/>
    <xf numFmtId="0" fontId="9" fillId="8" borderId="7" xfId="0" applyFont="1" applyFill="1" applyBorder="1"/>
    <xf numFmtId="0" fontId="0" fillId="8" borderId="8" xfId="0" applyFill="1" applyBorder="1"/>
    <xf numFmtId="0" fontId="10" fillId="8" borderId="8" xfId="0" applyFont="1" applyFill="1" applyBorder="1"/>
    <xf numFmtId="0" fontId="10" fillId="8" borderId="9" xfId="0" applyFont="1" applyFill="1" applyBorder="1"/>
    <xf numFmtId="0" fontId="0" fillId="2" borderId="10" xfId="0" applyFont="1" applyFill="1" applyBorder="1"/>
    <xf numFmtId="0" fontId="0" fillId="2" borderId="0" xfId="0" applyFill="1" applyBorder="1"/>
    <xf numFmtId="169" fontId="0" fillId="2" borderId="0" xfId="1" applyNumberFormat="1" applyFont="1" applyFill="1" applyBorder="1" applyAlignment="1" applyProtection="1"/>
    <xf numFmtId="0" fontId="0" fillId="6" borderId="10" xfId="0" applyFont="1" applyFill="1" applyBorder="1"/>
    <xf numFmtId="0" fontId="0" fillId="6" borderId="0" xfId="0" applyFill="1" applyBorder="1"/>
    <xf numFmtId="169" fontId="0" fillId="6" borderId="0" xfId="1" applyNumberFormat="1" applyFont="1" applyFill="1" applyBorder="1" applyAlignment="1" applyProtection="1"/>
    <xf numFmtId="0" fontId="0" fillId="2" borderId="12" xfId="0" applyFont="1" applyFill="1" applyBorder="1"/>
    <xf numFmtId="0" fontId="0" fillId="2" borderId="13" xfId="0" applyFill="1" applyBorder="1"/>
    <xf numFmtId="169" fontId="0" fillId="2" borderId="13" xfId="1" applyNumberFormat="1" applyFont="1" applyFill="1" applyBorder="1" applyAlignment="1" applyProtection="1"/>
    <xf numFmtId="170" fontId="11" fillId="8" borderId="13" xfId="0" applyNumberFormat="1" applyFont="1" applyFill="1" applyBorder="1" applyAlignment="1">
      <alignment horizontal="left"/>
    </xf>
    <xf numFmtId="169" fontId="0" fillId="0" borderId="0" xfId="0" applyNumberFormat="1"/>
    <xf numFmtId="3" fontId="1" fillId="0" borderId="4" xfId="4" applyNumberFormat="1" applyBorder="1" applyAlignment="1"/>
    <xf numFmtId="169" fontId="0" fillId="2" borderId="15" xfId="1" applyNumberFormat="1" applyFont="1" applyFill="1" applyBorder="1" applyAlignment="1" applyProtection="1"/>
    <xf numFmtId="169" fontId="0" fillId="6" borderId="15" xfId="1" applyNumberFormat="1" applyFont="1" applyFill="1" applyBorder="1" applyAlignment="1" applyProtection="1"/>
    <xf numFmtId="0" fontId="5" fillId="9" borderId="0" xfId="0" applyFont="1" applyFill="1"/>
    <xf numFmtId="0" fontId="5" fillId="9" borderId="4" xfId="0" applyFont="1" applyFill="1" applyBorder="1" applyAlignment="1">
      <alignment wrapText="1"/>
    </xf>
    <xf numFmtId="0" fontId="5" fillId="9" borderId="4" xfId="0" applyFont="1" applyFill="1" applyBorder="1"/>
    <xf numFmtId="164" fontId="5" fillId="9" borderId="4" xfId="0" applyNumberFormat="1" applyFont="1" applyFill="1" applyBorder="1"/>
    <xf numFmtId="0" fontId="0" fillId="9" borderId="0" xfId="0" applyFill="1"/>
    <xf numFmtId="0" fontId="7" fillId="0" borderId="0" xfId="0" applyFont="1"/>
    <xf numFmtId="0" fontId="8" fillId="0" borderId="0" xfId="0" applyFont="1"/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/>
    <xf numFmtId="3" fontId="8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center"/>
    </xf>
    <xf numFmtId="4" fontId="7" fillId="0" borderId="4" xfId="0" applyNumberFormat="1" applyFont="1" applyBorder="1" applyAlignment="1">
      <alignment horizontal="center"/>
    </xf>
    <xf numFmtId="0" fontId="12" fillId="0" borderId="0" xfId="0" applyFont="1"/>
    <xf numFmtId="0" fontId="13" fillId="0" borderId="4" xfId="0" applyFont="1" applyBorder="1" applyAlignment="1">
      <alignment wrapText="1"/>
    </xf>
    <xf numFmtId="0" fontId="13" fillId="0" borderId="4" xfId="0" applyFont="1" applyBorder="1" applyAlignment="1">
      <alignment horizontal="center" wrapText="1"/>
    </xf>
    <xf numFmtId="0" fontId="14" fillId="0" borderId="4" xfId="0" applyFont="1" applyBorder="1" applyAlignment="1">
      <alignment wrapText="1"/>
    </xf>
    <xf numFmtId="3" fontId="14" fillId="0" borderId="4" xfId="0" applyNumberFormat="1" applyFont="1" applyBorder="1" applyAlignment="1">
      <alignment horizontal="center" wrapText="1"/>
    </xf>
    <xf numFmtId="3" fontId="13" fillId="0" borderId="4" xfId="0" applyNumberFormat="1" applyFont="1" applyBorder="1" applyAlignment="1">
      <alignment horizontal="center" wrapText="1"/>
    </xf>
    <xf numFmtId="171" fontId="0" fillId="0" borderId="0" xfId="0" applyNumberFormat="1"/>
    <xf numFmtId="0" fontId="6" fillId="0" borderId="0" xfId="0" applyFont="1"/>
    <xf numFmtId="166" fontId="0" fillId="0" borderId="1" xfId="0" applyNumberFormat="1" applyBorder="1"/>
    <xf numFmtId="0" fontId="1" fillId="0" borderId="0" xfId="0" applyFont="1"/>
    <xf numFmtId="166" fontId="6" fillId="0" borderId="0" xfId="0" applyNumberFormat="1" applyFont="1"/>
    <xf numFmtId="0" fontId="6" fillId="9" borderId="0" xfId="0" applyFont="1" applyFill="1"/>
    <xf numFmtId="0" fontId="18" fillId="0" borderId="0" xfId="0" applyFont="1"/>
    <xf numFmtId="0" fontId="16" fillId="11" borderId="7" xfId="0" applyFont="1" applyFill="1" applyBorder="1"/>
    <xf numFmtId="0" fontId="0" fillId="11" borderId="8" xfId="0" applyFill="1" applyBorder="1"/>
    <xf numFmtId="0" fontId="17" fillId="11" borderId="8" xfId="0" applyFont="1" applyFill="1" applyBorder="1"/>
    <xf numFmtId="0" fontId="17" fillId="11" borderId="9" xfId="0" applyFont="1" applyFill="1" applyBorder="1"/>
    <xf numFmtId="0" fontId="0" fillId="12" borderId="10" xfId="0" applyFill="1" applyBorder="1"/>
    <xf numFmtId="0" fontId="0" fillId="12" borderId="0" xfId="0" applyFill="1" applyBorder="1"/>
    <xf numFmtId="173" fontId="0" fillId="12" borderId="0" xfId="1" applyNumberFormat="1" applyFont="1" applyFill="1" applyBorder="1"/>
    <xf numFmtId="173" fontId="0" fillId="12" borderId="11" xfId="1" applyNumberFormat="1" applyFont="1" applyFill="1" applyBorder="1"/>
    <xf numFmtId="0" fontId="0" fillId="13" borderId="10" xfId="0" applyFill="1" applyBorder="1"/>
    <xf numFmtId="0" fontId="0" fillId="13" borderId="0" xfId="0" applyFill="1" applyBorder="1"/>
    <xf numFmtId="173" fontId="0" fillId="13" borderId="0" xfId="1" applyNumberFormat="1" applyFont="1" applyFill="1" applyBorder="1"/>
    <xf numFmtId="173" fontId="0" fillId="13" borderId="11" xfId="1" applyNumberFormat="1" applyFont="1" applyFill="1" applyBorder="1"/>
    <xf numFmtId="0" fontId="0" fillId="12" borderId="12" xfId="0" applyFill="1" applyBorder="1"/>
    <xf numFmtId="0" fontId="0" fillId="12" borderId="13" xfId="0" applyFill="1" applyBorder="1"/>
    <xf numFmtId="173" fontId="0" fillId="12" borderId="13" xfId="1" applyNumberFormat="1" applyFont="1" applyFill="1" applyBorder="1"/>
    <xf numFmtId="173" fontId="0" fillId="12" borderId="14" xfId="1" applyNumberFormat="1" applyFont="1" applyFill="1" applyBorder="1"/>
    <xf numFmtId="174" fontId="19" fillId="11" borderId="13" xfId="0" applyNumberFormat="1" applyFont="1" applyFill="1" applyBorder="1" applyAlignment="1">
      <alignment horizontal="left"/>
    </xf>
    <xf numFmtId="173" fontId="19" fillId="11" borderId="13" xfId="0" applyNumberFormat="1" applyFont="1" applyFill="1" applyBorder="1" applyAlignment="1">
      <alignment horizontal="left"/>
    </xf>
    <xf numFmtId="173" fontId="19" fillId="11" borderId="14" xfId="0" applyNumberFormat="1" applyFont="1" applyFill="1" applyBorder="1" applyAlignment="1">
      <alignment horizontal="left"/>
    </xf>
    <xf numFmtId="0" fontId="18" fillId="10" borderId="0" xfId="0" applyFont="1" applyFill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7" fillId="11" borderId="16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</cellXfs>
  <cellStyles count="12">
    <cellStyle name="Excel Built-in Explanatory Text" xfId="10"/>
    <cellStyle name="Excel_BuiltIn_Comma" xfId="11"/>
    <cellStyle name="Milliers 2" xfId="2"/>
    <cellStyle name="Normal" xfId="0" builtinId="0"/>
    <cellStyle name="Normal 2" xfId="3"/>
    <cellStyle name="Normal 2 2" xfId="4"/>
    <cellStyle name="Normal 3" xfId="5"/>
    <cellStyle name="Normal 3 2" xfId="6"/>
    <cellStyle name="Pourcentage" xfId="1" builtinId="5"/>
    <cellStyle name="Pourcentage 2" xfId="7"/>
    <cellStyle name="Pourcentage 2 2" xfId="8"/>
    <cellStyle name="TableStyleLight1" xfId="9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ED7D31"/>
      <rgbColor rgb="FF666699"/>
      <rgbColor rgb="FF7F7F7F"/>
      <rgbColor rgb="FF002060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Inventaires%20d'&#233;missions,%20prospective%20et%20&#233;valuation/42_Prospective/421_Sc&#233;narios%20prospectifs%20DGEC/4215_Sc&#233;narios%202023/12-B&#226;timents/52_R&#233;sultats%20run2/4_Hypoth&#232;ses/20220303%20Hypoth&#232;ses%20B&#226;timents%20AME%20AM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ruction neuve rési"/>
      <sheetName val="parc résidentiel"/>
      <sheetName val="Résidentiel existant"/>
      <sheetName val="Résidentiel hors chauffage"/>
      <sheetName val="Construction et parc tertiaire"/>
      <sheetName val="Tertiaire existant"/>
      <sheetName val="Tertiaire hors chauffage"/>
      <sheetName val="Hors CEREN"/>
      <sheetName val="Climatisation"/>
      <sheetName val="parc rési détail AME"/>
      <sheetName val="parc rési détail AMS"/>
    </sheetNames>
    <sheetDataSet>
      <sheetData sheetId="0">
        <row r="9">
          <cell r="C9">
            <v>65.1828038459834</v>
          </cell>
          <cell r="H9">
            <v>65.867326732673305</v>
          </cell>
          <cell r="M9">
            <v>66.451350457818904</v>
          </cell>
          <cell r="R9">
            <v>66.835909090909098</v>
          </cell>
          <cell r="W9">
            <v>67.022387828850199</v>
          </cell>
          <cell r="AB9">
            <v>67.109410500460498</v>
          </cell>
          <cell r="AG9">
            <v>66.999160784749606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tabSelected="1" zoomScale="70" zoomScaleNormal="70" workbookViewId="0">
      <selection activeCell="P14" sqref="P14"/>
    </sheetView>
  </sheetViews>
  <sheetFormatPr baseColWidth="10" defaultColWidth="8.77734375" defaultRowHeight="14.4" x14ac:dyDescent="0.3"/>
  <cols>
    <col min="1" max="1025" width="10.44140625" customWidth="1"/>
  </cols>
  <sheetData>
    <row r="2" spans="2:9" x14ac:dyDescent="0.3">
      <c r="B2" s="95" t="s">
        <v>0</v>
      </c>
      <c r="C2" s="95"/>
      <c r="D2" s="95"/>
      <c r="E2" s="95"/>
      <c r="F2" s="95"/>
      <c r="G2" s="95"/>
      <c r="H2" s="95"/>
      <c r="I2" s="95"/>
    </row>
    <row r="4" spans="2:9" x14ac:dyDescent="0.3">
      <c r="B4" t="s">
        <v>1</v>
      </c>
      <c r="C4" s="1">
        <v>2020</v>
      </c>
      <c r="D4" s="1">
        <f t="shared" ref="D4:I4" si="0">C4+5</f>
        <v>2025</v>
      </c>
      <c r="E4" s="1">
        <f t="shared" si="0"/>
        <v>2030</v>
      </c>
      <c r="F4" s="1">
        <f t="shared" si="0"/>
        <v>2035</v>
      </c>
      <c r="G4" s="1">
        <f t="shared" si="0"/>
        <v>2040</v>
      </c>
      <c r="H4" s="1">
        <f t="shared" si="0"/>
        <v>2045</v>
      </c>
      <c r="I4" s="1">
        <f t="shared" si="0"/>
        <v>2050</v>
      </c>
    </row>
    <row r="6" spans="2:9" x14ac:dyDescent="0.3">
      <c r="B6" t="s">
        <v>2</v>
      </c>
      <c r="C6" s="2">
        <f>R_ECS!B14+R_ECS!C43</f>
        <v>49.129384947802933</v>
      </c>
      <c r="D6" s="2">
        <f>(C6+E6)/2</f>
        <v>49.454600078059457</v>
      </c>
      <c r="E6" s="2">
        <f>R_ECS!D14+R_ECS!D43</f>
        <v>49.779815208315988</v>
      </c>
      <c r="F6" s="2">
        <f>(E6+G6)/2</f>
        <v>49.620370928321634</v>
      </c>
      <c r="G6" s="2">
        <f>R_ECS!F14+R_ECS!E43</f>
        <v>49.46092664832728</v>
      </c>
      <c r="H6" s="2">
        <f>(G6+I6)/2</f>
        <v>49.055332493369377</v>
      </c>
      <c r="I6" s="2">
        <f>R_ECS!H14+R_ECS!F43</f>
        <v>48.649738338411474</v>
      </c>
    </row>
    <row r="7" spans="2:9" x14ac:dyDescent="0.3">
      <c r="B7" t="s">
        <v>3</v>
      </c>
      <c r="C7" s="2">
        <f>R_cuisson!B14+R_cuisson!C40</f>
        <v>24.099359944376971</v>
      </c>
      <c r="D7" s="2">
        <f>(C7+E7)/2</f>
        <v>23.146467528555689</v>
      </c>
      <c r="E7" s="2">
        <f>R_cuisson!D14+R_cuisson!D40</f>
        <v>22.193575112734404</v>
      </c>
      <c r="F7" s="2">
        <f>(E7+G7)/2</f>
        <v>21.637578437379645</v>
      </c>
      <c r="G7" s="2">
        <f>R_cuisson!F14+R_cuisson!E40</f>
        <v>21.081581762024889</v>
      </c>
      <c r="H7" s="2">
        <f>(G7+I7)/2</f>
        <v>20.41309748339847</v>
      </c>
      <c r="I7" s="2">
        <f>R_cuisson!H14+R_cuisson!F40</f>
        <v>19.744613204772051</v>
      </c>
    </row>
    <row r="8" spans="2:9" x14ac:dyDescent="0.3">
      <c r="B8" t="s">
        <v>4</v>
      </c>
      <c r="C8" s="2">
        <f>'R_Elec spé'!B15+'R_Elec spé'!C21</f>
        <v>73.620614237413292</v>
      </c>
      <c r="D8" s="2">
        <f>(C8+E8)/2</f>
        <v>74.87696669881143</v>
      </c>
      <c r="E8" s="2">
        <f>'R_Elec spé'!D15+'R_Elec spé'!D21</f>
        <v>76.133319160209567</v>
      </c>
      <c r="F8" s="2">
        <f>(E8+G8)/2</f>
        <v>77.447125743528062</v>
      </c>
      <c r="G8" s="2">
        <f>'R_Elec spé'!F15+'R_Elec spé'!E21</f>
        <v>78.760932326846557</v>
      </c>
      <c r="H8" s="2">
        <f>(G8+I8)/2</f>
        <v>79.695606454473136</v>
      </c>
      <c r="I8" s="2">
        <f>'R_Elec spé'!H15+'R_Elec spé'!F21</f>
        <v>80.630280582099701</v>
      </c>
    </row>
    <row r="9" spans="2:9" x14ac:dyDescent="0.3">
      <c r="B9" t="s">
        <v>5</v>
      </c>
      <c r="C9">
        <f>R_climatisation!D30</f>
        <v>4.6932107824276308</v>
      </c>
      <c r="D9" s="2">
        <f>(C9+E9)/2</f>
        <v>5.7932544363504546</v>
      </c>
      <c r="E9">
        <f>R_climatisation!E30</f>
        <v>6.8932980902732783</v>
      </c>
      <c r="F9" s="2">
        <f>(E9+G9)/2</f>
        <v>8.2388141272086273</v>
      </c>
      <c r="G9">
        <f>R_climatisation!F30</f>
        <v>9.584330164143978</v>
      </c>
      <c r="H9" s="2">
        <f>(G9+I9)/2</f>
        <v>10.438395815511663</v>
      </c>
      <c r="I9">
        <f>R_climatisation!G30</f>
        <v>11.292461466879349</v>
      </c>
    </row>
    <row r="10" spans="2:9" x14ac:dyDescent="0.3">
      <c r="B10" t="s">
        <v>6</v>
      </c>
      <c r="C10" s="2">
        <f t="shared" ref="C10:I10" si="1">SUM(C6:C9)</f>
        <v>151.54256991202084</v>
      </c>
      <c r="D10" s="2">
        <f t="shared" si="1"/>
        <v>153.27128874177703</v>
      </c>
      <c r="E10" s="2">
        <f t="shared" si="1"/>
        <v>155.00000757153322</v>
      </c>
      <c r="F10" s="2">
        <f t="shared" si="1"/>
        <v>156.94388923643797</v>
      </c>
      <c r="G10" s="2">
        <f t="shared" si="1"/>
        <v>158.88777090134272</v>
      </c>
      <c r="H10" s="2">
        <f t="shared" si="1"/>
        <v>159.60243224675264</v>
      </c>
      <c r="I10" s="2">
        <f t="shared" si="1"/>
        <v>160.31709359216259</v>
      </c>
    </row>
    <row r="12" spans="2:9" x14ac:dyDescent="0.3">
      <c r="B12" t="s">
        <v>2</v>
      </c>
      <c r="C12" s="2">
        <f>T_ECS!B13</f>
        <v>23.147652506599972</v>
      </c>
      <c r="D12" s="2">
        <f>T_ECS!C13</f>
        <v>23.281068137544782</v>
      </c>
      <c r="E12" s="2">
        <f>T_ECS!D13</f>
        <v>23.4144837684896</v>
      </c>
      <c r="F12" s="2">
        <f>T_ECS!E13</f>
        <v>23.218137464204471</v>
      </c>
      <c r="G12" s="2">
        <f>T_ECS!F13</f>
        <v>23.018231156155917</v>
      </c>
      <c r="H12" s="2">
        <f>T_ECS!G13</f>
        <v>22.575440522098042</v>
      </c>
      <c r="I12" s="2">
        <f>T_ECS!H13</f>
        <v>22.135987379184776</v>
      </c>
    </row>
    <row r="13" spans="2:9" x14ac:dyDescent="0.3">
      <c r="B13" t="s">
        <v>3</v>
      </c>
      <c r="C13" s="2">
        <f>T_cuisson!B13</f>
        <v>11.473184285879984</v>
      </c>
      <c r="D13" s="2">
        <f>T_cuisson!C13</f>
        <v>11.731633900614959</v>
      </c>
      <c r="E13" s="2">
        <f>T_cuisson!D13</f>
        <v>11.992287773600324</v>
      </c>
      <c r="F13" s="2">
        <f>T_cuisson!E13</f>
        <v>12.252776275396677</v>
      </c>
      <c r="G13" s="2">
        <f>T_cuisson!F13</f>
        <v>12.515393809112007</v>
      </c>
      <c r="H13" s="2">
        <f>T_cuisson!G13</f>
        <v>12.646078136793898</v>
      </c>
      <c r="I13" s="2">
        <f>T_cuisson!H13</f>
        <v>12.774766504457773</v>
      </c>
    </row>
    <row r="14" spans="2:9" x14ac:dyDescent="0.3">
      <c r="B14" t="s">
        <v>4</v>
      </c>
      <c r="C14" s="2">
        <f>'T_Elec spé'!B15</f>
        <v>72.160290640139905</v>
      </c>
      <c r="D14" s="2">
        <f>'T_Elec spé'!C15</f>
        <v>71.971397706512093</v>
      </c>
      <c r="E14" s="2">
        <f>'T_Elec spé'!D15</f>
        <v>71.775572960754758</v>
      </c>
      <c r="F14" s="2">
        <f>'T_Elec spé'!E15</f>
        <v>71.558977232438849</v>
      </c>
      <c r="G14" s="2">
        <f>'T_Elec spé'!F15</f>
        <v>71.335686259009307</v>
      </c>
      <c r="H14" s="2">
        <f>'T_Elec spé'!G15</f>
        <v>70.35980922870047</v>
      </c>
      <c r="I14" s="2">
        <f>'T_Elec spé'!H15</f>
        <v>69.390208967395637</v>
      </c>
    </row>
    <row r="15" spans="2:9" x14ac:dyDescent="0.3">
      <c r="B15" t="s">
        <v>5</v>
      </c>
      <c r="C15">
        <f>T_climatisation!D33</f>
        <v>10.478636942541449</v>
      </c>
      <c r="D15">
        <f>(C15+E15)/2</f>
        <v>11.211890153265351</v>
      </c>
      <c r="E15">
        <f>T_climatisation!E33</f>
        <v>11.945143363989255</v>
      </c>
      <c r="F15">
        <f>(E15+G15)/2</f>
        <v>13.697132604097039</v>
      </c>
      <c r="G15">
        <f>T_climatisation!F33</f>
        <v>15.449121844204825</v>
      </c>
      <c r="H15">
        <f>(G15+I15)/2</f>
        <v>17.839510767736535</v>
      </c>
      <c r="I15">
        <f>T_climatisation!G33</f>
        <v>20.229899691268248</v>
      </c>
    </row>
    <row r="16" spans="2:9" x14ac:dyDescent="0.3">
      <c r="B16" t="s">
        <v>7</v>
      </c>
      <c r="C16">
        <f>'T_Hors CEREN'!B31</f>
        <v>31.412999999999997</v>
      </c>
      <c r="D16">
        <f>'T_Hors CEREN'!C31</f>
        <v>32.32789576289094</v>
      </c>
      <c r="E16">
        <f>'T_Hors CEREN'!D31</f>
        <v>33.226877999891101</v>
      </c>
      <c r="F16">
        <f>'T_Hors CEREN'!E31</f>
        <v>36.355214939736605</v>
      </c>
      <c r="G16">
        <f>'T_Hors CEREN'!F31</f>
        <v>39.460070788565616</v>
      </c>
      <c r="H16">
        <f>'T_Hors CEREN'!G31</f>
        <v>42.52773676369798</v>
      </c>
      <c r="I16">
        <f>'T_Hors CEREN'!H31</f>
        <v>45.572017372646457</v>
      </c>
    </row>
    <row r="17" spans="2:9" x14ac:dyDescent="0.3">
      <c r="B17" t="s">
        <v>8</v>
      </c>
      <c r="C17" s="2">
        <f t="shared" ref="C17:I17" si="2">SUM(C12:C16)</f>
        <v>148.67276437516131</v>
      </c>
      <c r="D17" s="2">
        <f t="shared" si="2"/>
        <v>150.52388566082811</v>
      </c>
      <c r="E17" s="2">
        <f t="shared" si="2"/>
        <v>152.35436586672506</v>
      </c>
      <c r="F17" s="2">
        <f t="shared" si="2"/>
        <v>157.08223851587363</v>
      </c>
      <c r="G17" s="2">
        <f t="shared" si="2"/>
        <v>161.77850385704767</v>
      </c>
      <c r="H17" s="2">
        <f t="shared" si="2"/>
        <v>165.94857541902692</v>
      </c>
      <c r="I17" s="2">
        <f t="shared" si="2"/>
        <v>170.10287991495289</v>
      </c>
    </row>
    <row r="19" spans="2:9" x14ac:dyDescent="0.3">
      <c r="B19" t="s">
        <v>9</v>
      </c>
      <c r="C19" s="2">
        <f t="shared" ref="C19:I19" si="3">C10+C17</f>
        <v>300.21533428718215</v>
      </c>
      <c r="D19" s="2">
        <f t="shared" si="3"/>
        <v>303.79517440260514</v>
      </c>
      <c r="E19" s="2">
        <f t="shared" si="3"/>
        <v>307.35437343825828</v>
      </c>
      <c r="F19" s="2">
        <f t="shared" si="3"/>
        <v>314.0261277523116</v>
      </c>
      <c r="G19" s="2">
        <f t="shared" si="3"/>
        <v>320.66627475839039</v>
      </c>
      <c r="H19" s="2">
        <f t="shared" si="3"/>
        <v>325.55100766577959</v>
      </c>
      <c r="I19" s="2">
        <f t="shared" si="3"/>
        <v>330.41997350711551</v>
      </c>
    </row>
  </sheetData>
  <mergeCells count="1">
    <mergeCell ref="B2:I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55" zoomScaleNormal="55" workbookViewId="0">
      <selection activeCell="U51" sqref="U51"/>
    </sheetView>
  </sheetViews>
  <sheetFormatPr baseColWidth="10" defaultColWidth="8.77734375" defaultRowHeight="14.4" x14ac:dyDescent="0.3"/>
  <cols>
    <col min="1" max="1" width="28.77734375" customWidth="1"/>
    <col min="2" max="1025" width="8.44140625" customWidth="1"/>
  </cols>
  <sheetData>
    <row r="1" spans="1:4" x14ac:dyDescent="0.3">
      <c r="A1" t="s">
        <v>10</v>
      </c>
      <c r="B1" t="s">
        <v>11</v>
      </c>
    </row>
    <row r="2" spans="1:4" x14ac:dyDescent="0.3">
      <c r="A2" t="s">
        <v>12</v>
      </c>
      <c r="B2" t="s">
        <v>91</v>
      </c>
    </row>
    <row r="3" spans="1:4" x14ac:dyDescent="0.3">
      <c r="A3" t="s">
        <v>14</v>
      </c>
      <c r="B3" t="s">
        <v>1</v>
      </c>
    </row>
    <row r="4" spans="1:4" x14ac:dyDescent="0.3">
      <c r="A4" t="s">
        <v>15</v>
      </c>
      <c r="B4" t="s">
        <v>16</v>
      </c>
    </row>
    <row r="5" spans="1:4" x14ac:dyDescent="0.3">
      <c r="A5" t="s">
        <v>17</v>
      </c>
      <c r="B5" t="s">
        <v>18</v>
      </c>
      <c r="D5" s="63"/>
    </row>
    <row r="7" spans="1:4" x14ac:dyDescent="0.3">
      <c r="A7" t="s">
        <v>92</v>
      </c>
    </row>
    <row r="8" spans="1:4" x14ac:dyDescent="0.3">
      <c r="A8" s="64" t="s">
        <v>93</v>
      </c>
      <c r="B8" s="65">
        <v>2015</v>
      </c>
      <c r="C8" s="65">
        <v>2020</v>
      </c>
    </row>
    <row r="9" spans="1:4" x14ac:dyDescent="0.3">
      <c r="A9" s="66" t="s">
        <v>94</v>
      </c>
      <c r="B9" s="67">
        <v>6500</v>
      </c>
      <c r="C9" s="67">
        <v>6500</v>
      </c>
    </row>
    <row r="10" spans="1:4" x14ac:dyDescent="0.3">
      <c r="A10" s="66" t="s">
        <v>95</v>
      </c>
      <c r="B10" s="67">
        <v>7700</v>
      </c>
      <c r="C10" s="67">
        <v>7700</v>
      </c>
    </row>
    <row r="11" spans="1:4" x14ac:dyDescent="0.3">
      <c r="A11" s="66" t="s">
        <v>96</v>
      </c>
      <c r="B11" s="67">
        <v>1270</v>
      </c>
      <c r="C11" s="67">
        <v>1270</v>
      </c>
    </row>
    <row r="12" spans="1:4" x14ac:dyDescent="0.3">
      <c r="A12" s="66" t="s">
        <v>97</v>
      </c>
      <c r="B12" s="67">
        <v>1364</v>
      </c>
      <c r="C12" s="67">
        <v>1364</v>
      </c>
    </row>
    <row r="13" spans="1:4" x14ac:dyDescent="0.3">
      <c r="A13" s="66" t="s">
        <v>98</v>
      </c>
      <c r="B13" s="67">
        <v>2296</v>
      </c>
      <c r="C13" s="67">
        <v>2296</v>
      </c>
    </row>
    <row r="14" spans="1:4" x14ac:dyDescent="0.3">
      <c r="A14" s="66" t="s">
        <v>99</v>
      </c>
      <c r="B14" s="67">
        <v>4000</v>
      </c>
      <c r="C14" s="67">
        <v>4000</v>
      </c>
    </row>
    <row r="15" spans="1:4" x14ac:dyDescent="0.3">
      <c r="A15" s="66" t="s">
        <v>100</v>
      </c>
      <c r="B15" s="67">
        <v>6363</v>
      </c>
      <c r="C15" s="67">
        <v>6363</v>
      </c>
    </row>
    <row r="16" spans="1:4" x14ac:dyDescent="0.3">
      <c r="A16" s="66" t="s">
        <v>101</v>
      </c>
      <c r="B16" s="67">
        <v>1920</v>
      </c>
      <c r="C16" s="67">
        <v>1920</v>
      </c>
    </row>
    <row r="17" spans="1:22" ht="27" x14ac:dyDescent="0.3">
      <c r="A17" s="64" t="s">
        <v>102</v>
      </c>
      <c r="B17" s="68">
        <v>31413</v>
      </c>
      <c r="C17" s="68">
        <v>31413</v>
      </c>
      <c r="V17" s="69"/>
    </row>
    <row r="18" spans="1:22" x14ac:dyDescent="0.3">
      <c r="A18" t="s">
        <v>103</v>
      </c>
    </row>
    <row r="21" spans="1:22" x14ac:dyDescent="0.3">
      <c r="A21" s="70" t="s">
        <v>104</v>
      </c>
      <c r="O21" s="70" t="s">
        <v>105</v>
      </c>
    </row>
    <row r="22" spans="1:22" x14ac:dyDescent="0.3">
      <c r="A22" t="s">
        <v>1</v>
      </c>
      <c r="B22" s="1">
        <v>2020</v>
      </c>
      <c r="C22" s="1">
        <f t="shared" ref="C22:H22" si="0">B22+5</f>
        <v>2025</v>
      </c>
      <c r="D22" s="1">
        <f t="shared" si="0"/>
        <v>2030</v>
      </c>
      <c r="E22" s="1">
        <f t="shared" si="0"/>
        <v>2035</v>
      </c>
      <c r="F22" s="1">
        <f t="shared" si="0"/>
        <v>2040</v>
      </c>
      <c r="G22" s="1">
        <f t="shared" si="0"/>
        <v>2045</v>
      </c>
      <c r="H22" s="1">
        <f t="shared" si="0"/>
        <v>2050</v>
      </c>
    </row>
    <row r="23" spans="1:22" x14ac:dyDescent="0.3">
      <c r="A23" s="1" t="s">
        <v>94</v>
      </c>
      <c r="B23" s="71">
        <f>C9/1000</f>
        <v>6.5</v>
      </c>
      <c r="C23" s="71">
        <v>6</v>
      </c>
      <c r="D23" s="71">
        <v>5.5</v>
      </c>
      <c r="E23" s="71">
        <f>(D23+F23)/2</f>
        <v>5.2</v>
      </c>
      <c r="F23" s="71">
        <f>(D23+H23)/2</f>
        <v>4.9000000000000004</v>
      </c>
      <c r="G23" s="71">
        <f>(F23+H23)/2</f>
        <v>4.5999999999999996</v>
      </c>
      <c r="H23" s="71">
        <v>4.3</v>
      </c>
      <c r="I23" t="s">
        <v>106</v>
      </c>
      <c r="S23" t="s">
        <v>107</v>
      </c>
    </row>
    <row r="24" spans="1:22" x14ac:dyDescent="0.3">
      <c r="A24" s="1" t="s">
        <v>95</v>
      </c>
      <c r="B24" s="71">
        <f>C10/1000</f>
        <v>7.7</v>
      </c>
      <c r="C24" s="71">
        <f>(B24+D24)/2</f>
        <v>8.8979999999999997</v>
      </c>
      <c r="D24" s="71">
        <v>10.096</v>
      </c>
      <c r="E24" s="71">
        <f>(D24+F24)/2</f>
        <v>13.347</v>
      </c>
      <c r="F24" s="71">
        <f>(D24+H24)/2</f>
        <v>16.597999999999999</v>
      </c>
      <c r="G24" s="71">
        <f>(F24+H24)/2</f>
        <v>19.849</v>
      </c>
      <c r="H24" s="71">
        <f>B24*3</f>
        <v>23.1</v>
      </c>
      <c r="I24" t="s">
        <v>108</v>
      </c>
      <c r="J24" t="s">
        <v>109</v>
      </c>
    </row>
    <row r="25" spans="1:22" x14ac:dyDescent="0.3">
      <c r="A25" s="1" t="s">
        <v>110</v>
      </c>
      <c r="B25" s="71">
        <f>C11/1000</f>
        <v>1.27</v>
      </c>
      <c r="C25" s="71">
        <f>(B25+D25)/2</f>
        <v>1.3017500000000002</v>
      </c>
      <c r="D25" s="71">
        <f>B25*1.05</f>
        <v>1.3335000000000001</v>
      </c>
      <c r="E25" s="71">
        <f>(D25+F25)/2</f>
        <v>1.3652500000000001</v>
      </c>
      <c r="F25" s="71">
        <f>B25*1.1</f>
        <v>1.3970000000000002</v>
      </c>
      <c r="G25" s="71">
        <f>(F25+H25)/2</f>
        <v>1.4033500000000001</v>
      </c>
      <c r="H25" s="71">
        <f>B25*1.11</f>
        <v>1.4097000000000002</v>
      </c>
      <c r="I25" s="72" t="s">
        <v>111</v>
      </c>
    </row>
    <row r="26" spans="1:22" x14ac:dyDescent="0.3">
      <c r="A26" s="1" t="s">
        <v>112</v>
      </c>
      <c r="B26" s="71">
        <f>C12/1000</f>
        <v>1.3640000000000001</v>
      </c>
      <c r="C26" s="71">
        <f>$B26*('[1]Construction neuve rési'!H9/'[1]Construction neuve rési'!$C9)</f>
        <v>1.3783241646930562</v>
      </c>
      <c r="D26" s="71">
        <f>$B26*('[1]Construction neuve rési'!M9/'[1]Construction neuve rési'!$C9)</f>
        <v>1.3905453076033989</v>
      </c>
      <c r="E26" s="71">
        <f>$B26*('[1]Construction neuve rési'!R9/'[1]Construction neuve rési'!$C9)</f>
        <v>1.3985924909797756</v>
      </c>
      <c r="F26" s="71">
        <f>$B26*('[1]Construction neuve rési'!W9/'[1]Construction neuve rési'!$C9)</f>
        <v>1.402494701126376</v>
      </c>
      <c r="G26" s="71">
        <f>$B26*('[1]Construction neuve rési'!AB9/'[1]Construction neuve rési'!$C9)</f>
        <v>1.404315717055008</v>
      </c>
      <c r="H26" s="71">
        <f>$B26*('[1]Construction neuve rési'!AG9/'[1]Construction neuve rési'!$C9)</f>
        <v>1.4020086574724688</v>
      </c>
      <c r="I26" t="s">
        <v>113</v>
      </c>
    </row>
    <row r="27" spans="1:22" x14ac:dyDescent="0.3">
      <c r="A27" s="1" t="s">
        <v>114</v>
      </c>
      <c r="B27" s="71">
        <f>(C13+C14)/1000</f>
        <v>6.2960000000000003</v>
      </c>
      <c r="C27" s="71">
        <v>6.4</v>
      </c>
      <c r="D27" s="71">
        <v>6.5</v>
      </c>
      <c r="E27" s="71">
        <v>6.6</v>
      </c>
      <c r="F27" s="71">
        <v>6.7</v>
      </c>
      <c r="G27" s="71">
        <v>6.8</v>
      </c>
      <c r="H27" s="71">
        <v>6.9</v>
      </c>
      <c r="I27" t="s">
        <v>115</v>
      </c>
    </row>
    <row r="28" spans="1:22" x14ac:dyDescent="0.3">
      <c r="A28" s="1" t="s">
        <v>116</v>
      </c>
      <c r="B28" s="71">
        <f>C15/1000</f>
        <v>6.3630000000000004</v>
      </c>
      <c r="C28" s="71">
        <f>$B28*('[1]Construction neuve rési'!H9/'[1]Construction neuve rési'!$C9)</f>
        <v>6.4298215981978863</v>
      </c>
      <c r="D28" s="71">
        <f>$B28*('[1]Construction neuve rési'!M9/'[1]Construction neuve rési'!$C9)</f>
        <v>6.4868326922877024</v>
      </c>
      <c r="E28" s="71">
        <f>$B28*('[1]Construction neuve rési'!R9/'[1]Construction neuve rési'!$C9)</f>
        <v>6.5243724487568269</v>
      </c>
      <c r="F28" s="71">
        <f>$B28*('[1]Construction neuve rési'!W9/'[1]Construction neuve rési'!$C9)</f>
        <v>6.5425760874392447</v>
      </c>
      <c r="G28" s="71">
        <f>$B28*('[1]Construction neuve rési'!AB9/'[1]Construction neuve rési'!$C9)</f>
        <v>6.5510710466429742</v>
      </c>
      <c r="H28" s="71">
        <f>$B28*('[1]Construction neuve rési'!AG9/'[1]Construction neuve rési'!$C9)</f>
        <v>6.5403087151739872</v>
      </c>
      <c r="I28" t="s">
        <v>113</v>
      </c>
    </row>
    <row r="29" spans="1:22" x14ac:dyDescent="0.3">
      <c r="A29" s="1" t="s">
        <v>117</v>
      </c>
      <c r="B29" s="71">
        <f>C16/1000</f>
        <v>1.92</v>
      </c>
      <c r="C29" s="71">
        <f t="shared" ref="C29:H29" si="1">B29</f>
        <v>1.92</v>
      </c>
      <c r="D29" s="71">
        <f t="shared" si="1"/>
        <v>1.92</v>
      </c>
      <c r="E29" s="71">
        <f t="shared" si="1"/>
        <v>1.92</v>
      </c>
      <c r="F29" s="71">
        <f t="shared" si="1"/>
        <v>1.92</v>
      </c>
      <c r="G29" s="71">
        <f t="shared" si="1"/>
        <v>1.92</v>
      </c>
      <c r="H29" s="71">
        <f t="shared" si="1"/>
        <v>1.92</v>
      </c>
      <c r="I29" t="s">
        <v>118</v>
      </c>
    </row>
    <row r="30" spans="1:22" x14ac:dyDescent="0.3">
      <c r="A30" t="s">
        <v>101</v>
      </c>
      <c r="B30" s="3"/>
    </row>
    <row r="31" spans="1:22" x14ac:dyDescent="0.3">
      <c r="A31" s="70" t="s">
        <v>87</v>
      </c>
      <c r="B31" s="73">
        <f t="shared" ref="B31:H31" si="2">SUM(B23:B30)</f>
        <v>31.412999999999997</v>
      </c>
      <c r="C31" s="73">
        <f t="shared" si="2"/>
        <v>32.32789576289094</v>
      </c>
      <c r="D31" s="73">
        <f t="shared" si="2"/>
        <v>33.226877999891101</v>
      </c>
      <c r="E31" s="73">
        <f t="shared" si="2"/>
        <v>36.355214939736605</v>
      </c>
      <c r="F31" s="73">
        <f t="shared" si="2"/>
        <v>39.460070788565616</v>
      </c>
      <c r="G31" s="73">
        <f t="shared" si="2"/>
        <v>42.52773676369798</v>
      </c>
      <c r="H31" s="73">
        <f t="shared" si="2"/>
        <v>45.572017372646457</v>
      </c>
    </row>
    <row r="34" spans="2:21" x14ac:dyDescent="0.3">
      <c r="B34" s="70" t="s">
        <v>119</v>
      </c>
      <c r="M34" s="74" t="s">
        <v>120</v>
      </c>
    </row>
    <row r="35" spans="2:21" x14ac:dyDescent="0.3">
      <c r="B35">
        <v>2015</v>
      </c>
      <c r="C35">
        <v>2020</v>
      </c>
      <c r="D35">
        <v>2025</v>
      </c>
      <c r="E35">
        <v>2030</v>
      </c>
      <c r="F35">
        <v>2050</v>
      </c>
      <c r="M35" s="24" t="s">
        <v>1</v>
      </c>
      <c r="N35" s="24">
        <v>2019</v>
      </c>
      <c r="O35" s="24">
        <v>2020</v>
      </c>
      <c r="P35" s="24">
        <f t="shared" ref="P35:U35" si="3">O35+5</f>
        <v>2025</v>
      </c>
      <c r="Q35" s="24">
        <f t="shared" si="3"/>
        <v>2030</v>
      </c>
      <c r="R35" s="24">
        <f t="shared" si="3"/>
        <v>2035</v>
      </c>
      <c r="S35" s="24">
        <f t="shared" si="3"/>
        <v>2040</v>
      </c>
      <c r="T35" s="24">
        <f t="shared" si="3"/>
        <v>2045</v>
      </c>
      <c r="U35" s="24">
        <f t="shared" si="3"/>
        <v>2050</v>
      </c>
    </row>
    <row r="36" spans="2:21" x14ac:dyDescent="0.3">
      <c r="B36" s="3">
        <v>4.1519927827443199</v>
      </c>
      <c r="C36" s="3">
        <v>3.91473605230179</v>
      </c>
      <c r="D36" s="3">
        <v>3.6774793218592499</v>
      </c>
      <c r="E36" s="3">
        <v>3.4402225914167199</v>
      </c>
      <c r="F36" s="3">
        <v>2.49119566964659</v>
      </c>
      <c r="G36" t="s">
        <v>121</v>
      </c>
      <c r="M36" s="24" t="s">
        <v>94</v>
      </c>
      <c r="N36" s="7">
        <v>5.8458399999999999</v>
      </c>
      <c r="O36" s="7">
        <v>4.2194000000000003</v>
      </c>
      <c r="P36" s="7">
        <v>3.2559489795918299</v>
      </c>
      <c r="Q36" s="7">
        <v>2.5537731092436902</v>
      </c>
      <c r="R36" s="7">
        <v>2.0648571428571398</v>
      </c>
      <c r="S36" s="7">
        <v>1.8163095238095199</v>
      </c>
      <c r="T36" s="7">
        <v>1.6042918719211801</v>
      </c>
      <c r="U36" s="7">
        <v>1.41290322580645</v>
      </c>
    </row>
    <row r="37" spans="2:21" x14ac:dyDescent="0.3">
      <c r="B37" s="3">
        <v>2.68658356530515</v>
      </c>
      <c r="C37" s="3">
        <v>3.0447947073458299</v>
      </c>
      <c r="D37" s="3">
        <v>3.4030058493865201</v>
      </c>
      <c r="E37" s="3">
        <v>3.7612169914272</v>
      </c>
      <c r="F37" s="3">
        <v>3.7612169914272</v>
      </c>
      <c r="G37" t="s">
        <v>122</v>
      </c>
      <c r="M37" s="24" t="s">
        <v>95</v>
      </c>
      <c r="N37" s="7">
        <v>6</v>
      </c>
      <c r="O37" s="7">
        <v>7.3333333333333304</v>
      </c>
      <c r="P37" s="7">
        <v>8.6666666666666696</v>
      </c>
      <c r="Q37" s="7">
        <v>9.4</v>
      </c>
      <c r="R37" s="7">
        <v>9.4</v>
      </c>
      <c r="S37" s="7">
        <v>9.1</v>
      </c>
      <c r="T37" s="7">
        <v>8.6005835464128797</v>
      </c>
      <c r="U37" s="7">
        <v>8.1790693759723094</v>
      </c>
    </row>
    <row r="38" spans="2:21" x14ac:dyDescent="0.3">
      <c r="B38" s="3">
        <v>6.8385763480494601</v>
      </c>
      <c r="C38" s="3">
        <v>6.3826712581795002</v>
      </c>
      <c r="D38" s="3">
        <v>5.9267661683095403</v>
      </c>
      <c r="E38" s="3">
        <v>5.4708610784395697</v>
      </c>
      <c r="F38" s="3">
        <v>5.1289322610371002</v>
      </c>
      <c r="G38" t="s">
        <v>123</v>
      </c>
      <c r="M38" s="24" t="s">
        <v>110</v>
      </c>
      <c r="N38" s="7"/>
      <c r="O38" s="7"/>
      <c r="P38" s="7"/>
      <c r="Q38" s="7"/>
      <c r="R38" s="7"/>
      <c r="S38" s="7"/>
      <c r="T38" s="7"/>
      <c r="U38" s="7"/>
    </row>
    <row r="39" spans="2:21" x14ac:dyDescent="0.3">
      <c r="B39" s="3">
        <v>2.1167022029676898</v>
      </c>
      <c r="C39" s="3">
        <v>1.9755887227698501</v>
      </c>
      <c r="D39" s="3">
        <v>1.8344752425719999</v>
      </c>
      <c r="E39" s="3">
        <v>1.6933617623741499</v>
      </c>
      <c r="F39" s="3">
        <v>1.5875266522257701</v>
      </c>
      <c r="G39" t="s">
        <v>123</v>
      </c>
      <c r="M39" s="24" t="s">
        <v>112</v>
      </c>
      <c r="N39" s="7">
        <v>3.5</v>
      </c>
      <c r="O39" s="7">
        <v>3.9</v>
      </c>
      <c r="P39" s="7">
        <v>4.3</v>
      </c>
      <c r="Q39" s="7">
        <v>4.7</v>
      </c>
      <c r="R39" s="7">
        <v>5.0999999999999996</v>
      </c>
      <c r="S39" s="7">
        <v>5.5</v>
      </c>
      <c r="T39" s="7">
        <v>5.5</v>
      </c>
      <c r="U39" s="7">
        <v>5.5</v>
      </c>
    </row>
    <row r="40" spans="2:21" x14ac:dyDescent="0.3">
      <c r="B40" s="3">
        <v>3.4192881740247301</v>
      </c>
      <c r="C40" s="3">
        <v>3.7042288551934601</v>
      </c>
      <c r="D40" s="3">
        <v>3.9891695363621902</v>
      </c>
      <c r="E40" s="3">
        <v>4.2741102175309198</v>
      </c>
      <c r="F40" s="3">
        <v>4.2741102175309198</v>
      </c>
      <c r="G40" t="s">
        <v>124</v>
      </c>
      <c r="M40" s="24" t="s">
        <v>114</v>
      </c>
      <c r="N40" s="7">
        <v>8.4</v>
      </c>
      <c r="O40" s="7">
        <v>7.6333333333333302</v>
      </c>
      <c r="P40" s="7">
        <v>7.0222222222222301</v>
      </c>
      <c r="Q40" s="7">
        <v>6.4111111111111203</v>
      </c>
      <c r="R40" s="7">
        <v>5.8</v>
      </c>
      <c r="S40" s="7">
        <v>5.2</v>
      </c>
      <c r="T40" s="7">
        <v>4.5999999999999996</v>
      </c>
      <c r="U40" s="7">
        <v>4.08</v>
      </c>
    </row>
    <row r="41" spans="2:21" x14ac:dyDescent="0.3">
      <c r="B41" s="3">
        <v>5.6988136233745497</v>
      </c>
      <c r="C41" s="3">
        <v>5.3188927151495804</v>
      </c>
      <c r="D41" s="3">
        <v>4.9389718069246102</v>
      </c>
      <c r="E41" s="3">
        <v>4.5590508986996401</v>
      </c>
      <c r="F41" s="3">
        <v>4.27411021753091</v>
      </c>
      <c r="G41" t="s">
        <v>123</v>
      </c>
      <c r="M41" s="24" t="s">
        <v>116</v>
      </c>
      <c r="N41" s="7"/>
      <c r="O41" s="7"/>
      <c r="P41" s="7"/>
      <c r="Q41" s="7"/>
      <c r="R41" s="7"/>
      <c r="S41" s="7"/>
      <c r="T41" s="7"/>
      <c r="U41" s="7"/>
    </row>
    <row r="42" spans="2:21" x14ac:dyDescent="0.3">
      <c r="B42" s="3">
        <v>1.13976272467491</v>
      </c>
      <c r="C42" s="3">
        <v>1.02578645220742</v>
      </c>
      <c r="D42" s="3">
        <v>0.91181017973992895</v>
      </c>
      <c r="E42" s="3">
        <v>0.79783390727243797</v>
      </c>
      <c r="F42" s="3">
        <v>0.79783390727243797</v>
      </c>
      <c r="G42" t="s">
        <v>125</v>
      </c>
      <c r="M42" s="24" t="s">
        <v>117</v>
      </c>
      <c r="N42" s="7"/>
      <c r="O42" s="7"/>
      <c r="P42" s="7"/>
      <c r="Q42" s="7"/>
      <c r="R42" s="7"/>
      <c r="S42" s="7"/>
      <c r="T42" s="7"/>
      <c r="U42" s="7"/>
    </row>
    <row r="43" spans="2:21" x14ac:dyDescent="0.3">
      <c r="B43" s="3">
        <v>1.6282324638212999</v>
      </c>
      <c r="C43" s="3">
        <v>1.6282324638212999</v>
      </c>
      <c r="D43" s="3">
        <v>1.6282324638212999</v>
      </c>
      <c r="E43" s="3">
        <v>1.6282324638212999</v>
      </c>
      <c r="F43" s="3">
        <v>1.6282324638212999</v>
      </c>
      <c r="G43" t="s">
        <v>126</v>
      </c>
      <c r="M43" s="24" t="s">
        <v>101</v>
      </c>
      <c r="N43" s="7"/>
      <c r="O43" s="7"/>
      <c r="P43" s="7"/>
      <c r="Q43" s="7"/>
      <c r="R43" s="7"/>
      <c r="S43" s="7"/>
      <c r="T43" s="7"/>
      <c r="U43" s="7"/>
    </row>
    <row r="44" spans="2:21" x14ac:dyDescent="0.3">
      <c r="B44" s="3">
        <v>27.679951884962101</v>
      </c>
      <c r="C44" s="3">
        <v>26.994931226968699</v>
      </c>
      <c r="D44" s="3">
        <v>26.309910568975301</v>
      </c>
      <c r="E44" s="3">
        <v>25.624889910981899</v>
      </c>
      <c r="F44" s="3">
        <v>23.9431583804922</v>
      </c>
      <c r="M44" s="24" t="s">
        <v>87</v>
      </c>
      <c r="N44" s="7">
        <f t="shared" ref="N44:U44" si="4">SUM(N36:N43)</f>
        <v>23.745840000000001</v>
      </c>
      <c r="O44" s="7">
        <f t="shared" si="4"/>
        <v>23.08606666666666</v>
      </c>
      <c r="P44" s="7">
        <f t="shared" si="4"/>
        <v>23.24483786848073</v>
      </c>
      <c r="Q44" s="7">
        <f t="shared" si="4"/>
        <v>23.064884220354813</v>
      </c>
      <c r="R44" s="7">
        <f t="shared" si="4"/>
        <v>22.36485714285714</v>
      </c>
      <c r="S44" s="7">
        <f t="shared" si="4"/>
        <v>21.61630952380952</v>
      </c>
      <c r="T44" s="7">
        <f t="shared" si="4"/>
        <v>20.30487541833406</v>
      </c>
      <c r="U44" s="7">
        <f t="shared" si="4"/>
        <v>19.171972601778762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="55" zoomScaleNormal="55" workbookViewId="0">
      <selection activeCell="N1" sqref="N1:Z1048576"/>
    </sheetView>
  </sheetViews>
  <sheetFormatPr baseColWidth="10" defaultColWidth="8.77734375" defaultRowHeight="14.4" x14ac:dyDescent="0.3"/>
  <cols>
    <col min="1" max="1" width="22.77734375" customWidth="1"/>
    <col min="2" max="1012" width="10.44140625" customWidth="1"/>
  </cols>
  <sheetData>
    <row r="1" spans="1:12" x14ac:dyDescent="0.3">
      <c r="A1" t="s">
        <v>10</v>
      </c>
      <c r="B1" t="s">
        <v>11</v>
      </c>
    </row>
    <row r="2" spans="1:12" x14ac:dyDescent="0.3">
      <c r="A2" t="s">
        <v>12</v>
      </c>
      <c r="B2" t="s">
        <v>13</v>
      </c>
    </row>
    <row r="3" spans="1:12" x14ac:dyDescent="0.3">
      <c r="A3" t="s">
        <v>14</v>
      </c>
      <c r="B3" t="s">
        <v>1</v>
      </c>
    </row>
    <row r="4" spans="1:12" x14ac:dyDescent="0.3">
      <c r="A4" t="s">
        <v>15</v>
      </c>
      <c r="B4" t="s">
        <v>16</v>
      </c>
    </row>
    <row r="5" spans="1:12" x14ac:dyDescent="0.3">
      <c r="A5" t="s">
        <v>17</v>
      </c>
      <c r="B5" t="s">
        <v>18</v>
      </c>
    </row>
    <row r="7" spans="1:12" ht="21" x14ac:dyDescent="0.4">
      <c r="B7" s="96" t="s">
        <v>19</v>
      </c>
      <c r="C7" s="96"/>
    </row>
    <row r="9" spans="1:12" x14ac:dyDescent="0.3">
      <c r="A9" t="s">
        <v>20</v>
      </c>
    </row>
    <row r="10" spans="1:12" x14ac:dyDescent="0.3">
      <c r="B10" s="4">
        <v>2020</v>
      </c>
      <c r="C10" s="4">
        <f t="shared" ref="C10:H10" si="0">B10+5</f>
        <v>2025</v>
      </c>
      <c r="D10" s="4">
        <f t="shared" si="0"/>
        <v>2030</v>
      </c>
      <c r="E10" s="4">
        <f t="shared" si="0"/>
        <v>2035</v>
      </c>
      <c r="F10" s="4">
        <f t="shared" si="0"/>
        <v>2040</v>
      </c>
      <c r="G10" s="4">
        <f t="shared" si="0"/>
        <v>2045</v>
      </c>
      <c r="H10" s="4">
        <f t="shared" si="0"/>
        <v>2050</v>
      </c>
    </row>
    <row r="11" spans="1:12" x14ac:dyDescent="0.3">
      <c r="A11" s="4" t="s">
        <v>21</v>
      </c>
      <c r="B11" s="4">
        <v>732</v>
      </c>
      <c r="C11" s="5">
        <v>728.5</v>
      </c>
      <c r="D11" s="5">
        <v>725</v>
      </c>
      <c r="E11" s="5">
        <v>718.75</v>
      </c>
      <c r="F11" s="5">
        <v>712.5</v>
      </c>
      <c r="G11" s="5">
        <v>706.25</v>
      </c>
      <c r="H11" s="5">
        <v>700</v>
      </c>
    </row>
    <row r="12" spans="1:12" x14ac:dyDescent="0.3">
      <c r="A12" s="6" t="s">
        <v>22</v>
      </c>
      <c r="B12" s="7">
        <v>65.150087834546284</v>
      </c>
      <c r="C12" s="7">
        <v>65.818451644818211</v>
      </c>
      <c r="D12" s="7">
        <v>66.381694954194302</v>
      </c>
      <c r="E12" s="7">
        <v>66.745840130505712</v>
      </c>
      <c r="F12" s="7">
        <v>66.908551375631674</v>
      </c>
      <c r="G12" s="7">
        <v>66.968284938374765</v>
      </c>
      <c r="H12" s="7">
        <v>66.828310881977941</v>
      </c>
    </row>
    <row r="14" spans="1:12" x14ac:dyDescent="0.3">
      <c r="A14" s="8" t="s">
        <v>23</v>
      </c>
      <c r="B14" s="9">
        <f t="shared" ref="B14:H14" si="1">B12*B11/1000</f>
        <v>47.689864294887876</v>
      </c>
      <c r="C14" s="9">
        <f t="shared" si="1"/>
        <v>47.94874202325007</v>
      </c>
      <c r="D14" s="9">
        <f t="shared" si="1"/>
        <v>48.126728841790872</v>
      </c>
      <c r="E14" s="9">
        <f t="shared" si="1"/>
        <v>47.973572593800981</v>
      </c>
      <c r="F14" s="9">
        <f t="shared" si="1"/>
        <v>47.672342855137572</v>
      </c>
      <c r="G14" s="9">
        <f t="shared" si="1"/>
        <v>47.29635123772718</v>
      </c>
      <c r="H14" s="9">
        <f t="shared" si="1"/>
        <v>46.779817617384559</v>
      </c>
    </row>
    <row r="16" spans="1:12" x14ac:dyDescent="0.3">
      <c r="A16" s="4"/>
      <c r="B16" s="10" t="s">
        <v>19</v>
      </c>
      <c r="C16" s="4" t="s">
        <v>24</v>
      </c>
      <c r="D16" s="4" t="s">
        <v>25</v>
      </c>
      <c r="E16" s="4" t="s">
        <v>26</v>
      </c>
      <c r="F16" s="4" t="s">
        <v>27</v>
      </c>
      <c r="G16" s="4" t="s">
        <v>28</v>
      </c>
      <c r="H16" s="4" t="s">
        <v>29</v>
      </c>
      <c r="I16" s="4" t="s">
        <v>30</v>
      </c>
      <c r="J16" s="4" t="s">
        <v>31</v>
      </c>
      <c r="K16" s="4" t="s">
        <v>32</v>
      </c>
      <c r="L16" s="4" t="s">
        <v>33</v>
      </c>
    </row>
    <row r="17" spans="1:12" ht="14.55" customHeight="1" x14ac:dyDescent="0.3">
      <c r="A17" s="97" t="s">
        <v>34</v>
      </c>
      <c r="B17" s="1">
        <v>2020</v>
      </c>
      <c r="C17" s="11">
        <v>0.41599999999999998</v>
      </c>
      <c r="D17" s="11">
        <v>0.04</v>
      </c>
      <c r="E17" s="11">
        <v>8.0399999999999999E-2</v>
      </c>
      <c r="F17" s="11"/>
      <c r="G17" s="11">
        <v>0.1176</v>
      </c>
      <c r="H17" s="11">
        <v>0.32869999999999999</v>
      </c>
      <c r="I17" s="11">
        <v>1.47E-2</v>
      </c>
      <c r="J17" s="11"/>
      <c r="K17" s="11">
        <v>3.0000000000000001E-3</v>
      </c>
      <c r="L17" s="11"/>
    </row>
    <row r="18" spans="1:12" x14ac:dyDescent="0.3">
      <c r="A18" s="97"/>
      <c r="B18" s="4">
        <f t="shared" ref="B18:B23" si="2">B17+5</f>
        <v>2025</v>
      </c>
      <c r="C18" s="11">
        <v>0.42799999999999999</v>
      </c>
      <c r="D18" s="11">
        <v>0.04</v>
      </c>
      <c r="E18" s="11">
        <v>8.5199999999999998E-2</v>
      </c>
      <c r="F18" s="11"/>
      <c r="G18" s="11">
        <v>8.3799999999999999E-2</v>
      </c>
      <c r="H18" s="11">
        <v>0.33934999999999998</v>
      </c>
      <c r="I18" s="11">
        <v>1.235E-2</v>
      </c>
      <c r="J18" s="11"/>
      <c r="K18" s="11">
        <v>1.15E-2</v>
      </c>
      <c r="L18" s="11"/>
    </row>
    <row r="19" spans="1:12" x14ac:dyDescent="0.3">
      <c r="A19" s="97"/>
      <c r="B19" s="4">
        <f t="shared" si="2"/>
        <v>2030</v>
      </c>
      <c r="C19" s="11">
        <v>0.44</v>
      </c>
      <c r="D19" s="11">
        <v>0.04</v>
      </c>
      <c r="E19" s="11">
        <v>0.09</v>
      </c>
      <c r="F19" s="11"/>
      <c r="G19" s="11">
        <v>0.05</v>
      </c>
      <c r="H19" s="11">
        <v>0.35</v>
      </c>
      <c r="I19" s="11">
        <v>0.01</v>
      </c>
      <c r="J19" s="11"/>
      <c r="K19" s="11">
        <v>0.02</v>
      </c>
      <c r="L19" s="11"/>
    </row>
    <row r="20" spans="1:12" x14ac:dyDescent="0.3">
      <c r="A20" s="97"/>
      <c r="B20" s="4">
        <f t="shared" si="2"/>
        <v>2035</v>
      </c>
      <c r="C20" s="11">
        <v>0.44124999999999998</v>
      </c>
      <c r="D20" s="11">
        <v>0.04</v>
      </c>
      <c r="E20" s="11">
        <v>9.2499999999999999E-2</v>
      </c>
      <c r="F20" s="11"/>
      <c r="G20" s="11">
        <v>0.04</v>
      </c>
      <c r="H20" s="11">
        <v>0.35749999999999998</v>
      </c>
      <c r="I20" s="11">
        <v>8.7500000000000008E-3</v>
      </c>
      <c r="J20" s="11"/>
      <c r="K20" s="11">
        <v>0.02</v>
      </c>
      <c r="L20" s="11"/>
    </row>
    <row r="21" spans="1:12" x14ac:dyDescent="0.3">
      <c r="A21" s="97"/>
      <c r="B21" s="4">
        <f t="shared" si="2"/>
        <v>2040</v>
      </c>
      <c r="C21" s="11">
        <v>0.4425</v>
      </c>
      <c r="D21" s="11">
        <v>0.04</v>
      </c>
      <c r="E21" s="11">
        <v>9.5000000000000001E-2</v>
      </c>
      <c r="F21" s="11"/>
      <c r="G21" s="11">
        <v>0.03</v>
      </c>
      <c r="H21" s="11">
        <v>0.36499999999999999</v>
      </c>
      <c r="I21" s="11">
        <v>7.4999999999999997E-3</v>
      </c>
      <c r="J21" s="11"/>
      <c r="K21" s="11">
        <v>0.02</v>
      </c>
      <c r="L21" s="11"/>
    </row>
    <row r="22" spans="1:12" x14ac:dyDescent="0.3">
      <c r="A22" s="97"/>
      <c r="B22" s="4">
        <f t="shared" si="2"/>
        <v>2045</v>
      </c>
      <c r="C22" s="11">
        <v>0.44374999999999998</v>
      </c>
      <c r="D22" s="11">
        <v>0.04</v>
      </c>
      <c r="E22" s="11">
        <v>9.7500000000000003E-2</v>
      </c>
      <c r="F22" s="11"/>
      <c r="G22" s="11">
        <v>0.02</v>
      </c>
      <c r="H22" s="11">
        <v>0.3725</v>
      </c>
      <c r="I22" s="11">
        <v>6.2500000000000003E-3</v>
      </c>
      <c r="J22" s="11"/>
      <c r="K22" s="11">
        <v>0.02</v>
      </c>
      <c r="L22" s="11"/>
    </row>
    <row r="23" spans="1:12" x14ac:dyDescent="0.3">
      <c r="A23" s="97"/>
      <c r="B23" s="4">
        <f t="shared" si="2"/>
        <v>2050</v>
      </c>
      <c r="C23" s="11">
        <v>0.44500000000000001</v>
      </c>
      <c r="D23" s="11">
        <v>0.04</v>
      </c>
      <c r="E23" s="11">
        <v>0.1</v>
      </c>
      <c r="F23" s="11"/>
      <c r="G23" s="11">
        <v>0.01</v>
      </c>
      <c r="H23" s="11">
        <v>0.38</v>
      </c>
      <c r="I23" s="11">
        <v>5.0000000000000001E-3</v>
      </c>
      <c r="J23" s="11"/>
      <c r="K23" s="11">
        <v>0.02</v>
      </c>
      <c r="L23" s="11"/>
    </row>
    <row r="25" spans="1:12" ht="13.8" customHeight="1" x14ac:dyDescent="0.3">
      <c r="A25" s="97" t="s">
        <v>35</v>
      </c>
      <c r="B25" s="1">
        <v>2020</v>
      </c>
      <c r="C25" s="13">
        <f t="shared" ref="C25:K25" si="3">$B14*C17</f>
        <v>19.838983546673354</v>
      </c>
      <c r="D25" s="13">
        <f t="shared" si="3"/>
        <v>1.9075945717955152</v>
      </c>
      <c r="E25" s="13">
        <f t="shared" si="3"/>
        <v>3.8342650893089854</v>
      </c>
      <c r="F25" s="13">
        <f t="shared" si="3"/>
        <v>0</v>
      </c>
      <c r="G25" s="13">
        <f t="shared" si="3"/>
        <v>5.6083280410788143</v>
      </c>
      <c r="H25" s="13">
        <f t="shared" si="3"/>
        <v>15.675658393729645</v>
      </c>
      <c r="I25" s="13">
        <f t="shared" si="3"/>
        <v>0.70104100513485179</v>
      </c>
      <c r="J25" s="13">
        <f t="shared" si="3"/>
        <v>0</v>
      </c>
      <c r="K25" s="13">
        <f t="shared" si="3"/>
        <v>0.14306959288466364</v>
      </c>
    </row>
    <row r="26" spans="1:12" x14ac:dyDescent="0.3">
      <c r="A26" s="97"/>
      <c r="B26" s="4">
        <f t="shared" ref="B26:B31" si="4">B25+5</f>
        <v>2025</v>
      </c>
      <c r="C26" s="13">
        <f t="shared" ref="C26:K26" si="5">$C14*C18</f>
        <v>20.522061585951029</v>
      </c>
      <c r="D26" s="13">
        <f t="shared" si="5"/>
        <v>1.9179496809300027</v>
      </c>
      <c r="E26" s="13">
        <f t="shared" si="5"/>
        <v>4.0852328203809058</v>
      </c>
      <c r="F26" s="13">
        <f t="shared" si="5"/>
        <v>0</v>
      </c>
      <c r="G26" s="13">
        <f t="shared" si="5"/>
        <v>4.0181045815483554</v>
      </c>
      <c r="H26" s="13">
        <f t="shared" si="5"/>
        <v>16.271405605589912</v>
      </c>
      <c r="I26" s="13">
        <f t="shared" si="5"/>
        <v>0.59216696398713831</v>
      </c>
      <c r="J26" s="13">
        <f t="shared" si="5"/>
        <v>0</v>
      </c>
      <c r="K26" s="13">
        <f t="shared" si="5"/>
        <v>0.55141053326737577</v>
      </c>
    </row>
    <row r="27" spans="1:12" x14ac:dyDescent="0.3">
      <c r="A27" s="97"/>
      <c r="B27" s="4">
        <f t="shared" si="4"/>
        <v>2030</v>
      </c>
      <c r="C27" s="13">
        <f t="shared" ref="C27:K27" si="6">$D14*C19</f>
        <v>21.175760690387985</v>
      </c>
      <c r="D27" s="13">
        <f t="shared" si="6"/>
        <v>1.9250691536716349</v>
      </c>
      <c r="E27" s="13">
        <f t="shared" si="6"/>
        <v>4.3314055957611783</v>
      </c>
      <c r="F27" s="13">
        <f t="shared" si="6"/>
        <v>0</v>
      </c>
      <c r="G27" s="13">
        <f t="shared" si="6"/>
        <v>2.4063364420895437</v>
      </c>
      <c r="H27" s="13">
        <f t="shared" si="6"/>
        <v>16.844355094626803</v>
      </c>
      <c r="I27" s="13">
        <f t="shared" si="6"/>
        <v>0.48126728841790872</v>
      </c>
      <c r="J27" s="13">
        <f t="shared" si="6"/>
        <v>0</v>
      </c>
      <c r="K27" s="13">
        <f t="shared" si="6"/>
        <v>0.96253457683581745</v>
      </c>
    </row>
    <row r="28" spans="1:12" x14ac:dyDescent="0.3">
      <c r="A28" s="97"/>
      <c r="B28" s="4">
        <f t="shared" si="4"/>
        <v>2035</v>
      </c>
      <c r="C28" s="13">
        <f t="shared" ref="C28:K28" si="7">$E14*C20</f>
        <v>21.168338907014682</v>
      </c>
      <c r="D28" s="13">
        <f t="shared" si="7"/>
        <v>1.9189429037520394</v>
      </c>
      <c r="E28" s="13">
        <f t="shared" si="7"/>
        <v>4.4375554649265903</v>
      </c>
      <c r="F28" s="13">
        <f t="shared" si="7"/>
        <v>0</v>
      </c>
      <c r="G28" s="13">
        <f t="shared" si="7"/>
        <v>1.9189429037520394</v>
      </c>
      <c r="H28" s="13">
        <f t="shared" si="7"/>
        <v>17.150552202283851</v>
      </c>
      <c r="I28" s="13">
        <f t="shared" si="7"/>
        <v>0.41976876019575859</v>
      </c>
      <c r="J28" s="13">
        <f t="shared" si="7"/>
        <v>0</v>
      </c>
      <c r="K28" s="13">
        <f t="shared" si="7"/>
        <v>0.95947145187601968</v>
      </c>
    </row>
    <row r="29" spans="1:12" x14ac:dyDescent="0.3">
      <c r="A29" s="97"/>
      <c r="B29" s="4">
        <f t="shared" si="4"/>
        <v>2040</v>
      </c>
      <c r="C29" s="13">
        <f t="shared" ref="C29:K29" si="8">$F14*C21</f>
        <v>21.095011713398375</v>
      </c>
      <c r="D29" s="13">
        <f t="shared" si="8"/>
        <v>1.9068937142055029</v>
      </c>
      <c r="E29" s="13">
        <f t="shared" si="8"/>
        <v>4.5288725712380691</v>
      </c>
      <c r="F29" s="13">
        <f t="shared" si="8"/>
        <v>0</v>
      </c>
      <c r="G29" s="13">
        <f t="shared" si="8"/>
        <v>1.4301702856541272</v>
      </c>
      <c r="H29" s="13">
        <f t="shared" si="8"/>
        <v>17.400405142125212</v>
      </c>
      <c r="I29" s="13">
        <f t="shared" si="8"/>
        <v>0.3575425714135318</v>
      </c>
      <c r="J29" s="13">
        <f t="shared" si="8"/>
        <v>0</v>
      </c>
      <c r="K29" s="13">
        <f t="shared" si="8"/>
        <v>0.95344685710275145</v>
      </c>
    </row>
    <row r="30" spans="1:12" x14ac:dyDescent="0.3">
      <c r="A30" s="97"/>
      <c r="B30" s="4">
        <f t="shared" si="4"/>
        <v>2045</v>
      </c>
      <c r="C30" s="13">
        <f t="shared" ref="C30:K30" si="9">$G14*C22</f>
        <v>20.987755861741434</v>
      </c>
      <c r="D30" s="13">
        <f t="shared" si="9"/>
        <v>1.8918540495090872</v>
      </c>
      <c r="E30" s="13">
        <f t="shared" si="9"/>
        <v>4.6113942456784001</v>
      </c>
      <c r="F30" s="13">
        <f t="shared" si="9"/>
        <v>0</v>
      </c>
      <c r="G30" s="13">
        <f t="shared" si="9"/>
        <v>0.9459270247545436</v>
      </c>
      <c r="H30" s="13">
        <f t="shared" si="9"/>
        <v>17.617890836053373</v>
      </c>
      <c r="I30" s="13">
        <f t="shared" si="9"/>
        <v>0.2956021952357949</v>
      </c>
      <c r="J30" s="13">
        <f t="shared" si="9"/>
        <v>0</v>
      </c>
      <c r="K30" s="13">
        <f t="shared" si="9"/>
        <v>0.9459270247545436</v>
      </c>
    </row>
    <row r="31" spans="1:12" x14ac:dyDescent="0.3">
      <c r="A31" s="97"/>
      <c r="B31" s="4">
        <f t="shared" si="4"/>
        <v>2050</v>
      </c>
      <c r="C31" s="13">
        <f t="shared" ref="C31:K31" si="10">$H14*C23</f>
        <v>20.817018839736129</v>
      </c>
      <c r="D31" s="13">
        <f t="shared" si="10"/>
        <v>1.8711927046953825</v>
      </c>
      <c r="E31" s="13">
        <f t="shared" si="10"/>
        <v>4.6779817617384563</v>
      </c>
      <c r="F31" s="13">
        <f t="shared" si="10"/>
        <v>0</v>
      </c>
      <c r="G31" s="13">
        <f t="shared" si="10"/>
        <v>0.46779817617384561</v>
      </c>
      <c r="H31" s="13">
        <f t="shared" si="10"/>
        <v>17.776330694606134</v>
      </c>
      <c r="I31" s="13">
        <f t="shared" si="10"/>
        <v>0.23389908808692281</v>
      </c>
      <c r="J31" s="13">
        <f t="shared" si="10"/>
        <v>0</v>
      </c>
      <c r="K31" s="13">
        <f t="shared" si="10"/>
        <v>0.93559635234769123</v>
      </c>
    </row>
    <row r="34" spans="1:6" x14ac:dyDescent="0.3">
      <c r="A34" t="s">
        <v>36</v>
      </c>
    </row>
    <row r="36" spans="1:6" x14ac:dyDescent="0.3">
      <c r="A36" t="s">
        <v>37</v>
      </c>
      <c r="B36" s="14" t="s">
        <v>38</v>
      </c>
      <c r="C36" s="14">
        <v>2020</v>
      </c>
      <c r="D36" s="14">
        <v>2030</v>
      </c>
      <c r="E36" s="14">
        <v>2040</v>
      </c>
      <c r="F36" s="14">
        <v>2050</v>
      </c>
    </row>
    <row r="37" spans="1:6" x14ac:dyDescent="0.3">
      <c r="A37" s="16" t="s">
        <v>39</v>
      </c>
      <c r="B37" s="17">
        <v>0</v>
      </c>
      <c r="C37" s="18">
        <v>0</v>
      </c>
      <c r="D37" s="18">
        <v>0</v>
      </c>
      <c r="E37" s="18">
        <v>0</v>
      </c>
      <c r="F37" s="18">
        <v>0</v>
      </c>
    </row>
    <row r="38" spans="1:6" x14ac:dyDescent="0.3">
      <c r="A38" s="16" t="s">
        <v>27</v>
      </c>
      <c r="B38" s="17">
        <v>0</v>
      </c>
      <c r="C38" s="18">
        <v>0</v>
      </c>
      <c r="D38" s="18">
        <v>0</v>
      </c>
      <c r="E38" s="18">
        <v>0</v>
      </c>
      <c r="F38" s="18">
        <v>0</v>
      </c>
    </row>
    <row r="39" spans="1:6" x14ac:dyDescent="0.3">
      <c r="A39" s="16" t="s">
        <v>40</v>
      </c>
      <c r="B39" s="17">
        <v>0</v>
      </c>
      <c r="C39" s="18">
        <v>0</v>
      </c>
      <c r="D39" s="18">
        <v>0</v>
      </c>
      <c r="E39" s="18">
        <v>0</v>
      </c>
      <c r="F39" s="18">
        <v>0</v>
      </c>
    </row>
    <row r="40" spans="1:6" x14ac:dyDescent="0.3">
      <c r="A40" s="16" t="s">
        <v>29</v>
      </c>
      <c r="B40" s="17">
        <v>39</v>
      </c>
      <c r="C40" s="18">
        <v>11.9055899968477</v>
      </c>
      <c r="D40" s="18">
        <v>14.2105857005433</v>
      </c>
      <c r="E40" s="18">
        <v>15.4014327520505</v>
      </c>
      <c r="F40" s="18">
        <v>16.129157138664301</v>
      </c>
    </row>
    <row r="41" spans="1:6" x14ac:dyDescent="0.3">
      <c r="A41" s="16" t="s">
        <v>41</v>
      </c>
      <c r="B41" s="17">
        <v>35</v>
      </c>
      <c r="C41" s="18">
        <v>97.546726755218202</v>
      </c>
      <c r="D41" s="18">
        <v>59.879507196995398</v>
      </c>
      <c r="E41" s="18">
        <v>43.264939848570798</v>
      </c>
      <c r="F41" s="18">
        <v>22.654613523522599</v>
      </c>
    </row>
    <row r="42" spans="1:6" x14ac:dyDescent="0.3">
      <c r="A42" s="16" t="s">
        <v>24</v>
      </c>
      <c r="B42" s="17">
        <v>801</v>
      </c>
      <c r="C42" s="18">
        <v>1330.0683361629899</v>
      </c>
      <c r="D42" s="18">
        <v>1578.99627362758</v>
      </c>
      <c r="E42" s="18">
        <v>1729.9174205890899</v>
      </c>
      <c r="F42" s="18">
        <v>1831.13695036473</v>
      </c>
    </row>
    <row r="43" spans="1:6" x14ac:dyDescent="0.3">
      <c r="A43" s="19" t="s">
        <v>42</v>
      </c>
      <c r="B43">
        <f>SUM(B37:B42)/1000</f>
        <v>0.875</v>
      </c>
      <c r="C43">
        <f>SUM(C37:C42)/1000</f>
        <v>1.4395206529150557</v>
      </c>
      <c r="D43">
        <f>SUM(D37:D42)/1000</f>
        <v>1.6530863665251185</v>
      </c>
      <c r="E43">
        <f>SUM(E37:E42)/1000</f>
        <v>1.7885837931897113</v>
      </c>
      <c r="F43">
        <f>SUM(F37:F42)/1000</f>
        <v>1.8699207210269169</v>
      </c>
    </row>
    <row r="45" spans="1:6" x14ac:dyDescent="0.3">
      <c r="A45" t="s">
        <v>43</v>
      </c>
    </row>
  </sheetData>
  <mergeCells count="3">
    <mergeCell ref="B7:C7"/>
    <mergeCell ref="A17:A23"/>
    <mergeCell ref="A25:A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="55" zoomScaleNormal="55" workbookViewId="0">
      <selection activeCell="N1" sqref="N1:Z1048576"/>
    </sheetView>
  </sheetViews>
  <sheetFormatPr baseColWidth="10" defaultColWidth="8.77734375" defaultRowHeight="14.4" x14ac:dyDescent="0.3"/>
  <cols>
    <col min="1" max="1" width="22.21875" customWidth="1"/>
    <col min="2" max="1012" width="10.44140625" customWidth="1"/>
  </cols>
  <sheetData>
    <row r="1" spans="1:8" x14ac:dyDescent="0.3">
      <c r="A1" t="s">
        <v>10</v>
      </c>
      <c r="B1" t="s">
        <v>11</v>
      </c>
    </row>
    <row r="2" spans="1:8" x14ac:dyDescent="0.3">
      <c r="A2" t="s">
        <v>12</v>
      </c>
      <c r="B2" t="s">
        <v>13</v>
      </c>
    </row>
    <row r="3" spans="1:8" x14ac:dyDescent="0.3">
      <c r="A3" t="s">
        <v>14</v>
      </c>
      <c r="B3" t="s">
        <v>1</v>
      </c>
    </row>
    <row r="4" spans="1:8" x14ac:dyDescent="0.3">
      <c r="A4" t="s">
        <v>15</v>
      </c>
      <c r="B4" t="s">
        <v>16</v>
      </c>
    </row>
    <row r="5" spans="1:8" x14ac:dyDescent="0.3">
      <c r="A5" t="s">
        <v>17</v>
      </c>
      <c r="B5" t="s">
        <v>18</v>
      </c>
    </row>
    <row r="7" spans="1:8" ht="21" x14ac:dyDescent="0.4">
      <c r="B7" s="96" t="s">
        <v>19</v>
      </c>
      <c r="C7" s="96"/>
    </row>
    <row r="9" spans="1:8" x14ac:dyDescent="0.3">
      <c r="A9" t="s">
        <v>20</v>
      </c>
    </row>
    <row r="10" spans="1:8" x14ac:dyDescent="0.3">
      <c r="B10" s="4">
        <v>2020</v>
      </c>
      <c r="C10" s="4">
        <f t="shared" ref="C10:H10" si="0">B10+5</f>
        <v>2025</v>
      </c>
      <c r="D10" s="4">
        <f t="shared" si="0"/>
        <v>2030</v>
      </c>
      <c r="E10" s="4">
        <f t="shared" si="0"/>
        <v>2035</v>
      </c>
      <c r="F10" s="4">
        <f t="shared" si="0"/>
        <v>2040</v>
      </c>
      <c r="G10" s="4">
        <f t="shared" si="0"/>
        <v>2045</v>
      </c>
      <c r="H10" s="4">
        <f t="shared" si="0"/>
        <v>2050</v>
      </c>
    </row>
    <row r="11" spans="1:8" x14ac:dyDescent="0.3">
      <c r="A11" s="4" t="s">
        <v>44</v>
      </c>
      <c r="B11" s="4">
        <v>357</v>
      </c>
      <c r="C11" s="5">
        <v>338.5</v>
      </c>
      <c r="D11" s="5">
        <v>320</v>
      </c>
      <c r="E11" s="5">
        <v>310</v>
      </c>
      <c r="F11" s="5">
        <v>300</v>
      </c>
      <c r="G11" s="5">
        <v>290</v>
      </c>
      <c r="H11" s="5">
        <v>280</v>
      </c>
    </row>
    <row r="12" spans="1:8" x14ac:dyDescent="0.3">
      <c r="A12" s="6" t="s">
        <v>22</v>
      </c>
      <c r="B12" s="7">
        <v>65.150087834546284</v>
      </c>
      <c r="C12" s="7">
        <v>65.818451644818211</v>
      </c>
      <c r="D12" s="7">
        <v>66.381694954194302</v>
      </c>
      <c r="E12" s="7">
        <v>66.745840130505712</v>
      </c>
      <c r="F12" s="7">
        <v>66.908551375631674</v>
      </c>
      <c r="G12" s="7">
        <v>66.968284938374765</v>
      </c>
      <c r="H12" s="7">
        <v>66.828310881977941</v>
      </c>
    </row>
    <row r="14" spans="1:8" x14ac:dyDescent="0.3">
      <c r="A14" s="8" t="s">
        <v>23</v>
      </c>
      <c r="B14" s="9">
        <f t="shared" ref="B14:H14" si="1">B12*B11/1000</f>
        <v>23.258581356933025</v>
      </c>
      <c r="C14" s="9">
        <f t="shared" si="1"/>
        <v>22.279545881770964</v>
      </c>
      <c r="D14" s="9">
        <f t="shared" si="1"/>
        <v>21.242142385342177</v>
      </c>
      <c r="E14" s="9">
        <f t="shared" si="1"/>
        <v>20.691210440456771</v>
      </c>
      <c r="F14" s="9">
        <f t="shared" si="1"/>
        <v>20.072565412689503</v>
      </c>
      <c r="G14" s="9">
        <f t="shared" si="1"/>
        <v>19.42080263212868</v>
      </c>
      <c r="H14" s="9">
        <f t="shared" si="1"/>
        <v>18.711927046953825</v>
      </c>
    </row>
    <row r="17" spans="1:12" x14ac:dyDescent="0.3">
      <c r="A17" s="4"/>
      <c r="B17" s="10" t="s">
        <v>19</v>
      </c>
      <c r="C17" s="4" t="s">
        <v>24</v>
      </c>
      <c r="D17" s="4" t="s">
        <v>25</v>
      </c>
      <c r="E17" s="4" t="s">
        <v>26</v>
      </c>
      <c r="F17" s="4" t="s">
        <v>27</v>
      </c>
      <c r="G17" s="4" t="s">
        <v>28</v>
      </c>
      <c r="H17" s="4" t="s">
        <v>45</v>
      </c>
      <c r="I17" s="4" t="s">
        <v>30</v>
      </c>
      <c r="J17" s="4" t="s">
        <v>31</v>
      </c>
      <c r="K17" s="4" t="s">
        <v>32</v>
      </c>
      <c r="L17" s="4" t="s">
        <v>33</v>
      </c>
    </row>
    <row r="18" spans="1:12" ht="14.55" customHeight="1" x14ac:dyDescent="0.3">
      <c r="A18" s="97" t="s">
        <v>46</v>
      </c>
      <c r="B18" s="1">
        <v>2020</v>
      </c>
      <c r="C18" s="11">
        <v>0.45519999999999999</v>
      </c>
      <c r="D18" s="11"/>
      <c r="E18" s="11"/>
      <c r="F18" s="11"/>
      <c r="G18" s="11">
        <v>0.18329999999999999</v>
      </c>
      <c r="H18" s="11">
        <v>0.36149999999999999</v>
      </c>
      <c r="I18" s="11"/>
      <c r="J18" s="11"/>
      <c r="K18" s="11"/>
      <c r="L18" s="11"/>
    </row>
    <row r="19" spans="1:12" x14ac:dyDescent="0.3">
      <c r="A19" s="97"/>
      <c r="B19" s="4">
        <f t="shared" ref="B19:B24" si="2">B18+5</f>
        <v>2025</v>
      </c>
      <c r="C19" s="11">
        <v>0.50260000000000005</v>
      </c>
      <c r="D19" s="11"/>
      <c r="E19" s="11"/>
      <c r="F19" s="11"/>
      <c r="G19" s="11">
        <v>0.14165</v>
      </c>
      <c r="H19" s="11">
        <v>0.35575000000000001</v>
      </c>
      <c r="I19" s="11"/>
      <c r="J19" s="11"/>
      <c r="K19" s="11"/>
      <c r="L19" s="11"/>
    </row>
    <row r="20" spans="1:12" x14ac:dyDescent="0.3">
      <c r="A20" s="97"/>
      <c r="B20" s="4">
        <f t="shared" si="2"/>
        <v>2030</v>
      </c>
      <c r="C20" s="11">
        <v>0.55000000000000004</v>
      </c>
      <c r="D20" s="11"/>
      <c r="E20" s="11"/>
      <c r="F20" s="11"/>
      <c r="G20" s="11">
        <v>0.1</v>
      </c>
      <c r="H20" s="11">
        <v>0.35</v>
      </c>
      <c r="I20" s="11"/>
      <c r="J20" s="11"/>
      <c r="K20" s="11"/>
      <c r="L20" s="11"/>
    </row>
    <row r="21" spans="1:12" x14ac:dyDescent="0.3">
      <c r="A21" s="97"/>
      <c r="B21" s="4">
        <f t="shared" si="2"/>
        <v>2035</v>
      </c>
      <c r="C21" s="11">
        <v>0.57750000000000001</v>
      </c>
      <c r="D21" s="11"/>
      <c r="E21" s="11"/>
      <c r="F21" s="11"/>
      <c r="G21" s="11">
        <v>8.7499999999999994E-2</v>
      </c>
      <c r="H21" s="11">
        <v>0.33500000000000002</v>
      </c>
      <c r="I21" s="11"/>
      <c r="J21" s="11"/>
      <c r="K21" s="11"/>
      <c r="L21" s="11"/>
    </row>
    <row r="22" spans="1:12" x14ac:dyDescent="0.3">
      <c r="A22" s="97"/>
      <c r="B22" s="4">
        <f t="shared" si="2"/>
        <v>2040</v>
      </c>
      <c r="C22" s="11">
        <v>0.60499999999999998</v>
      </c>
      <c r="D22" s="11"/>
      <c r="E22" s="11"/>
      <c r="F22" s="11"/>
      <c r="G22" s="11">
        <v>7.4999999999999997E-2</v>
      </c>
      <c r="H22" s="11">
        <v>0.32</v>
      </c>
      <c r="I22" s="11"/>
      <c r="J22" s="11"/>
      <c r="K22" s="11"/>
      <c r="L22" s="11"/>
    </row>
    <row r="23" spans="1:12" x14ac:dyDescent="0.3">
      <c r="A23" s="97"/>
      <c r="B23" s="4">
        <f t="shared" si="2"/>
        <v>2045</v>
      </c>
      <c r="C23" s="11">
        <v>0.63249999999999995</v>
      </c>
      <c r="D23" s="11"/>
      <c r="E23" s="11"/>
      <c r="F23" s="11"/>
      <c r="G23" s="11">
        <v>6.25E-2</v>
      </c>
      <c r="H23" s="11">
        <v>0.30499999999999999</v>
      </c>
      <c r="I23" s="11"/>
      <c r="J23" s="11"/>
      <c r="K23" s="11"/>
      <c r="L23" s="11"/>
    </row>
    <row r="24" spans="1:12" x14ac:dyDescent="0.3">
      <c r="A24" s="97"/>
      <c r="B24" s="4">
        <f t="shared" si="2"/>
        <v>2050</v>
      </c>
      <c r="C24" s="11">
        <v>0.66</v>
      </c>
      <c r="D24" s="11"/>
      <c r="E24" s="11"/>
      <c r="F24" s="11"/>
      <c r="G24" s="11">
        <v>0.05</v>
      </c>
      <c r="H24" s="11">
        <v>0.28999999999999998</v>
      </c>
      <c r="I24" s="11"/>
      <c r="J24" s="11"/>
      <c r="K24" s="11"/>
      <c r="L24" s="11"/>
    </row>
    <row r="26" spans="1:12" ht="14.55" customHeight="1" x14ac:dyDescent="0.3">
      <c r="A26" s="97" t="s">
        <v>47</v>
      </c>
      <c r="B26" s="1">
        <v>2020</v>
      </c>
      <c r="C26" s="13">
        <f t="shared" ref="C26:H26" si="3">$B14*C18</f>
        <v>10.587306233675912</v>
      </c>
      <c r="D26" s="13">
        <f t="shared" si="3"/>
        <v>0</v>
      </c>
      <c r="E26" s="13">
        <f t="shared" si="3"/>
        <v>0</v>
      </c>
      <c r="F26" s="13">
        <f t="shared" si="3"/>
        <v>0</v>
      </c>
      <c r="G26" s="13">
        <f t="shared" si="3"/>
        <v>4.2632979627258232</v>
      </c>
      <c r="H26" s="13">
        <f t="shared" si="3"/>
        <v>8.4079771605312885</v>
      </c>
    </row>
    <row r="27" spans="1:12" x14ac:dyDescent="0.3">
      <c r="A27" s="97"/>
      <c r="B27" s="4">
        <f t="shared" ref="B27:B32" si="4">B26+5</f>
        <v>2025</v>
      </c>
      <c r="C27" s="13">
        <f t="shared" ref="C27:H27" si="5">$C14*C19</f>
        <v>11.197699760178088</v>
      </c>
      <c r="D27" s="13">
        <f t="shared" si="5"/>
        <v>0</v>
      </c>
      <c r="E27" s="13">
        <f t="shared" si="5"/>
        <v>0</v>
      </c>
      <c r="F27" s="13">
        <f t="shared" si="5"/>
        <v>0</v>
      </c>
      <c r="G27" s="13">
        <f t="shared" si="5"/>
        <v>3.155897674152857</v>
      </c>
      <c r="H27" s="13">
        <f t="shared" si="5"/>
        <v>7.925948447440021</v>
      </c>
    </row>
    <row r="28" spans="1:12" x14ac:dyDescent="0.3">
      <c r="A28" s="97"/>
      <c r="B28" s="4">
        <f t="shared" si="4"/>
        <v>2030</v>
      </c>
      <c r="C28" s="13">
        <f t="shared" ref="C28:H28" si="6">$D14*C20</f>
        <v>11.683178311938198</v>
      </c>
      <c r="D28" s="13">
        <f t="shared" si="6"/>
        <v>0</v>
      </c>
      <c r="E28" s="13">
        <f t="shared" si="6"/>
        <v>0</v>
      </c>
      <c r="F28" s="13">
        <f t="shared" si="6"/>
        <v>0</v>
      </c>
      <c r="G28" s="13">
        <f t="shared" si="6"/>
        <v>2.124214238534218</v>
      </c>
      <c r="H28" s="13">
        <f t="shared" si="6"/>
        <v>7.4347498348697618</v>
      </c>
    </row>
    <row r="29" spans="1:12" x14ac:dyDescent="0.3">
      <c r="A29" s="97"/>
      <c r="B29" s="4">
        <f t="shared" si="4"/>
        <v>2035</v>
      </c>
      <c r="C29" s="13">
        <f t="shared" ref="C29:H29" si="7">$E14*C21</f>
        <v>11.949174029363785</v>
      </c>
      <c r="D29" s="13">
        <f t="shared" si="7"/>
        <v>0</v>
      </c>
      <c r="E29" s="13">
        <f t="shared" si="7"/>
        <v>0</v>
      </c>
      <c r="F29" s="13">
        <f t="shared" si="7"/>
        <v>0</v>
      </c>
      <c r="G29" s="13">
        <f t="shared" si="7"/>
        <v>1.8104809135399673</v>
      </c>
      <c r="H29" s="13">
        <f t="shared" si="7"/>
        <v>6.9315554975530187</v>
      </c>
    </row>
    <row r="30" spans="1:12" x14ac:dyDescent="0.3">
      <c r="A30" s="97"/>
      <c r="B30" s="4">
        <f t="shared" si="4"/>
        <v>2040</v>
      </c>
      <c r="C30" s="13">
        <f t="shared" ref="C30:H30" si="8">$F14*C22</f>
        <v>12.143902074677149</v>
      </c>
      <c r="D30" s="13">
        <f t="shared" si="8"/>
        <v>0</v>
      </c>
      <c r="E30" s="13">
        <f t="shared" si="8"/>
        <v>0</v>
      </c>
      <c r="F30" s="13">
        <f t="shared" si="8"/>
        <v>0</v>
      </c>
      <c r="G30" s="13">
        <f t="shared" si="8"/>
        <v>1.5054424059517126</v>
      </c>
      <c r="H30" s="13">
        <f t="shared" si="8"/>
        <v>6.4232209320606408</v>
      </c>
    </row>
    <row r="31" spans="1:12" x14ac:dyDescent="0.3">
      <c r="A31" s="97"/>
      <c r="B31" s="4">
        <f t="shared" si="4"/>
        <v>2045</v>
      </c>
      <c r="C31" s="13">
        <f t="shared" ref="C31:H31" si="9">$G14*C23</f>
        <v>12.283657664821389</v>
      </c>
      <c r="D31" s="13">
        <f t="shared" si="9"/>
        <v>0</v>
      </c>
      <c r="E31" s="13">
        <f t="shared" si="9"/>
        <v>0</v>
      </c>
      <c r="F31" s="13">
        <f t="shared" si="9"/>
        <v>0</v>
      </c>
      <c r="G31" s="13">
        <f t="shared" si="9"/>
        <v>1.2138001645080425</v>
      </c>
      <c r="H31" s="13">
        <f t="shared" si="9"/>
        <v>5.9233448027992477</v>
      </c>
    </row>
    <row r="32" spans="1:12" x14ac:dyDescent="0.3">
      <c r="A32" s="97"/>
      <c r="B32" s="4">
        <f t="shared" si="4"/>
        <v>2050</v>
      </c>
      <c r="C32" s="13">
        <f t="shared" ref="C32:H32" si="10">$H14*C24</f>
        <v>12.349871850989524</v>
      </c>
      <c r="D32" s="13">
        <f t="shared" si="10"/>
        <v>0</v>
      </c>
      <c r="E32" s="13">
        <f t="shared" si="10"/>
        <v>0</v>
      </c>
      <c r="F32" s="13">
        <f t="shared" si="10"/>
        <v>0</v>
      </c>
      <c r="G32" s="13">
        <f t="shared" si="10"/>
        <v>0.93559635234769134</v>
      </c>
      <c r="H32" s="13">
        <f t="shared" si="10"/>
        <v>5.4264588436166088</v>
      </c>
    </row>
    <row r="34" spans="1:6" x14ac:dyDescent="0.3">
      <c r="A34" t="s">
        <v>36</v>
      </c>
    </row>
    <row r="36" spans="1:6" x14ac:dyDescent="0.3">
      <c r="A36" t="s">
        <v>37</v>
      </c>
      <c r="B36" s="15" t="s">
        <v>38</v>
      </c>
      <c r="C36" s="15">
        <v>2020</v>
      </c>
      <c r="D36" s="15">
        <v>2030</v>
      </c>
      <c r="E36" s="15">
        <v>2040</v>
      </c>
      <c r="F36" s="15">
        <v>2050</v>
      </c>
    </row>
    <row r="37" spans="1:6" x14ac:dyDescent="0.3">
      <c r="A37" s="20" t="s">
        <v>29</v>
      </c>
      <c r="B37" s="21">
        <v>179</v>
      </c>
      <c r="C37" s="22">
        <v>204.64994394618799</v>
      </c>
      <c r="D37" s="22">
        <v>218.82952730021199</v>
      </c>
      <c r="E37" s="22">
        <v>211.893433360431</v>
      </c>
      <c r="F37" s="22">
        <v>196.21036998546299</v>
      </c>
    </row>
    <row r="38" spans="1:6" x14ac:dyDescent="0.3">
      <c r="A38" s="20" t="s">
        <v>41</v>
      </c>
      <c r="B38" s="21">
        <v>286</v>
      </c>
      <c r="C38" s="22">
        <v>246.991311659193</v>
      </c>
      <c r="D38" s="22">
        <v>161.74356365667899</v>
      </c>
      <c r="E38" s="22">
        <v>90.811471440184704</v>
      </c>
      <c r="F38" s="22">
        <v>61.961169469093697</v>
      </c>
    </row>
    <row r="39" spans="1:6" x14ac:dyDescent="0.3">
      <c r="A39" s="20" t="s">
        <v>24</v>
      </c>
      <c r="B39" s="21">
        <v>371</v>
      </c>
      <c r="C39" s="22">
        <v>389.13733183856499</v>
      </c>
      <c r="D39" s="22">
        <v>570.85963643533705</v>
      </c>
      <c r="E39" s="22">
        <v>706.31144453476998</v>
      </c>
      <c r="F39" s="22">
        <v>774.51461836367105</v>
      </c>
    </row>
    <row r="40" spans="1:6" x14ac:dyDescent="0.3">
      <c r="A40" s="23" t="s">
        <v>42</v>
      </c>
      <c r="B40">
        <f>SUM(B37:B39)/1000</f>
        <v>0.83599999999999997</v>
      </c>
      <c r="C40">
        <f>SUM(C37:C39)/1000</f>
        <v>0.84077858744394596</v>
      </c>
      <c r="D40">
        <f>SUM(D37:D39)/1000</f>
        <v>0.95143272739222795</v>
      </c>
      <c r="E40">
        <f>SUM(E37:E39)/1000</f>
        <v>1.0090163493353856</v>
      </c>
      <c r="F40">
        <f>SUM(F37:F39)/1000</f>
        <v>1.0326861578182276</v>
      </c>
    </row>
    <row r="42" spans="1:6" x14ac:dyDescent="0.3">
      <c r="A42" t="s">
        <v>43</v>
      </c>
    </row>
  </sheetData>
  <mergeCells count="3">
    <mergeCell ref="B7:C7"/>
    <mergeCell ref="A18:A24"/>
    <mergeCell ref="A26:A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70" zoomScaleNormal="70" workbookViewId="0">
      <selection activeCell="N1" sqref="N1:V1048576"/>
    </sheetView>
  </sheetViews>
  <sheetFormatPr baseColWidth="10" defaultColWidth="8.77734375" defaultRowHeight="14.4" x14ac:dyDescent="0.3"/>
  <cols>
    <col min="1" max="1" width="22.77734375" customWidth="1"/>
    <col min="2" max="1016" width="10.44140625" customWidth="1"/>
  </cols>
  <sheetData>
    <row r="1" spans="1:8" x14ac:dyDescent="0.3">
      <c r="A1" t="s">
        <v>10</v>
      </c>
      <c r="B1" t="s">
        <v>11</v>
      </c>
    </row>
    <row r="2" spans="1:8" x14ac:dyDescent="0.3">
      <c r="A2" t="s">
        <v>12</v>
      </c>
      <c r="B2" t="s">
        <v>48</v>
      </c>
    </row>
    <row r="3" spans="1:8" x14ac:dyDescent="0.3">
      <c r="A3" t="s">
        <v>14</v>
      </c>
      <c r="B3" t="s">
        <v>1</v>
      </c>
    </row>
    <row r="4" spans="1:8" x14ac:dyDescent="0.3">
      <c r="A4" t="s">
        <v>15</v>
      </c>
      <c r="B4" t="s">
        <v>16</v>
      </c>
    </row>
    <row r="5" spans="1:8" x14ac:dyDescent="0.3">
      <c r="A5" t="s">
        <v>17</v>
      </c>
      <c r="B5" t="s">
        <v>18</v>
      </c>
    </row>
    <row r="7" spans="1:8" ht="21" x14ac:dyDescent="0.4">
      <c r="B7" s="96" t="s">
        <v>19</v>
      </c>
      <c r="C7" s="96"/>
    </row>
    <row r="11" spans="1:8" x14ac:dyDescent="0.3">
      <c r="B11" s="24">
        <v>2020</v>
      </c>
      <c r="C11" s="24">
        <f t="shared" ref="C11:H11" si="0">B11+5</f>
        <v>2025</v>
      </c>
      <c r="D11" s="24">
        <f t="shared" si="0"/>
        <v>2030</v>
      </c>
      <c r="E11" s="24">
        <f t="shared" si="0"/>
        <v>2035</v>
      </c>
      <c r="F11" s="24">
        <f t="shared" si="0"/>
        <v>2040</v>
      </c>
      <c r="G11" s="24">
        <f t="shared" si="0"/>
        <v>2045</v>
      </c>
      <c r="H11" s="24">
        <f t="shared" si="0"/>
        <v>2050</v>
      </c>
    </row>
    <row r="12" spans="1:8" x14ac:dyDescent="0.3">
      <c r="A12" s="25" t="s">
        <v>49</v>
      </c>
      <c r="B12" s="24">
        <v>1090</v>
      </c>
      <c r="C12" s="26">
        <v>1095</v>
      </c>
      <c r="D12" s="26">
        <v>1100</v>
      </c>
      <c r="E12" s="26">
        <v>1112.5</v>
      </c>
      <c r="F12" s="26">
        <v>1125</v>
      </c>
      <c r="G12" s="26">
        <v>1137.5</v>
      </c>
      <c r="H12" s="26">
        <v>1150</v>
      </c>
    </row>
    <row r="13" spans="1:8" x14ac:dyDescent="0.3">
      <c r="A13" s="6" t="s">
        <v>22</v>
      </c>
      <c r="B13" s="7">
        <v>65.150087834546284</v>
      </c>
      <c r="C13" s="7">
        <v>65.818451644818211</v>
      </c>
      <c r="D13" s="7">
        <v>66.381694954194302</v>
      </c>
      <c r="E13" s="7">
        <v>66.745840130505712</v>
      </c>
      <c r="F13" s="7">
        <v>66.908551375631674</v>
      </c>
      <c r="G13" s="7">
        <v>66.968284938374765</v>
      </c>
      <c r="H13" s="7">
        <v>66.828310881977941</v>
      </c>
    </row>
    <row r="15" spans="1:8" x14ac:dyDescent="0.3">
      <c r="A15" s="8" t="s">
        <v>23</v>
      </c>
      <c r="B15" s="9">
        <f t="shared" ref="B15:H15" si="1">B13*B12/1000</f>
        <v>71.013595739655443</v>
      </c>
      <c r="C15" s="9">
        <f t="shared" si="1"/>
        <v>72.071204551075937</v>
      </c>
      <c r="D15" s="9">
        <f t="shared" si="1"/>
        <v>73.019864449613721</v>
      </c>
      <c r="E15" s="9">
        <f t="shared" si="1"/>
        <v>74.254747145187608</v>
      </c>
      <c r="F15" s="9">
        <f t="shared" si="1"/>
        <v>75.27212029758563</v>
      </c>
      <c r="G15" s="9">
        <f t="shared" si="1"/>
        <v>76.176424117401297</v>
      </c>
      <c r="H15" s="9">
        <f t="shared" si="1"/>
        <v>76.852557514274636</v>
      </c>
    </row>
    <row r="18" spans="1:6" x14ac:dyDescent="0.3">
      <c r="A18" t="s">
        <v>36</v>
      </c>
    </row>
    <row r="19" spans="1:6" x14ac:dyDescent="0.3">
      <c r="B19" s="15" t="s">
        <v>38</v>
      </c>
      <c r="C19" s="15">
        <v>2020</v>
      </c>
      <c r="D19" s="15">
        <v>2030</v>
      </c>
      <c r="E19" s="15">
        <v>2040</v>
      </c>
      <c r="F19" s="15">
        <v>2050</v>
      </c>
    </row>
    <row r="20" spans="1:6" x14ac:dyDescent="0.3">
      <c r="A20" s="27" t="s">
        <v>50</v>
      </c>
      <c r="B20" s="28">
        <v>2553</v>
      </c>
      <c r="C20" s="29">
        <v>2607.0184977578501</v>
      </c>
      <c r="D20" s="29">
        <v>3113.45471059584</v>
      </c>
      <c r="E20" s="29">
        <v>3488.8120292609301</v>
      </c>
      <c r="F20" s="29">
        <v>3777.7230678250698</v>
      </c>
    </row>
    <row r="21" spans="1:6" x14ac:dyDescent="0.3">
      <c r="A21" t="s">
        <v>42</v>
      </c>
      <c r="B21">
        <f>B20/1000</f>
        <v>2.5529999999999999</v>
      </c>
      <c r="C21">
        <f>C20/1000</f>
        <v>2.6070184977578501</v>
      </c>
      <c r="D21">
        <f>D20/1000</f>
        <v>3.1134547105958399</v>
      </c>
      <c r="E21">
        <f>E20/1000</f>
        <v>3.4888120292609299</v>
      </c>
      <c r="F21">
        <f>F20/1000</f>
        <v>3.7777230678250699</v>
      </c>
    </row>
    <row r="23" spans="1:6" x14ac:dyDescent="0.3">
      <c r="A23" t="s">
        <v>43</v>
      </c>
    </row>
  </sheetData>
  <mergeCells count="1">
    <mergeCell ref="B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70" zoomScaleNormal="70" workbookViewId="0">
      <selection activeCell="H36" sqref="H36"/>
    </sheetView>
  </sheetViews>
  <sheetFormatPr baseColWidth="10" defaultColWidth="8.77734375" defaultRowHeight="14.4" x14ac:dyDescent="0.3"/>
  <cols>
    <col min="1" max="1" width="22.21875" customWidth="1"/>
    <col min="2" max="1016" width="8.77734375" customWidth="1"/>
  </cols>
  <sheetData>
    <row r="1" spans="1:9" x14ac:dyDescent="0.3">
      <c r="A1" t="s">
        <v>10</v>
      </c>
      <c r="B1" t="s">
        <v>11</v>
      </c>
    </row>
    <row r="2" spans="1:9" x14ac:dyDescent="0.3">
      <c r="A2" t="s">
        <v>12</v>
      </c>
      <c r="B2" t="s">
        <v>13</v>
      </c>
    </row>
    <row r="3" spans="1:9" x14ac:dyDescent="0.3">
      <c r="A3" t="s">
        <v>14</v>
      </c>
      <c r="B3" t="s">
        <v>1</v>
      </c>
    </row>
    <row r="4" spans="1:9" x14ac:dyDescent="0.3">
      <c r="A4" t="s">
        <v>15</v>
      </c>
      <c r="B4" t="s">
        <v>16</v>
      </c>
    </row>
    <row r="5" spans="1:9" x14ac:dyDescent="0.3">
      <c r="A5" t="s">
        <v>17</v>
      </c>
      <c r="B5" t="s">
        <v>18</v>
      </c>
    </row>
    <row r="7" spans="1:9" ht="21" x14ac:dyDescent="0.4">
      <c r="B7" s="96" t="s">
        <v>19</v>
      </c>
      <c r="C7" s="96"/>
    </row>
    <row r="9" spans="1:9" x14ac:dyDescent="0.3">
      <c r="B9" t="s">
        <v>51</v>
      </c>
    </row>
    <row r="10" spans="1:9" ht="15" thickBot="1" x14ac:dyDescent="0.35"/>
    <row r="11" spans="1:9" x14ac:dyDescent="0.3">
      <c r="B11" s="76" t="s">
        <v>52</v>
      </c>
      <c r="C11" s="77"/>
      <c r="D11" s="78">
        <v>2006</v>
      </c>
      <c r="E11" s="78">
        <v>2015</v>
      </c>
      <c r="F11" s="78">
        <v>2020</v>
      </c>
      <c r="G11" s="78">
        <v>2030</v>
      </c>
      <c r="H11" s="78">
        <v>2040</v>
      </c>
      <c r="I11" s="79">
        <v>2050</v>
      </c>
    </row>
    <row r="12" spans="1:9" x14ac:dyDescent="0.3">
      <c r="B12" s="80" t="s">
        <v>53</v>
      </c>
      <c r="C12" s="81"/>
      <c r="D12" s="82">
        <f t="shared" ref="D12:E12" si="0">AA2/1000</f>
        <v>0</v>
      </c>
      <c r="E12" s="82">
        <f t="shared" si="0"/>
        <v>0</v>
      </c>
      <c r="F12" s="82">
        <v>0.48294132952860341</v>
      </c>
      <c r="G12" s="82">
        <v>0.86142404343059853</v>
      </c>
      <c r="H12" s="82">
        <v>1.1306026738842874</v>
      </c>
      <c r="I12" s="83">
        <v>1.7629826812711777</v>
      </c>
    </row>
    <row r="13" spans="1:9" x14ac:dyDescent="0.3">
      <c r="B13" s="84" t="s">
        <v>54</v>
      </c>
      <c r="C13" s="85"/>
      <c r="D13" s="86">
        <f t="shared" ref="D13:E13" si="1">AK2/1000</f>
        <v>0</v>
      </c>
      <c r="E13" s="86">
        <f t="shared" si="1"/>
        <v>0</v>
      </c>
      <c r="F13" s="86">
        <v>0.41085983798514447</v>
      </c>
      <c r="G13" s="86">
        <v>0.60337132938810989</v>
      </c>
      <c r="H13" s="86">
        <v>0.90819796236953709</v>
      </c>
      <c r="I13" s="87">
        <v>1.1749086513299098</v>
      </c>
    </row>
    <row r="14" spans="1:9" x14ac:dyDescent="0.3">
      <c r="B14" s="80" t="s">
        <v>55</v>
      </c>
      <c r="C14" s="81"/>
      <c r="D14" s="82">
        <f t="shared" ref="D14:E14" si="2">AU2/1000</f>
        <v>0</v>
      </c>
      <c r="E14" s="82">
        <f t="shared" si="2"/>
        <v>0</v>
      </c>
      <c r="F14" s="82">
        <v>0.62073348829482833</v>
      </c>
      <c r="G14" s="82">
        <v>0.96122312657914799</v>
      </c>
      <c r="H14" s="82">
        <v>1.4094932202770933</v>
      </c>
      <c r="I14" s="83">
        <v>1.6692495087037205</v>
      </c>
    </row>
    <row r="15" spans="1:9" x14ac:dyDescent="0.3">
      <c r="B15" s="84" t="s">
        <v>56</v>
      </c>
      <c r="C15" s="85"/>
      <c r="D15" s="86">
        <f t="shared" ref="D15:E15" si="3">BE2/1000</f>
        <v>0</v>
      </c>
      <c r="E15" s="86">
        <f t="shared" si="3"/>
        <v>0</v>
      </c>
      <c r="F15" s="86">
        <v>2.6990958155614007E-2</v>
      </c>
      <c r="G15" s="86">
        <v>6.7652313230296648E-2</v>
      </c>
      <c r="H15" s="86">
        <v>0.10735410295056716</v>
      </c>
      <c r="I15" s="87">
        <v>0.17028903504952544</v>
      </c>
    </row>
    <row r="16" spans="1:9" x14ac:dyDescent="0.3">
      <c r="B16" s="80" t="s">
        <v>57</v>
      </c>
      <c r="C16" s="81"/>
      <c r="D16" s="82">
        <f t="shared" ref="D16:E16" si="4">BO2/1000</f>
        <v>0</v>
      </c>
      <c r="E16" s="82">
        <f t="shared" si="4"/>
        <v>0</v>
      </c>
      <c r="F16" s="82">
        <v>0.37900844690878888</v>
      </c>
      <c r="G16" s="82">
        <v>0.59038645239515608</v>
      </c>
      <c r="H16" s="82">
        <v>0.90138331873719213</v>
      </c>
      <c r="I16" s="83">
        <v>1.2351724107612203</v>
      </c>
    </row>
    <row r="17" spans="2:9" x14ac:dyDescent="0.3">
      <c r="B17" s="84" t="s">
        <v>58</v>
      </c>
      <c r="C17" s="85"/>
      <c r="D17" s="86">
        <f t="shared" ref="D17:E17" si="5">BY2/1000</f>
        <v>0</v>
      </c>
      <c r="E17" s="86">
        <f t="shared" si="5"/>
        <v>0</v>
      </c>
      <c r="F17" s="86">
        <v>0.70910880235408547</v>
      </c>
      <c r="G17" s="86">
        <v>1.0308207256207031</v>
      </c>
      <c r="H17" s="86">
        <v>1.524106895503758</v>
      </c>
      <c r="I17" s="87">
        <v>1.7487495718637089</v>
      </c>
    </row>
    <row r="18" spans="2:9" x14ac:dyDescent="0.3">
      <c r="B18" s="80" t="s">
        <v>59</v>
      </c>
      <c r="C18" s="81"/>
      <c r="D18" s="82">
        <f t="shared" ref="D18:E18" si="6">CI2/1000</f>
        <v>0</v>
      </c>
      <c r="E18" s="82">
        <f t="shared" si="6"/>
        <v>0</v>
      </c>
      <c r="F18" s="82">
        <v>0.24091928421018174</v>
      </c>
      <c r="G18" s="82">
        <v>0.33999875838018534</v>
      </c>
      <c r="H18" s="82">
        <v>0.4773402269456678</v>
      </c>
      <c r="I18" s="83">
        <v>0.47140699109281414</v>
      </c>
    </row>
    <row r="19" spans="2:9" x14ac:dyDescent="0.3">
      <c r="B19" s="84" t="s">
        <v>60</v>
      </c>
      <c r="C19" s="85"/>
      <c r="D19" s="86">
        <f t="shared" ref="D19:E19" si="7">CS2/1000</f>
        <v>0</v>
      </c>
      <c r="E19" s="86">
        <f t="shared" si="7"/>
        <v>0</v>
      </c>
      <c r="F19" s="86">
        <v>1.8226486349903843</v>
      </c>
      <c r="G19" s="86">
        <v>2.4384213412490805</v>
      </c>
      <c r="H19" s="86">
        <v>3.1258517634758762</v>
      </c>
      <c r="I19" s="87">
        <v>3.0597026168072725</v>
      </c>
    </row>
    <row r="20" spans="2:9" x14ac:dyDescent="0.3">
      <c r="B20" s="80" t="s">
        <v>61</v>
      </c>
      <c r="C20" s="81"/>
      <c r="D20" s="82">
        <f t="shared" ref="D20:E20" si="8">DC2/1000</f>
        <v>0</v>
      </c>
      <c r="E20" s="82">
        <f t="shared" si="8"/>
        <v>0</v>
      </c>
      <c r="F20" s="82">
        <v>6.6187722980568867E-2</v>
      </c>
      <c r="G20" s="82">
        <v>0.10811883270593377</v>
      </c>
      <c r="H20" s="82">
        <v>0.16558731860257597</v>
      </c>
      <c r="I20" s="83">
        <v>0.22360582853402944</v>
      </c>
    </row>
    <row r="21" spans="2:9" x14ac:dyDescent="0.3">
      <c r="B21" s="84" t="s">
        <v>62</v>
      </c>
      <c r="C21" s="85"/>
      <c r="D21" s="86">
        <f t="shared" ref="D21:E21" si="9">DM2/1000</f>
        <v>0</v>
      </c>
      <c r="E21" s="86">
        <f t="shared" si="9"/>
        <v>0</v>
      </c>
      <c r="F21" s="86">
        <v>0.13475879994419768</v>
      </c>
      <c r="G21" s="86">
        <v>0.16834006325926898</v>
      </c>
      <c r="H21" s="86">
        <v>0.21791997270406008</v>
      </c>
      <c r="I21" s="87">
        <v>0.23925073820026763</v>
      </c>
    </row>
    <row r="22" spans="2:9" x14ac:dyDescent="0.3">
      <c r="B22" s="80" t="s">
        <v>63</v>
      </c>
      <c r="C22" s="81"/>
      <c r="D22" s="82">
        <f t="shared" ref="D22:E22" si="10">DW2/1000</f>
        <v>0</v>
      </c>
      <c r="E22" s="82">
        <f t="shared" si="10"/>
        <v>0</v>
      </c>
      <c r="F22" s="82">
        <v>5.5814016771382001E-2</v>
      </c>
      <c r="G22" s="82">
        <v>7.2932680939338551E-2</v>
      </c>
      <c r="H22" s="82">
        <v>0.10061683029111484</v>
      </c>
      <c r="I22" s="83">
        <v>0.11240335429667787</v>
      </c>
    </row>
    <row r="23" spans="2:9" x14ac:dyDescent="0.3">
      <c r="B23" s="84" t="s">
        <v>64</v>
      </c>
      <c r="C23" s="85"/>
      <c r="D23" s="86">
        <f t="shared" ref="D23:E23" si="11">EG2/1000</f>
        <v>0</v>
      </c>
      <c r="E23" s="86">
        <f t="shared" si="11"/>
        <v>0</v>
      </c>
      <c r="F23" s="86">
        <v>2.0197877207033782E-2</v>
      </c>
      <c r="G23" s="86">
        <v>4.0357834925045945E-2</v>
      </c>
      <c r="H23" s="86">
        <v>6.2645969583618302E-2</v>
      </c>
      <c r="I23" s="87">
        <v>9.1996316351300664E-2</v>
      </c>
    </row>
    <row r="24" spans="2:9" ht="15" thickBot="1" x14ac:dyDescent="0.35">
      <c r="B24" s="88" t="s">
        <v>65</v>
      </c>
      <c r="C24" s="89"/>
      <c r="D24" s="90">
        <f t="shared" ref="D24:E24" si="12">EQ2/1000</f>
        <v>0</v>
      </c>
      <c r="E24" s="90">
        <f t="shared" si="12"/>
        <v>0</v>
      </c>
      <c r="F24" s="90">
        <v>0.12600810937470047</v>
      </c>
      <c r="G24" s="90">
        <v>0.20265253196436089</v>
      </c>
      <c r="H24" s="90">
        <v>0.33001861509516528</v>
      </c>
      <c r="I24" s="91">
        <v>0.51102743391337213</v>
      </c>
    </row>
    <row r="25" spans="2:9" ht="15" thickBot="1" x14ac:dyDescent="0.35">
      <c r="B25" s="98" t="s">
        <v>66</v>
      </c>
      <c r="C25" s="99"/>
      <c r="D25" s="92"/>
      <c r="E25" s="92"/>
      <c r="F25" s="93">
        <v>5.0961773087055136</v>
      </c>
      <c r="G25" s="93">
        <v>7.4857000340672259</v>
      </c>
      <c r="H25" s="93">
        <v>10.461118870420512</v>
      </c>
      <c r="I25" s="94">
        <v>12.470745138174996</v>
      </c>
    </row>
    <row r="29" spans="2:9" x14ac:dyDescent="0.3">
      <c r="B29" t="s">
        <v>67</v>
      </c>
      <c r="D29">
        <v>2020</v>
      </c>
      <c r="E29">
        <v>2030</v>
      </c>
      <c r="F29">
        <v>2040</v>
      </c>
      <c r="G29">
        <v>2050</v>
      </c>
    </row>
    <row r="30" spans="2:9" x14ac:dyDescent="0.3">
      <c r="B30" t="s">
        <v>68</v>
      </c>
      <c r="D30" s="44">
        <f>SUM(F12:F19)</f>
        <v>4.6932107824276308</v>
      </c>
      <c r="E30" s="44">
        <f>SUM(G12:G19)</f>
        <v>6.8932980902732783</v>
      </c>
      <c r="F30" s="44">
        <f>SUM(H12:H19)</f>
        <v>9.584330164143978</v>
      </c>
      <c r="G30" s="44">
        <f>SUM(I12:I19)</f>
        <v>11.292461466879349</v>
      </c>
    </row>
    <row r="31" spans="2:9" x14ac:dyDescent="0.3">
      <c r="B31" t="s">
        <v>69</v>
      </c>
      <c r="D31" s="44">
        <f>SUM(F20:F24)</f>
        <v>0.40296652627788282</v>
      </c>
      <c r="E31" s="44">
        <f>SUM(G20:G24)</f>
        <v>0.59240194379394806</v>
      </c>
      <c r="F31" s="44">
        <f>SUM(H20:H24)</f>
        <v>0.87678870627653449</v>
      </c>
      <c r="G31" s="44">
        <f>SUM(I20:I24)</f>
        <v>1.1782836712956479</v>
      </c>
    </row>
    <row r="43" spans="2:9" x14ac:dyDescent="0.3">
      <c r="B43" t="s">
        <v>52</v>
      </c>
      <c r="D43">
        <v>2006</v>
      </c>
      <c r="E43">
        <v>2015</v>
      </c>
      <c r="F43">
        <v>2020</v>
      </c>
      <c r="G43">
        <v>2030</v>
      </c>
      <c r="H43">
        <v>2040</v>
      </c>
      <c r="I43">
        <v>2050</v>
      </c>
    </row>
    <row r="44" spans="2:9" x14ac:dyDescent="0.3">
      <c r="B44" t="s">
        <v>53</v>
      </c>
      <c r="D44" t="e">
        <v>#N/A</v>
      </c>
      <c r="E44">
        <v>0</v>
      </c>
      <c r="F44">
        <v>0.48294132952860341</v>
      </c>
      <c r="G44">
        <v>0.86142404343059853</v>
      </c>
      <c r="H44">
        <v>1.1306026738842874</v>
      </c>
      <c r="I44">
        <v>1.7629826812711777</v>
      </c>
    </row>
    <row r="45" spans="2:9" x14ac:dyDescent="0.3">
      <c r="B45" t="s">
        <v>54</v>
      </c>
      <c r="D45" t="e">
        <v>#N/A</v>
      </c>
      <c r="E45">
        <v>0</v>
      </c>
      <c r="F45">
        <v>0.41085983798514447</v>
      </c>
      <c r="G45">
        <v>0.60337132938810989</v>
      </c>
      <c r="H45">
        <v>0.90819796236953709</v>
      </c>
      <c r="I45">
        <v>1.1749086513299098</v>
      </c>
    </row>
    <row r="46" spans="2:9" x14ac:dyDescent="0.3">
      <c r="B46" t="s">
        <v>55</v>
      </c>
      <c r="D46" t="e">
        <v>#N/A</v>
      </c>
      <c r="E46">
        <v>0</v>
      </c>
      <c r="F46">
        <v>0.62073348829482833</v>
      </c>
      <c r="G46">
        <v>0.96122312657914799</v>
      </c>
      <c r="H46">
        <v>1.4094932202770933</v>
      </c>
      <c r="I46">
        <v>1.6692495087037205</v>
      </c>
    </row>
    <row r="47" spans="2:9" x14ac:dyDescent="0.3">
      <c r="B47" t="s">
        <v>56</v>
      </c>
      <c r="D47" t="e">
        <v>#N/A</v>
      </c>
      <c r="E47">
        <v>0</v>
      </c>
      <c r="F47">
        <v>2.6990958155614007E-2</v>
      </c>
      <c r="G47">
        <v>6.7652313230296648E-2</v>
      </c>
      <c r="H47">
        <v>0.10735410295056716</v>
      </c>
      <c r="I47">
        <v>0.17028903504952544</v>
      </c>
    </row>
    <row r="48" spans="2:9" x14ac:dyDescent="0.3">
      <c r="B48" t="s">
        <v>57</v>
      </c>
      <c r="D48" t="e">
        <v>#N/A</v>
      </c>
      <c r="E48">
        <v>0</v>
      </c>
      <c r="F48">
        <v>0.37900844690878888</v>
      </c>
      <c r="G48">
        <v>0.59038645239515608</v>
      </c>
      <c r="H48">
        <v>0.90138331873719213</v>
      </c>
      <c r="I48">
        <v>1.2351724107612203</v>
      </c>
    </row>
    <row r="49" spans="2:9" x14ac:dyDescent="0.3">
      <c r="B49" t="s">
        <v>58</v>
      </c>
      <c r="D49">
        <v>0</v>
      </c>
      <c r="E49">
        <v>0</v>
      </c>
      <c r="F49">
        <v>0.70910880235408547</v>
      </c>
      <c r="G49">
        <v>1.0308207256207031</v>
      </c>
      <c r="H49">
        <v>1.524106895503758</v>
      </c>
      <c r="I49">
        <v>1.7487495718637089</v>
      </c>
    </row>
    <row r="50" spans="2:9" x14ac:dyDescent="0.3">
      <c r="B50" t="s">
        <v>59</v>
      </c>
      <c r="D50">
        <v>0</v>
      </c>
      <c r="E50">
        <v>0</v>
      </c>
      <c r="F50">
        <v>0.24091928421018174</v>
      </c>
      <c r="G50">
        <v>0.33999875838018534</v>
      </c>
      <c r="H50">
        <v>0.4773402269456678</v>
      </c>
      <c r="I50">
        <v>0.47140699109281414</v>
      </c>
    </row>
    <row r="51" spans="2:9" x14ac:dyDescent="0.3">
      <c r="B51" t="s">
        <v>60</v>
      </c>
      <c r="D51" t="e">
        <v>#N/A</v>
      </c>
      <c r="E51">
        <v>0</v>
      </c>
      <c r="F51">
        <v>1.8226486349903843</v>
      </c>
      <c r="G51">
        <v>2.4384213412490805</v>
      </c>
      <c r="H51">
        <v>3.1258517634758762</v>
      </c>
      <c r="I51">
        <v>3.0597026168072725</v>
      </c>
    </row>
    <row r="52" spans="2:9" x14ac:dyDescent="0.3">
      <c r="B52" t="s">
        <v>61</v>
      </c>
      <c r="D52" t="e">
        <v>#N/A</v>
      </c>
      <c r="E52">
        <v>0</v>
      </c>
      <c r="F52">
        <v>6.6187722980568867E-2</v>
      </c>
      <c r="G52">
        <v>0.10811883270593377</v>
      </c>
      <c r="H52">
        <v>0.16558731860257597</v>
      </c>
      <c r="I52">
        <v>0.22360582853402944</v>
      </c>
    </row>
    <row r="53" spans="2:9" x14ac:dyDescent="0.3">
      <c r="B53" t="s">
        <v>62</v>
      </c>
      <c r="D53" t="e">
        <v>#N/A</v>
      </c>
      <c r="E53">
        <v>0</v>
      </c>
      <c r="F53">
        <v>0.13475879994419768</v>
      </c>
      <c r="G53">
        <v>0.16834006325926898</v>
      </c>
      <c r="H53">
        <v>0.21791997270406008</v>
      </c>
      <c r="I53">
        <v>0.23925073820026763</v>
      </c>
    </row>
    <row r="54" spans="2:9" x14ac:dyDescent="0.3">
      <c r="B54" t="s">
        <v>63</v>
      </c>
      <c r="D54" t="e">
        <v>#N/A</v>
      </c>
      <c r="E54">
        <v>0</v>
      </c>
      <c r="F54">
        <v>5.5814016771382001E-2</v>
      </c>
      <c r="G54">
        <v>7.2932680939338551E-2</v>
      </c>
      <c r="H54">
        <v>0.10061683029111484</v>
      </c>
      <c r="I54">
        <v>0.11240335429667787</v>
      </c>
    </row>
    <row r="55" spans="2:9" x14ac:dyDescent="0.3">
      <c r="B55" t="s">
        <v>64</v>
      </c>
      <c r="D55">
        <v>0</v>
      </c>
      <c r="E55">
        <v>0</v>
      </c>
      <c r="F55">
        <v>2.0197877207033782E-2</v>
      </c>
      <c r="G55">
        <v>4.0357834925045945E-2</v>
      </c>
      <c r="H55">
        <v>6.2645969583618302E-2</v>
      </c>
      <c r="I55">
        <v>9.1996316351300664E-2</v>
      </c>
    </row>
    <row r="56" spans="2:9" x14ac:dyDescent="0.3">
      <c r="B56" t="s">
        <v>65</v>
      </c>
      <c r="D56" t="e">
        <v>#N/A</v>
      </c>
      <c r="E56">
        <v>0</v>
      </c>
      <c r="F56">
        <v>0.12600810937470047</v>
      </c>
      <c r="G56">
        <v>0.20265253196436089</v>
      </c>
      <c r="H56">
        <v>0.33001861509516528</v>
      </c>
      <c r="I56">
        <v>0.51102743391337213</v>
      </c>
    </row>
    <row r="57" spans="2:9" x14ac:dyDescent="0.3">
      <c r="B57" t="s">
        <v>66</v>
      </c>
      <c r="F57">
        <v>5.0961773087055136</v>
      </c>
      <c r="G57">
        <v>7.4857000340672259</v>
      </c>
      <c r="H57">
        <v>10.461118870420512</v>
      </c>
      <c r="I57">
        <v>12.470745138174996</v>
      </c>
    </row>
  </sheetData>
  <mergeCells count="2">
    <mergeCell ref="B7:C7"/>
    <mergeCell ref="B25:C2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55" zoomScaleNormal="55" workbookViewId="0">
      <selection activeCell="N1" sqref="N1:W1048576"/>
    </sheetView>
  </sheetViews>
  <sheetFormatPr baseColWidth="10" defaultColWidth="8.77734375" defaultRowHeight="14.4" x14ac:dyDescent="0.3"/>
  <cols>
    <col min="1" max="1" width="22.77734375" customWidth="1"/>
    <col min="2" max="1015" width="10.44140625" customWidth="1"/>
  </cols>
  <sheetData>
    <row r="1" spans="1:15" x14ac:dyDescent="0.3">
      <c r="A1" t="s">
        <v>10</v>
      </c>
      <c r="B1" t="s">
        <v>11</v>
      </c>
    </row>
    <row r="2" spans="1:15" x14ac:dyDescent="0.3">
      <c r="A2" t="s">
        <v>12</v>
      </c>
      <c r="B2" t="s">
        <v>70</v>
      </c>
    </row>
    <row r="3" spans="1:15" x14ac:dyDescent="0.3">
      <c r="A3" t="s">
        <v>14</v>
      </c>
      <c r="B3" t="s">
        <v>1</v>
      </c>
    </row>
    <row r="4" spans="1:15" x14ac:dyDescent="0.3">
      <c r="A4" t="s">
        <v>15</v>
      </c>
      <c r="B4" t="s">
        <v>16</v>
      </c>
    </row>
    <row r="5" spans="1:15" x14ac:dyDescent="0.3">
      <c r="A5" t="s">
        <v>17</v>
      </c>
      <c r="B5" t="s">
        <v>18</v>
      </c>
    </row>
    <row r="7" spans="1:15" ht="21" x14ac:dyDescent="0.4">
      <c r="B7" s="96" t="s">
        <v>19</v>
      </c>
      <c r="C7" s="96"/>
    </row>
    <row r="9" spans="1:15" x14ac:dyDescent="0.3">
      <c r="B9" s="4">
        <v>2020</v>
      </c>
      <c r="C9" s="4">
        <f t="shared" ref="C9:H9" si="0">B9+5</f>
        <v>2025</v>
      </c>
      <c r="D9" s="4">
        <f t="shared" si="0"/>
        <v>2030</v>
      </c>
      <c r="E9" s="4">
        <f t="shared" si="0"/>
        <v>2035</v>
      </c>
      <c r="F9" s="4">
        <f t="shared" si="0"/>
        <v>2040</v>
      </c>
      <c r="G9" s="4">
        <f t="shared" si="0"/>
        <v>2045</v>
      </c>
      <c r="H9" s="4">
        <f t="shared" si="0"/>
        <v>2050</v>
      </c>
    </row>
    <row r="10" spans="1:15" x14ac:dyDescent="0.3">
      <c r="A10" s="4" t="s">
        <v>71</v>
      </c>
      <c r="B10" s="4">
        <v>23</v>
      </c>
      <c r="C10" s="5">
        <v>23</v>
      </c>
      <c r="D10" s="5">
        <v>23</v>
      </c>
      <c r="E10" s="5">
        <v>22.682296583231299</v>
      </c>
      <c r="F10" s="5">
        <v>22.364593166462701</v>
      </c>
      <c r="G10" s="5">
        <v>22.046889749694</v>
      </c>
      <c r="H10" s="5">
        <v>21.729186332925401</v>
      </c>
    </row>
    <row r="11" spans="1:15" x14ac:dyDescent="0.3">
      <c r="A11" s="6" t="s">
        <v>72</v>
      </c>
      <c r="B11" s="45">
        <v>1006.4196741999987</v>
      </c>
      <c r="C11" s="45">
        <v>1012.220353806295</v>
      </c>
      <c r="D11" s="45">
        <v>1018.0210334125914</v>
      </c>
      <c r="E11" s="45">
        <v>1023.6237489888617</v>
      </c>
      <c r="F11" s="45">
        <v>1029.2264645651321</v>
      </c>
      <c r="G11" s="45">
        <v>1023.9739382019351</v>
      </c>
      <c r="H11" s="45">
        <v>1018.7214118387379</v>
      </c>
      <c r="I11" s="75" t="s">
        <v>73</v>
      </c>
    </row>
    <row r="13" spans="1:15" x14ac:dyDescent="0.3">
      <c r="A13" s="8" t="s">
        <v>23</v>
      </c>
      <c r="B13" s="9">
        <f t="shared" ref="B13:H13" si="1">B11*B10/1000</f>
        <v>23.147652506599972</v>
      </c>
      <c r="C13" s="9">
        <f t="shared" si="1"/>
        <v>23.281068137544782</v>
      </c>
      <c r="D13" s="9">
        <f t="shared" si="1"/>
        <v>23.4144837684896</v>
      </c>
      <c r="E13" s="9">
        <f t="shared" si="1"/>
        <v>23.218137464204471</v>
      </c>
      <c r="F13" s="9">
        <f t="shared" si="1"/>
        <v>23.018231156155917</v>
      </c>
      <c r="G13" s="9">
        <f t="shared" si="1"/>
        <v>22.575440522098042</v>
      </c>
      <c r="H13" s="9">
        <f t="shared" si="1"/>
        <v>22.135987379184776</v>
      </c>
    </row>
    <row r="15" spans="1:15" x14ac:dyDescent="0.3">
      <c r="A15" s="4"/>
      <c r="B15" s="10" t="s">
        <v>19</v>
      </c>
      <c r="C15" s="4" t="s">
        <v>74</v>
      </c>
      <c r="D15" s="4" t="s">
        <v>45</v>
      </c>
      <c r="E15" s="4" t="s">
        <v>27</v>
      </c>
      <c r="F15" s="4" t="s">
        <v>28</v>
      </c>
      <c r="G15" s="4" t="s">
        <v>39</v>
      </c>
      <c r="H15" s="4" t="s">
        <v>75</v>
      </c>
      <c r="I15" s="4"/>
      <c r="J15" s="4"/>
      <c r="K15" s="4"/>
      <c r="L15" s="4"/>
      <c r="N15" s="4"/>
      <c r="O15" s="4"/>
    </row>
    <row r="16" spans="1:15" ht="14.55" customHeight="1" x14ac:dyDescent="0.3">
      <c r="A16" s="97" t="s">
        <v>34</v>
      </c>
      <c r="B16" s="1">
        <v>2020</v>
      </c>
      <c r="C16" s="11">
        <v>0.30499999999999999</v>
      </c>
      <c r="D16" s="11">
        <v>0.47599999999999998</v>
      </c>
      <c r="E16" s="11"/>
      <c r="F16" s="11">
        <v>0.14799999999999999</v>
      </c>
      <c r="G16" s="11">
        <v>6.0000000000000001E-3</v>
      </c>
      <c r="H16" s="11">
        <v>6.5000000000000002E-2</v>
      </c>
      <c r="I16" s="11"/>
      <c r="J16" s="11"/>
      <c r="K16" s="11"/>
      <c r="L16" s="11"/>
      <c r="N16" s="11"/>
      <c r="O16" s="12"/>
    </row>
    <row r="17" spans="1:15" x14ac:dyDescent="0.3">
      <c r="A17" s="97"/>
      <c r="B17" s="4">
        <f t="shared" ref="B17:B22" si="2">B16+5</f>
        <v>2025</v>
      </c>
      <c r="C17" s="11">
        <f>(C16+C18)/2</f>
        <v>0.36249999999999999</v>
      </c>
      <c r="D17" s="11">
        <f>(D16+D18)/2</f>
        <v>0.45899999999999996</v>
      </c>
      <c r="E17" s="11"/>
      <c r="F17" s="11">
        <f>(F16+F18)/2</f>
        <v>9.9000000000000005E-2</v>
      </c>
      <c r="G17" s="11">
        <f>(G16+G18)/2</f>
        <v>7.0000000000000001E-3</v>
      </c>
      <c r="H17" s="11">
        <f>(H16+H18)/2</f>
        <v>7.2500000000000009E-2</v>
      </c>
      <c r="I17" s="11"/>
      <c r="J17" s="11"/>
      <c r="K17" s="11"/>
      <c r="L17" s="11"/>
      <c r="N17" s="12"/>
      <c r="O17" s="12"/>
    </row>
    <row r="18" spans="1:15" x14ac:dyDescent="0.3">
      <c r="A18" s="97"/>
      <c r="B18" s="4">
        <f t="shared" si="2"/>
        <v>2030</v>
      </c>
      <c r="C18" s="11">
        <v>0.42</v>
      </c>
      <c r="D18" s="11">
        <v>0.442</v>
      </c>
      <c r="E18" s="11"/>
      <c r="F18" s="11">
        <v>0.05</v>
      </c>
      <c r="G18" s="11">
        <v>8.0000000000000002E-3</v>
      </c>
      <c r="H18" s="11">
        <v>0.08</v>
      </c>
      <c r="I18" s="11"/>
      <c r="J18" s="11"/>
      <c r="K18" s="11"/>
      <c r="L18" s="11"/>
      <c r="N18" s="12"/>
      <c r="O18" s="12"/>
    </row>
    <row r="19" spans="1:15" x14ac:dyDescent="0.3">
      <c r="A19" s="97"/>
      <c r="B19" s="4">
        <f t="shared" si="2"/>
        <v>2035</v>
      </c>
      <c r="C19" s="11">
        <f>(C18+C20)/2</f>
        <v>0.46499999999999997</v>
      </c>
      <c r="D19" s="11">
        <f>(D18+D20)/2</f>
        <v>0.40900000000000003</v>
      </c>
      <c r="E19" s="11"/>
      <c r="F19" s="11">
        <f>(F18+F20)/2</f>
        <v>3.7500000000000006E-2</v>
      </c>
      <c r="G19" s="11">
        <f>(G18+G20)/2</f>
        <v>8.5000000000000006E-3</v>
      </c>
      <c r="H19" s="11">
        <f>(H18+H20)/2</f>
        <v>0.08</v>
      </c>
      <c r="I19" s="11"/>
      <c r="J19" s="11"/>
      <c r="K19" s="11"/>
      <c r="L19" s="11"/>
      <c r="N19" s="12"/>
      <c r="O19" s="12"/>
    </row>
    <row r="20" spans="1:15" x14ac:dyDescent="0.3">
      <c r="A20" s="97"/>
      <c r="B20" s="4">
        <f t="shared" si="2"/>
        <v>2040</v>
      </c>
      <c r="C20" s="11">
        <f>(C18+C22)/2</f>
        <v>0.51</v>
      </c>
      <c r="D20" s="11">
        <f>(D18+D22)/2</f>
        <v>0.376</v>
      </c>
      <c r="E20" s="11"/>
      <c r="F20" s="11">
        <f>(F18+F22)/2</f>
        <v>2.5000000000000001E-2</v>
      </c>
      <c r="G20" s="11">
        <f>(G18+G22)/2</f>
        <v>9.0000000000000011E-3</v>
      </c>
      <c r="H20" s="11">
        <f>(H18+H22)/2</f>
        <v>0.08</v>
      </c>
      <c r="I20" s="11"/>
      <c r="J20" s="11"/>
      <c r="K20" s="11"/>
      <c r="L20" s="11"/>
      <c r="N20" s="12"/>
      <c r="O20" s="12"/>
    </row>
    <row r="21" spans="1:15" x14ac:dyDescent="0.3">
      <c r="A21" s="97"/>
      <c r="B21" s="4">
        <f t="shared" si="2"/>
        <v>2045</v>
      </c>
      <c r="C21" s="11">
        <f>(C20+C22)/2</f>
        <v>0.55499999999999994</v>
      </c>
      <c r="D21" s="11">
        <f>(D20+D22)/2</f>
        <v>0.34299999999999997</v>
      </c>
      <c r="E21" s="11"/>
      <c r="F21" s="11">
        <f>(F20+F22)/2</f>
        <v>1.2500000000000001E-2</v>
      </c>
      <c r="G21" s="11">
        <f>(G20+G22)/2</f>
        <v>9.5000000000000015E-3</v>
      </c>
      <c r="H21" s="11">
        <f>(H20+H22)/2</f>
        <v>0.08</v>
      </c>
      <c r="I21" s="11"/>
      <c r="J21" s="11"/>
      <c r="K21" s="11"/>
      <c r="L21" s="11"/>
      <c r="N21" s="12"/>
      <c r="O21" s="12"/>
    </row>
    <row r="22" spans="1:15" x14ac:dyDescent="0.3">
      <c r="A22" s="97"/>
      <c r="B22" s="4">
        <f t="shared" si="2"/>
        <v>2050</v>
      </c>
      <c r="C22" s="11">
        <v>0.6</v>
      </c>
      <c r="D22" s="11">
        <v>0.31</v>
      </c>
      <c r="E22" s="11"/>
      <c r="F22" s="11">
        <v>0</v>
      </c>
      <c r="G22" s="11">
        <v>0.01</v>
      </c>
      <c r="H22" s="11">
        <v>0.08</v>
      </c>
      <c r="I22" s="11"/>
      <c r="J22" s="11"/>
      <c r="K22" s="11"/>
      <c r="L22" s="11"/>
      <c r="N22" s="12"/>
      <c r="O22" s="12"/>
    </row>
    <row r="24" spans="1:15" ht="13.8" customHeight="1" x14ac:dyDescent="0.3">
      <c r="A24" s="97" t="s">
        <v>35</v>
      </c>
      <c r="B24" s="1">
        <v>2020</v>
      </c>
      <c r="C24" s="13">
        <f t="shared" ref="C24:H24" si="3">$B13*C16</f>
        <v>7.0600340145129916</v>
      </c>
      <c r="D24" s="13">
        <f t="shared" si="3"/>
        <v>11.018282593141587</v>
      </c>
      <c r="E24" s="13">
        <f t="shared" si="3"/>
        <v>0</v>
      </c>
      <c r="F24" s="13">
        <f t="shared" si="3"/>
        <v>3.4258525709767955</v>
      </c>
      <c r="G24" s="13">
        <f t="shared" si="3"/>
        <v>0.13888591503959982</v>
      </c>
      <c r="H24" s="13">
        <f t="shared" si="3"/>
        <v>1.5045974129289983</v>
      </c>
      <c r="I24" s="13"/>
      <c r="J24" s="13"/>
      <c r="K24" s="13"/>
      <c r="N24" s="13"/>
    </row>
    <row r="25" spans="1:15" x14ac:dyDescent="0.3">
      <c r="A25" s="97"/>
      <c r="B25" s="4">
        <f t="shared" ref="B25:B30" si="4">B24+5</f>
        <v>2025</v>
      </c>
      <c r="C25" s="13">
        <f t="shared" ref="C25:H25" si="5">$C13*C17</f>
        <v>8.4393871998599828</v>
      </c>
      <c r="D25" s="13">
        <f t="shared" si="5"/>
        <v>10.686010275133054</v>
      </c>
      <c r="E25" s="13">
        <f t="shared" si="5"/>
        <v>0</v>
      </c>
      <c r="F25" s="13">
        <f t="shared" si="5"/>
        <v>2.3048257456169337</v>
      </c>
      <c r="G25" s="13">
        <f t="shared" si="5"/>
        <v>0.16296747696281347</v>
      </c>
      <c r="H25" s="13">
        <f t="shared" si="5"/>
        <v>1.6878774399719969</v>
      </c>
      <c r="I25" s="13"/>
      <c r="J25" s="13"/>
      <c r="K25" s="13"/>
      <c r="N25" s="13"/>
    </row>
    <row r="26" spans="1:15" x14ac:dyDescent="0.3">
      <c r="A26" s="97"/>
      <c r="B26" s="4">
        <f t="shared" si="4"/>
        <v>2030</v>
      </c>
      <c r="C26" s="13">
        <f t="shared" ref="C26:H26" si="6">$D13*C18</f>
        <v>9.8340831827656316</v>
      </c>
      <c r="D26" s="13">
        <f t="shared" si="6"/>
        <v>10.349201825672402</v>
      </c>
      <c r="E26" s="13">
        <f t="shared" si="6"/>
        <v>0</v>
      </c>
      <c r="F26" s="13">
        <f t="shared" si="6"/>
        <v>1.1707241884244801</v>
      </c>
      <c r="G26" s="13">
        <f t="shared" si="6"/>
        <v>0.18731587014791681</v>
      </c>
      <c r="H26" s="13">
        <f t="shared" si="6"/>
        <v>1.873158701479168</v>
      </c>
      <c r="I26" s="13"/>
      <c r="J26" s="13"/>
      <c r="K26" s="13"/>
      <c r="N26" s="13"/>
    </row>
    <row r="27" spans="1:15" x14ac:dyDescent="0.3">
      <c r="A27" s="97"/>
      <c r="B27" s="4">
        <f t="shared" si="4"/>
        <v>2035</v>
      </c>
      <c r="C27" s="13">
        <f t="shared" ref="C27:H27" si="7">$E13*C19</f>
        <v>10.796433920855078</v>
      </c>
      <c r="D27" s="13">
        <f t="shared" si="7"/>
        <v>9.4962182228596301</v>
      </c>
      <c r="E27" s="13">
        <f t="shared" si="7"/>
        <v>0</v>
      </c>
      <c r="F27" s="13">
        <f t="shared" si="7"/>
        <v>0.87068015490766781</v>
      </c>
      <c r="G27" s="13">
        <f t="shared" si="7"/>
        <v>0.19735416844573803</v>
      </c>
      <c r="H27" s="13">
        <f t="shared" si="7"/>
        <v>1.8574509971363578</v>
      </c>
      <c r="I27" s="13"/>
      <c r="J27" s="13"/>
      <c r="K27" s="13"/>
      <c r="N27" s="13"/>
    </row>
    <row r="28" spans="1:15" x14ac:dyDescent="0.3">
      <c r="A28" s="97"/>
      <c r="B28" s="4">
        <f t="shared" si="4"/>
        <v>2040</v>
      </c>
      <c r="C28" s="13">
        <f t="shared" ref="C28:H28" si="8">$F13*C20</f>
        <v>11.739297889639518</v>
      </c>
      <c r="D28" s="13">
        <f t="shared" si="8"/>
        <v>8.6548549147146243</v>
      </c>
      <c r="E28" s="13">
        <f t="shared" si="8"/>
        <v>0</v>
      </c>
      <c r="F28" s="13">
        <f t="shared" si="8"/>
        <v>0.57545577890389799</v>
      </c>
      <c r="G28" s="13">
        <f t="shared" si="8"/>
        <v>0.20716408040540327</v>
      </c>
      <c r="H28" s="13">
        <f t="shared" si="8"/>
        <v>1.8414584924924733</v>
      </c>
      <c r="I28" s="13"/>
      <c r="J28" s="13"/>
      <c r="K28" s="13"/>
      <c r="N28" s="13"/>
    </row>
    <row r="29" spans="1:15" x14ac:dyDescent="0.3">
      <c r="A29" s="97"/>
      <c r="B29" s="4">
        <f t="shared" si="4"/>
        <v>2045</v>
      </c>
      <c r="C29" s="13">
        <f t="shared" ref="C29:H29" si="9">$G13*C21</f>
        <v>12.529369489764411</v>
      </c>
      <c r="D29" s="13">
        <f t="shared" si="9"/>
        <v>7.7433760990796277</v>
      </c>
      <c r="E29" s="13">
        <f t="shared" si="9"/>
        <v>0</v>
      </c>
      <c r="F29" s="13">
        <f t="shared" si="9"/>
        <v>0.28219300652622553</v>
      </c>
      <c r="G29" s="13">
        <f t="shared" si="9"/>
        <v>0.21446668495993143</v>
      </c>
      <c r="H29" s="13">
        <f t="shared" si="9"/>
        <v>1.8060352417678434</v>
      </c>
      <c r="I29" s="13"/>
      <c r="J29" s="13"/>
      <c r="K29" s="13"/>
      <c r="N29" s="13"/>
    </row>
    <row r="30" spans="1:15" x14ac:dyDescent="0.3">
      <c r="A30" s="97"/>
      <c r="B30" s="4">
        <f t="shared" si="4"/>
        <v>2050</v>
      </c>
      <c r="C30" s="13">
        <f t="shared" ref="C30:H30" si="10">$H13*C22</f>
        <v>13.281592427510866</v>
      </c>
      <c r="D30" s="13">
        <f t="shared" si="10"/>
        <v>6.8621560875472802</v>
      </c>
      <c r="E30" s="13">
        <f t="shared" si="10"/>
        <v>0</v>
      </c>
      <c r="F30" s="13">
        <f t="shared" si="10"/>
        <v>0</v>
      </c>
      <c r="G30" s="13">
        <f t="shared" si="10"/>
        <v>0.22135987379184777</v>
      </c>
      <c r="H30" s="13">
        <f t="shared" si="10"/>
        <v>1.7708789903347821</v>
      </c>
      <c r="I30" s="13"/>
      <c r="J30" s="13"/>
      <c r="K30" s="13"/>
      <c r="N30" s="13"/>
    </row>
  </sheetData>
  <mergeCells count="3">
    <mergeCell ref="B7:C7"/>
    <mergeCell ref="A16:A22"/>
    <mergeCell ref="A24:A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55" zoomScaleNormal="55" workbookViewId="0">
      <selection activeCell="M22" sqref="M22"/>
    </sheetView>
  </sheetViews>
  <sheetFormatPr baseColWidth="10" defaultColWidth="8.77734375" defaultRowHeight="14.4" x14ac:dyDescent="0.3"/>
  <cols>
    <col min="1" max="1" width="22.21875" customWidth="1"/>
    <col min="2" max="1016" width="10.44140625" customWidth="1"/>
  </cols>
  <sheetData>
    <row r="1" spans="1:16" x14ac:dyDescent="0.3">
      <c r="A1" t="s">
        <v>10</v>
      </c>
      <c r="B1" t="s">
        <v>11</v>
      </c>
    </row>
    <row r="2" spans="1:16" x14ac:dyDescent="0.3">
      <c r="A2" t="s">
        <v>12</v>
      </c>
      <c r="B2" t="s">
        <v>70</v>
      </c>
    </row>
    <row r="3" spans="1:16" x14ac:dyDescent="0.3">
      <c r="A3" t="s">
        <v>14</v>
      </c>
      <c r="B3" t="s">
        <v>1</v>
      </c>
    </row>
    <row r="4" spans="1:16" x14ac:dyDescent="0.3">
      <c r="A4" t="s">
        <v>15</v>
      </c>
      <c r="B4" t="s">
        <v>16</v>
      </c>
    </row>
    <row r="5" spans="1:16" x14ac:dyDescent="0.3">
      <c r="A5" t="s">
        <v>17</v>
      </c>
      <c r="B5" t="s">
        <v>18</v>
      </c>
    </row>
    <row r="7" spans="1:16" ht="21" x14ac:dyDescent="0.4">
      <c r="B7" s="96" t="s">
        <v>19</v>
      </c>
      <c r="C7" s="96"/>
    </row>
    <row r="9" spans="1:16" x14ac:dyDescent="0.3">
      <c r="B9" s="4">
        <v>2020</v>
      </c>
      <c r="C9" s="4">
        <f t="shared" ref="C9:H9" si="0">B9+5</f>
        <v>2025</v>
      </c>
      <c r="D9" s="4">
        <f t="shared" si="0"/>
        <v>2030</v>
      </c>
      <c r="E9" s="4">
        <f t="shared" si="0"/>
        <v>2035</v>
      </c>
      <c r="F9" s="4">
        <f t="shared" si="0"/>
        <v>2040</v>
      </c>
      <c r="G9" s="4">
        <f t="shared" si="0"/>
        <v>2045</v>
      </c>
      <c r="H9" s="4">
        <f t="shared" si="0"/>
        <v>2050</v>
      </c>
    </row>
    <row r="10" spans="1:16" x14ac:dyDescent="0.3">
      <c r="A10" s="4" t="s">
        <v>77</v>
      </c>
      <c r="B10" s="4">
        <v>11.4</v>
      </c>
      <c r="C10" s="5">
        <v>11.59</v>
      </c>
      <c r="D10" s="5">
        <v>11.78</v>
      </c>
      <c r="E10" s="5">
        <v>11.97</v>
      </c>
      <c r="F10" s="5">
        <v>12.16</v>
      </c>
      <c r="G10" s="5">
        <v>12.35</v>
      </c>
      <c r="H10" s="5">
        <v>12.54</v>
      </c>
    </row>
    <row r="11" spans="1:16" x14ac:dyDescent="0.3">
      <c r="A11" s="6" t="s">
        <v>72</v>
      </c>
      <c r="B11" s="45">
        <v>1006.4196741999987</v>
      </c>
      <c r="C11" s="45">
        <v>1012.220353806295</v>
      </c>
      <c r="D11" s="45">
        <v>1018.0210334125914</v>
      </c>
      <c r="E11" s="45">
        <v>1023.6237489888617</v>
      </c>
      <c r="F11" s="45">
        <v>1029.2264645651321</v>
      </c>
      <c r="G11" s="45">
        <v>1023.9739382019351</v>
      </c>
      <c r="H11" s="45">
        <v>1018.7214118387379</v>
      </c>
    </row>
    <row r="13" spans="1:16" x14ac:dyDescent="0.3">
      <c r="A13" s="8" t="s">
        <v>23</v>
      </c>
      <c r="B13" s="9">
        <f t="shared" ref="B13:H13" si="1">B11*B10/1000</f>
        <v>11.473184285879984</v>
      </c>
      <c r="C13" s="9">
        <f t="shared" si="1"/>
        <v>11.731633900614959</v>
      </c>
      <c r="D13" s="9">
        <f t="shared" si="1"/>
        <v>11.992287773600324</v>
      </c>
      <c r="E13" s="9">
        <f t="shared" si="1"/>
        <v>12.252776275396677</v>
      </c>
      <c r="F13" s="9">
        <f t="shared" si="1"/>
        <v>12.515393809112007</v>
      </c>
      <c r="G13" s="9">
        <f t="shared" si="1"/>
        <v>12.646078136793898</v>
      </c>
      <c r="H13" s="9">
        <f t="shared" si="1"/>
        <v>12.774766504457773</v>
      </c>
    </row>
    <row r="16" spans="1:16" x14ac:dyDescent="0.3">
      <c r="A16" s="4"/>
      <c r="B16" s="10" t="s">
        <v>19</v>
      </c>
      <c r="C16" s="4" t="s">
        <v>74</v>
      </c>
      <c r="D16" s="4" t="s">
        <v>76</v>
      </c>
      <c r="E16" s="4" t="s">
        <v>27</v>
      </c>
      <c r="F16" s="4" t="s">
        <v>28</v>
      </c>
      <c r="G16" s="4" t="s">
        <v>39</v>
      </c>
      <c r="H16" s="4"/>
      <c r="I16" s="4"/>
      <c r="J16" s="4"/>
      <c r="K16" s="4"/>
      <c r="L16" s="4"/>
      <c r="N16" s="4"/>
      <c r="O16" s="4"/>
      <c r="P16" s="4"/>
    </row>
    <row r="17" spans="1:12" ht="14.55" customHeight="1" x14ac:dyDescent="0.3">
      <c r="A17" s="97" t="s">
        <v>46</v>
      </c>
      <c r="B17" s="1">
        <v>2020</v>
      </c>
      <c r="C17" s="11">
        <v>0.38200000000000001</v>
      </c>
      <c r="D17" s="11">
        <v>0.49099999999999999</v>
      </c>
      <c r="E17" s="11"/>
      <c r="F17" s="11">
        <v>0.121</v>
      </c>
      <c r="G17" s="11">
        <v>6.0000000000000001E-3</v>
      </c>
      <c r="H17" s="11"/>
      <c r="I17" s="11"/>
      <c r="J17" s="11"/>
      <c r="K17" s="11"/>
      <c r="L17" s="11"/>
    </row>
    <row r="18" spans="1:12" x14ac:dyDescent="0.3">
      <c r="A18" s="97"/>
      <c r="B18" s="4">
        <f t="shared" ref="B18:B23" si="2">B17+5</f>
        <v>2025</v>
      </c>
      <c r="C18" s="11">
        <v>0.39300000000000002</v>
      </c>
      <c r="D18" s="11">
        <v>0.49049999999999999</v>
      </c>
      <c r="E18" s="11"/>
      <c r="F18" s="11">
        <v>0.1105</v>
      </c>
      <c r="G18" s="11">
        <v>6.0000000000000001E-3</v>
      </c>
      <c r="H18" s="11"/>
      <c r="I18" s="11"/>
      <c r="J18" s="11"/>
      <c r="K18" s="11"/>
      <c r="L18" s="11"/>
    </row>
    <row r="19" spans="1:12" x14ac:dyDescent="0.3">
      <c r="A19" s="97"/>
      <c r="B19" s="4">
        <f t="shared" si="2"/>
        <v>2030</v>
      </c>
      <c r="C19" s="11">
        <v>0.40400000000000003</v>
      </c>
      <c r="D19" s="11">
        <v>0.49</v>
      </c>
      <c r="E19" s="11"/>
      <c r="F19" s="11">
        <v>0.1</v>
      </c>
      <c r="G19" s="11">
        <v>6.0000000000000001E-3</v>
      </c>
      <c r="H19" s="11"/>
      <c r="I19" s="11"/>
      <c r="J19" s="11"/>
      <c r="K19" s="11"/>
      <c r="L19" s="11"/>
    </row>
    <row r="20" spans="1:12" x14ac:dyDescent="0.3">
      <c r="A20" s="97"/>
      <c r="B20" s="4">
        <f t="shared" si="2"/>
        <v>2035</v>
      </c>
      <c r="C20" s="11">
        <v>0.40400000000000003</v>
      </c>
      <c r="D20" s="11">
        <v>0.49</v>
      </c>
      <c r="E20" s="11"/>
      <c r="F20" s="11">
        <v>0.1</v>
      </c>
      <c r="G20" s="11">
        <v>6.0000000000000001E-3</v>
      </c>
      <c r="H20" s="11"/>
      <c r="I20" s="11"/>
      <c r="J20" s="11"/>
      <c r="K20" s="11"/>
      <c r="L20" s="11"/>
    </row>
    <row r="21" spans="1:12" x14ac:dyDescent="0.3">
      <c r="A21" s="97"/>
      <c r="B21" s="4">
        <f t="shared" si="2"/>
        <v>2040</v>
      </c>
      <c r="C21" s="11">
        <v>0.40400000000000003</v>
      </c>
      <c r="D21" s="11">
        <v>0.49</v>
      </c>
      <c r="E21" s="11"/>
      <c r="F21" s="11">
        <v>0.1</v>
      </c>
      <c r="G21" s="11">
        <v>6.0000000000000001E-3</v>
      </c>
      <c r="H21" s="11"/>
      <c r="I21" s="11"/>
      <c r="J21" s="11"/>
      <c r="K21" s="11"/>
      <c r="L21" s="11"/>
    </row>
    <row r="22" spans="1:12" x14ac:dyDescent="0.3">
      <c r="A22" s="97"/>
      <c r="B22" s="4">
        <f t="shared" si="2"/>
        <v>2045</v>
      </c>
      <c r="C22" s="11">
        <v>0.40400000000000003</v>
      </c>
      <c r="D22" s="11">
        <v>0.49</v>
      </c>
      <c r="E22" s="11"/>
      <c r="F22" s="11">
        <v>0.1</v>
      </c>
      <c r="G22" s="11">
        <v>6.0000000000000001E-3</v>
      </c>
      <c r="H22" s="11"/>
      <c r="I22" s="11"/>
      <c r="J22" s="11"/>
      <c r="K22" s="11"/>
      <c r="L22" s="11"/>
    </row>
    <row r="23" spans="1:12" x14ac:dyDescent="0.3">
      <c r="A23" s="97"/>
      <c r="B23" s="4">
        <f t="shared" si="2"/>
        <v>2050</v>
      </c>
      <c r="C23" s="11">
        <v>0.40400000000000003</v>
      </c>
      <c r="D23" s="11">
        <v>0.49</v>
      </c>
      <c r="E23" s="11"/>
      <c r="F23" s="11">
        <v>0.1</v>
      </c>
      <c r="G23" s="11">
        <v>6.0000000000000001E-3</v>
      </c>
      <c r="H23" s="11"/>
      <c r="I23" s="11"/>
      <c r="J23" s="11"/>
      <c r="K23" s="11"/>
      <c r="L23" s="11"/>
    </row>
    <row r="25" spans="1:12" ht="14.55" customHeight="1" x14ac:dyDescent="0.3">
      <c r="A25" s="97" t="s">
        <v>47</v>
      </c>
      <c r="B25" s="1">
        <v>2020</v>
      </c>
      <c r="C25" s="13">
        <f>$B13*C17</f>
        <v>4.3827563972061538</v>
      </c>
      <c r="D25" s="13">
        <f>$B13*D17</f>
        <v>5.6333334843670722</v>
      </c>
      <c r="E25" s="13">
        <f>$B13*E17</f>
        <v>0</v>
      </c>
      <c r="F25" s="13">
        <f>$B13*F17</f>
        <v>1.388255298591478</v>
      </c>
      <c r="G25" s="13">
        <f>$B13*G17</f>
        <v>6.8839105715279902E-2</v>
      </c>
      <c r="H25" s="13"/>
    </row>
    <row r="26" spans="1:12" x14ac:dyDescent="0.3">
      <c r="A26" s="97"/>
      <c r="B26" s="4">
        <f t="shared" ref="B26:B31" si="3">B25+5</f>
        <v>2025</v>
      </c>
      <c r="C26" s="13">
        <f>$C13*C18</f>
        <v>4.6105321229416791</v>
      </c>
      <c r="D26" s="13">
        <f>$C13*D18</f>
        <v>5.7543664282516369</v>
      </c>
      <c r="E26" s="13">
        <f>$C13*E18</f>
        <v>0</v>
      </c>
      <c r="F26" s="13">
        <f>$C13*F18</f>
        <v>1.2963455460179529</v>
      </c>
      <c r="G26" s="13">
        <f>$C13*G18</f>
        <v>7.0389803403689749E-2</v>
      </c>
      <c r="H26" s="13"/>
    </row>
    <row r="27" spans="1:12" x14ac:dyDescent="0.3">
      <c r="A27" s="97"/>
      <c r="B27" s="4">
        <f t="shared" si="3"/>
        <v>2030</v>
      </c>
      <c r="C27" s="13">
        <f>$D13*C19</f>
        <v>4.8448842605345313</v>
      </c>
      <c r="D27" s="13">
        <f>$D13*D19</f>
        <v>5.8762210090641585</v>
      </c>
      <c r="E27" s="13">
        <f>$D13*E19</f>
        <v>0</v>
      </c>
      <c r="F27" s="13">
        <f>$D13*F19</f>
        <v>1.1992287773600325</v>
      </c>
      <c r="G27" s="13">
        <f>$D13*G19</f>
        <v>7.1953726641601948E-2</v>
      </c>
      <c r="H27" s="13"/>
    </row>
    <row r="28" spans="1:12" x14ac:dyDescent="0.3">
      <c r="A28" s="97"/>
      <c r="B28" s="4">
        <f t="shared" si="3"/>
        <v>2035</v>
      </c>
      <c r="C28" s="13">
        <f>$E13*C20</f>
        <v>4.9501216152602581</v>
      </c>
      <c r="D28" s="13">
        <f>$E13*D20</f>
        <v>6.003860374944372</v>
      </c>
      <c r="E28" s="13">
        <f>$E13*E20</f>
        <v>0</v>
      </c>
      <c r="F28" s="13">
        <f>$E13*F20</f>
        <v>1.2252776275396677</v>
      </c>
      <c r="G28" s="13">
        <f>$E13*G20</f>
        <v>7.3516657652380066E-2</v>
      </c>
      <c r="H28" s="13"/>
    </row>
    <row r="29" spans="1:12" x14ac:dyDescent="0.3">
      <c r="A29" s="97"/>
      <c r="B29" s="4">
        <f t="shared" si="3"/>
        <v>2040</v>
      </c>
      <c r="C29" s="13">
        <f>$F13*C21</f>
        <v>5.0562190988812512</v>
      </c>
      <c r="D29" s="13">
        <f>$F13*D21</f>
        <v>6.1325429664648832</v>
      </c>
      <c r="E29" s="13">
        <f>$F13*E21</f>
        <v>0</v>
      </c>
      <c r="F29" s="13">
        <f>$F13*F21</f>
        <v>1.2515393809112008</v>
      </c>
      <c r="G29" s="13">
        <f>$F13*G21</f>
        <v>7.5092362854672051E-2</v>
      </c>
      <c r="H29" s="13"/>
    </row>
    <row r="30" spans="1:12" x14ac:dyDescent="0.3">
      <c r="A30" s="97"/>
      <c r="B30" s="4">
        <f t="shared" si="3"/>
        <v>2045</v>
      </c>
      <c r="C30" s="13">
        <f>$G13*C22</f>
        <v>5.109015567264735</v>
      </c>
      <c r="D30" s="13">
        <f>$G13*D22</f>
        <v>6.19657828702901</v>
      </c>
      <c r="E30" s="13">
        <f>$G13*E22</f>
        <v>0</v>
      </c>
      <c r="F30" s="13">
        <f>$G13*F22</f>
        <v>1.2646078136793899</v>
      </c>
      <c r="G30" s="13">
        <f>$G13*G22</f>
        <v>7.587646882076339E-2</v>
      </c>
      <c r="H30" s="13"/>
    </row>
    <row r="31" spans="1:12" x14ac:dyDescent="0.3">
      <c r="A31" s="97"/>
      <c r="B31" s="4">
        <f t="shared" si="3"/>
        <v>2050</v>
      </c>
      <c r="C31" s="13">
        <f>$H13*C23</f>
        <v>5.1610056678009402</v>
      </c>
      <c r="D31" s="13">
        <f>$H13*D23</f>
        <v>6.2596355871843086</v>
      </c>
      <c r="E31" s="13">
        <f>$H13*E23</f>
        <v>0</v>
      </c>
      <c r="F31" s="13">
        <f>$H13*F23</f>
        <v>1.2774766504457773</v>
      </c>
      <c r="G31" s="13">
        <f>$H13*G23</f>
        <v>7.6648599026746644E-2</v>
      </c>
      <c r="H31" s="13"/>
    </row>
  </sheetData>
  <mergeCells count="3">
    <mergeCell ref="B7:C7"/>
    <mergeCell ref="A17:A23"/>
    <mergeCell ref="A25:A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70" zoomScaleNormal="70" workbookViewId="0">
      <selection activeCell="I30" sqref="I30"/>
    </sheetView>
  </sheetViews>
  <sheetFormatPr baseColWidth="10" defaultColWidth="8.77734375" defaultRowHeight="14.4" x14ac:dyDescent="0.3"/>
  <cols>
    <col min="1" max="1" width="22.77734375" customWidth="1"/>
    <col min="2" max="1016" width="10.44140625" customWidth="1"/>
  </cols>
  <sheetData>
    <row r="1" spans="1:8" x14ac:dyDescent="0.3">
      <c r="A1" t="s">
        <v>10</v>
      </c>
      <c r="B1" t="s">
        <v>11</v>
      </c>
    </row>
    <row r="2" spans="1:8" x14ac:dyDescent="0.3">
      <c r="A2" t="s">
        <v>12</v>
      </c>
      <c r="B2" t="s">
        <v>70</v>
      </c>
    </row>
    <row r="3" spans="1:8" x14ac:dyDescent="0.3">
      <c r="A3" t="s">
        <v>14</v>
      </c>
      <c r="B3" t="s">
        <v>1</v>
      </c>
    </row>
    <row r="4" spans="1:8" x14ac:dyDescent="0.3">
      <c r="A4" t="s">
        <v>15</v>
      </c>
      <c r="B4" t="s">
        <v>16</v>
      </c>
    </row>
    <row r="5" spans="1:8" x14ac:dyDescent="0.3">
      <c r="A5" t="s">
        <v>17</v>
      </c>
      <c r="B5" t="s">
        <v>18</v>
      </c>
    </row>
    <row r="7" spans="1:8" ht="21" x14ac:dyDescent="0.4">
      <c r="B7" s="96" t="s">
        <v>19</v>
      </c>
      <c r="C7" s="96"/>
    </row>
    <row r="11" spans="1:8" x14ac:dyDescent="0.3">
      <c r="B11" s="24">
        <v>2020</v>
      </c>
      <c r="C11" s="24">
        <f t="shared" ref="C11:H11" si="0">B11+5</f>
        <v>2025</v>
      </c>
      <c r="D11" s="24">
        <f t="shared" si="0"/>
        <v>2030</v>
      </c>
      <c r="E11" s="24">
        <f t="shared" si="0"/>
        <v>2035</v>
      </c>
      <c r="F11" s="24">
        <f t="shared" si="0"/>
        <v>2040</v>
      </c>
      <c r="G11" s="24">
        <f t="shared" si="0"/>
        <v>2045</v>
      </c>
      <c r="H11" s="24">
        <f t="shared" si="0"/>
        <v>2050</v>
      </c>
    </row>
    <row r="12" spans="1:8" x14ac:dyDescent="0.3">
      <c r="A12" s="4" t="s">
        <v>78</v>
      </c>
      <c r="B12" s="24">
        <v>71.7</v>
      </c>
      <c r="C12" s="26">
        <v>71.102500000000006</v>
      </c>
      <c r="D12" s="26">
        <v>70.504999999999995</v>
      </c>
      <c r="E12" s="26">
        <v>69.907499999999999</v>
      </c>
      <c r="F12" s="26">
        <v>69.31</v>
      </c>
      <c r="G12" s="26">
        <v>68.712500000000006</v>
      </c>
      <c r="H12" s="26">
        <v>68.114999999999995</v>
      </c>
    </row>
    <row r="13" spans="1:8" x14ac:dyDescent="0.3">
      <c r="A13" s="6" t="s">
        <v>72</v>
      </c>
      <c r="B13" s="45">
        <v>1006.4196741999987</v>
      </c>
      <c r="C13" s="45">
        <v>1012.220353806295</v>
      </c>
      <c r="D13" s="45">
        <v>1018.0210334125914</v>
      </c>
      <c r="E13" s="45">
        <v>1023.6237489888617</v>
      </c>
      <c r="F13" s="45">
        <v>1029.2264645651321</v>
      </c>
      <c r="G13" s="45">
        <v>1023.9739382019351</v>
      </c>
      <c r="H13" s="45">
        <v>1018.7214118387379</v>
      </c>
    </row>
    <row r="15" spans="1:8" x14ac:dyDescent="0.3">
      <c r="A15" s="8" t="s">
        <v>23</v>
      </c>
      <c r="B15" s="9">
        <f t="shared" ref="B15:H15" si="1">B13*B12/1000</f>
        <v>72.160290640139905</v>
      </c>
      <c r="C15" s="9">
        <f t="shared" si="1"/>
        <v>71.971397706512093</v>
      </c>
      <c r="D15" s="9">
        <f t="shared" si="1"/>
        <v>71.775572960754758</v>
      </c>
      <c r="E15" s="9">
        <f t="shared" si="1"/>
        <v>71.558977232438849</v>
      </c>
      <c r="F15" s="9">
        <f t="shared" si="1"/>
        <v>71.335686259009307</v>
      </c>
      <c r="G15" s="9">
        <f t="shared" si="1"/>
        <v>70.35980922870047</v>
      </c>
      <c r="H15" s="9">
        <f t="shared" si="1"/>
        <v>69.390208967395637</v>
      </c>
    </row>
  </sheetData>
  <mergeCells count="1">
    <mergeCell ref="B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55" zoomScaleNormal="55" workbookViewId="0">
      <selection activeCell="M41" sqref="M41"/>
    </sheetView>
  </sheetViews>
  <sheetFormatPr baseColWidth="10" defaultColWidth="8.77734375" defaultRowHeight="14.4" x14ac:dyDescent="0.3"/>
  <cols>
    <col min="1" max="1" width="22.21875" customWidth="1"/>
    <col min="2" max="2" width="13.21875" customWidth="1"/>
    <col min="3" max="5" width="8.77734375" customWidth="1"/>
    <col min="6" max="6" width="9.77734375" customWidth="1"/>
    <col min="7" max="1014" width="8.77734375" customWidth="1"/>
  </cols>
  <sheetData>
    <row r="1" spans="1:10" x14ac:dyDescent="0.3">
      <c r="A1" t="s">
        <v>10</v>
      </c>
      <c r="B1" t="s">
        <v>11</v>
      </c>
    </row>
    <row r="2" spans="1:10" x14ac:dyDescent="0.3">
      <c r="A2" t="s">
        <v>12</v>
      </c>
      <c r="B2" t="s">
        <v>70</v>
      </c>
    </row>
    <row r="3" spans="1:10" x14ac:dyDescent="0.3">
      <c r="A3" t="s">
        <v>14</v>
      </c>
      <c r="B3" t="s">
        <v>1</v>
      </c>
    </row>
    <row r="4" spans="1:10" x14ac:dyDescent="0.3">
      <c r="A4" t="s">
        <v>15</v>
      </c>
      <c r="B4" t="s">
        <v>16</v>
      </c>
    </row>
    <row r="5" spans="1:10" x14ac:dyDescent="0.3">
      <c r="A5" t="s">
        <v>17</v>
      </c>
      <c r="B5" t="s">
        <v>18</v>
      </c>
    </row>
    <row r="7" spans="1:10" ht="21" x14ac:dyDescent="0.4">
      <c r="B7" s="96" t="s">
        <v>19</v>
      </c>
      <c r="C7" s="96"/>
    </row>
    <row r="9" spans="1:10" x14ac:dyDescent="0.3">
      <c r="B9" t="s">
        <v>79</v>
      </c>
    </row>
    <row r="11" spans="1:10" x14ac:dyDescent="0.3">
      <c r="B11" s="30" t="s">
        <v>52</v>
      </c>
      <c r="C11" s="31"/>
      <c r="D11" s="32">
        <v>2006</v>
      </c>
      <c r="E11" s="32">
        <v>2015</v>
      </c>
      <c r="F11" s="32">
        <v>2020</v>
      </c>
      <c r="G11" s="32">
        <v>2030</v>
      </c>
      <c r="H11" s="32">
        <v>2040</v>
      </c>
      <c r="I11" s="33">
        <v>2050</v>
      </c>
    </row>
    <row r="12" spans="1:10" x14ac:dyDescent="0.3">
      <c r="B12" s="34" t="s">
        <v>53</v>
      </c>
      <c r="C12" s="35"/>
      <c r="D12" s="36"/>
      <c r="E12" s="36"/>
      <c r="F12" s="36">
        <v>3.19248740869187</v>
      </c>
      <c r="G12" s="36">
        <v>3.7012509422540707</v>
      </c>
      <c r="H12" s="36">
        <v>4.5388456863932838</v>
      </c>
      <c r="I12" s="46">
        <v>5.8188178236632151</v>
      </c>
      <c r="J12" t="s">
        <v>80</v>
      </c>
    </row>
    <row r="13" spans="1:10" x14ac:dyDescent="0.3">
      <c r="B13" s="37" t="s">
        <v>54</v>
      </c>
      <c r="C13" s="38"/>
      <c r="D13" s="39"/>
      <c r="E13" s="39"/>
      <c r="F13" s="39">
        <v>0.90642131916452451</v>
      </c>
      <c r="G13" s="39">
        <v>1.1219830606989232</v>
      </c>
      <c r="H13" s="39">
        <v>1.5907874520846512</v>
      </c>
      <c r="I13" s="47">
        <v>2.2588052085248229</v>
      </c>
    </row>
    <row r="14" spans="1:10" x14ac:dyDescent="0.3">
      <c r="B14" s="34" t="s">
        <v>55</v>
      </c>
      <c r="C14" s="35"/>
      <c r="D14" s="36"/>
      <c r="E14" s="36"/>
      <c r="F14" s="36">
        <v>1.3712899722102905</v>
      </c>
      <c r="G14" s="36">
        <v>1.6506573519178986</v>
      </c>
      <c r="H14" s="36">
        <v>2.2783613217068468</v>
      </c>
      <c r="I14" s="46">
        <v>3.1627998799152346</v>
      </c>
    </row>
    <row r="15" spans="1:10" x14ac:dyDescent="0.3">
      <c r="B15" s="37" t="s">
        <v>56</v>
      </c>
      <c r="C15" s="38"/>
      <c r="D15" s="39"/>
      <c r="E15" s="39"/>
      <c r="F15" s="39">
        <v>0.1714143473755961</v>
      </c>
      <c r="G15" s="39">
        <v>0.21185355381548712</v>
      </c>
      <c r="H15" s="39">
        <v>0.30168489051731517</v>
      </c>
      <c r="I15" s="47">
        <v>0.46800067361955783</v>
      </c>
    </row>
    <row r="16" spans="1:10" x14ac:dyDescent="0.3">
      <c r="B16" s="34" t="s">
        <v>57</v>
      </c>
      <c r="C16" s="35"/>
      <c r="D16" s="36"/>
      <c r="E16" s="36"/>
      <c r="F16" s="36">
        <v>0.97008721791894292</v>
      </c>
      <c r="G16" s="36">
        <v>1.1682611182638962</v>
      </c>
      <c r="H16" s="36">
        <v>1.528401735355162</v>
      </c>
      <c r="I16" s="46">
        <v>2.1431920214697655</v>
      </c>
    </row>
    <row r="17" spans="2:9" x14ac:dyDescent="0.3">
      <c r="B17" s="37" t="s">
        <v>58</v>
      </c>
      <c r="C17" s="38"/>
      <c r="D17" s="39"/>
      <c r="E17" s="39"/>
      <c r="F17" s="39">
        <v>1.1908877510776446</v>
      </c>
      <c r="G17" s="39">
        <v>1.421496199448296</v>
      </c>
      <c r="H17" s="39">
        <v>1.9580654465611853</v>
      </c>
      <c r="I17" s="47">
        <v>2.7110076629395188</v>
      </c>
    </row>
    <row r="18" spans="2:9" x14ac:dyDescent="0.3">
      <c r="B18" s="34" t="s">
        <v>59</v>
      </c>
      <c r="C18" s="35"/>
      <c r="D18" s="36"/>
      <c r="E18" s="36"/>
      <c r="F18" s="36">
        <v>0.36110142911649884</v>
      </c>
      <c r="G18" s="36">
        <v>0.42632579143685012</v>
      </c>
      <c r="H18" s="36">
        <v>0.55321079790990946</v>
      </c>
      <c r="I18" s="46">
        <v>0.69518946018569572</v>
      </c>
    </row>
    <row r="19" spans="2:9" x14ac:dyDescent="0.3">
      <c r="B19" s="37" t="s">
        <v>60</v>
      </c>
      <c r="C19" s="38"/>
      <c r="D19" s="39"/>
      <c r="E19" s="39"/>
      <c r="F19" s="39">
        <v>2.2967304223455329</v>
      </c>
      <c r="G19" s="39">
        <v>2.742164537990984</v>
      </c>
      <c r="H19" s="39">
        <v>3.5601918964213954</v>
      </c>
      <c r="I19" s="47">
        <v>4.2111390160982527</v>
      </c>
    </row>
    <row r="20" spans="2:9" x14ac:dyDescent="0.3">
      <c r="B20" s="34" t="s">
        <v>61</v>
      </c>
      <c r="C20" s="35"/>
      <c r="D20" s="36"/>
      <c r="E20" s="36"/>
      <c r="F20" s="36">
        <v>0.21097527959120022</v>
      </c>
      <c r="G20" s="36">
        <v>0.19671906571240474</v>
      </c>
      <c r="H20" s="36">
        <v>0.22652737869154296</v>
      </c>
      <c r="I20" s="46">
        <v>0.26108457378643696</v>
      </c>
    </row>
    <row r="21" spans="2:9" x14ac:dyDescent="0.3">
      <c r="B21" s="37" t="s">
        <v>62</v>
      </c>
      <c r="C21" s="38"/>
      <c r="D21" s="39"/>
      <c r="E21" s="39"/>
      <c r="F21" s="39">
        <v>0.20162401689799292</v>
      </c>
      <c r="G21" s="39">
        <v>0.18834164357518612</v>
      </c>
      <c r="H21" s="39">
        <v>0.21727417487237202</v>
      </c>
      <c r="I21" s="47">
        <v>0.25086281562425317</v>
      </c>
    </row>
    <row r="22" spans="2:9" x14ac:dyDescent="0.3">
      <c r="B22" s="34" t="s">
        <v>63</v>
      </c>
      <c r="C22" s="35"/>
      <c r="D22" s="36"/>
      <c r="E22" s="36"/>
      <c r="F22" s="36">
        <v>0.1477063433194972</v>
      </c>
      <c r="G22" s="36">
        <v>0.13672587792240248</v>
      </c>
      <c r="H22" s="36">
        <v>0.15620801865485309</v>
      </c>
      <c r="I22" s="46">
        <v>0.17866323008920473</v>
      </c>
    </row>
    <row r="23" spans="2:9" x14ac:dyDescent="0.3">
      <c r="B23" s="37" t="s">
        <v>64</v>
      </c>
      <c r="C23" s="38"/>
      <c r="D23" s="39"/>
      <c r="E23" s="39"/>
      <c r="F23" s="39">
        <v>3.2094865616157889E-2</v>
      </c>
      <c r="G23" s="39">
        <v>3.0006335467055393E-2</v>
      </c>
      <c r="H23" s="39">
        <v>3.4654506909697014E-2</v>
      </c>
      <c r="I23" s="47">
        <v>4.0115681500898261E-2</v>
      </c>
    </row>
    <row r="24" spans="2:9" ht="15" thickBot="1" x14ac:dyDescent="0.35">
      <c r="B24" s="40" t="s">
        <v>65</v>
      </c>
      <c r="C24" s="41"/>
      <c r="D24" s="42"/>
      <c r="E24" s="42"/>
      <c r="F24" s="36">
        <v>0.44960618397765512</v>
      </c>
      <c r="G24" s="36">
        <v>0.41985305068738149</v>
      </c>
      <c r="H24" s="36">
        <v>0.48444694798897947</v>
      </c>
      <c r="I24" s="46">
        <v>0.55986841019279876</v>
      </c>
    </row>
    <row r="25" spans="2:9" ht="15" thickBot="1" x14ac:dyDescent="0.35">
      <c r="B25" s="100" t="s">
        <v>66</v>
      </c>
      <c r="C25" s="100"/>
      <c r="D25" s="43"/>
      <c r="E25" s="43"/>
      <c r="F25" s="43">
        <v>11.502426557303403</v>
      </c>
      <c r="G25" s="43">
        <v>13.415638529190833</v>
      </c>
      <c r="H25" s="43">
        <v>17.428660254067189</v>
      </c>
      <c r="I25" s="43">
        <v>22.759546457609648</v>
      </c>
    </row>
    <row r="29" spans="2:9" x14ac:dyDescent="0.3">
      <c r="B29" t="s">
        <v>67</v>
      </c>
      <c r="D29">
        <v>2020</v>
      </c>
      <c r="E29">
        <v>2030</v>
      </c>
      <c r="F29">
        <v>2040</v>
      </c>
      <c r="G29">
        <v>2050</v>
      </c>
    </row>
    <row r="30" spans="2:9" x14ac:dyDescent="0.3">
      <c r="B30" t="s">
        <v>68</v>
      </c>
      <c r="D30" s="44">
        <f>SUM(F12:F19)</f>
        <v>10.460419867900901</v>
      </c>
      <c r="E30" s="44">
        <f>SUM(G12:G19)</f>
        <v>12.443992555826405</v>
      </c>
      <c r="F30" s="44">
        <f>SUM(H12:H19)</f>
        <v>16.309549226949748</v>
      </c>
      <c r="G30" s="44">
        <f>SUM(I12:I19)</f>
        <v>21.46895174641606</v>
      </c>
    </row>
    <row r="31" spans="2:9" x14ac:dyDescent="0.3">
      <c r="B31" t="s">
        <v>69</v>
      </c>
      <c r="D31" s="44">
        <f>SUM(F20:F24)</f>
        <v>1.0420066894025033</v>
      </c>
      <c r="E31" s="44">
        <f>SUM(G20:G24)</f>
        <v>0.97164597336443026</v>
      </c>
      <c r="F31" s="44">
        <f>SUM(H20:H24)</f>
        <v>1.1191110271174445</v>
      </c>
      <c r="G31" s="44">
        <f>SUM(I20:I24)</f>
        <v>1.2905947111935918</v>
      </c>
    </row>
    <row r="33" spans="1:7" s="48" customFormat="1" ht="42.75" customHeight="1" x14ac:dyDescent="0.3">
      <c r="B33" s="49" t="s">
        <v>81</v>
      </c>
      <c r="C33" s="50"/>
      <c r="D33" s="51">
        <f>D30*D45</f>
        <v>10.478636942541449</v>
      </c>
      <c r="E33" s="51">
        <f>E30*E45</f>
        <v>11.945143363989255</v>
      </c>
      <c r="F33" s="51">
        <f>F30*F45</f>
        <v>15.449121844204825</v>
      </c>
      <c r="G33" s="51">
        <f>G30*G45</f>
        <v>20.229899691268248</v>
      </c>
    </row>
    <row r="39" spans="1:7" x14ac:dyDescent="0.3">
      <c r="B39" s="48" t="s">
        <v>82</v>
      </c>
      <c r="C39" s="52"/>
    </row>
    <row r="41" spans="1:7" x14ac:dyDescent="0.3">
      <c r="B41" s="53" t="s">
        <v>83</v>
      </c>
      <c r="C41" s="54"/>
      <c r="D41" s="54"/>
      <c r="E41" s="54"/>
      <c r="F41" s="54"/>
      <c r="G41" s="54"/>
    </row>
    <row r="42" spans="1:7" ht="24" x14ac:dyDescent="0.3">
      <c r="B42" s="55" t="s">
        <v>84</v>
      </c>
      <c r="C42" s="56">
        <v>2015</v>
      </c>
      <c r="D42" s="56" t="s">
        <v>85</v>
      </c>
      <c r="E42" s="56">
        <v>2030</v>
      </c>
      <c r="F42" s="56">
        <v>2040</v>
      </c>
      <c r="G42" s="57">
        <v>2050</v>
      </c>
    </row>
    <row r="43" spans="1:7" x14ac:dyDescent="0.3">
      <c r="A43" t="s">
        <v>86</v>
      </c>
      <c r="B43" s="58" t="s">
        <v>87</v>
      </c>
      <c r="C43" s="59" t="s">
        <v>88</v>
      </c>
      <c r="D43" s="60">
        <v>1004670.01702677</v>
      </c>
      <c r="E43" s="60">
        <v>1071507.77834981</v>
      </c>
      <c r="F43" s="60">
        <v>1123545.9175440399</v>
      </c>
      <c r="G43" s="61">
        <v>1171399.36230623</v>
      </c>
    </row>
    <row r="44" spans="1:7" x14ac:dyDescent="0.3">
      <c r="A44" t="s">
        <v>89</v>
      </c>
      <c r="B44" s="58" t="s">
        <v>87</v>
      </c>
      <c r="C44" s="59" t="s">
        <v>88</v>
      </c>
      <c r="D44" s="60">
        <f>1006.4196742031*1000</f>
        <v>1006419.6742031</v>
      </c>
      <c r="E44" s="60">
        <f>1028.5536551551*1000</f>
        <v>1028553.6551550999</v>
      </c>
      <c r="F44" s="60">
        <f>1064.2720737502*1000</f>
        <v>1064272.0737502</v>
      </c>
      <c r="G44" s="61">
        <f>1103.7936028631*1000</f>
        <v>1103793.6028630999</v>
      </c>
    </row>
    <row r="45" spans="1:7" x14ac:dyDescent="0.3">
      <c r="A45" t="s">
        <v>90</v>
      </c>
      <c r="B45" s="58" t="s">
        <v>87</v>
      </c>
      <c r="C45" s="59" t="s">
        <v>88</v>
      </c>
      <c r="D45" s="62">
        <f>D44/D43</f>
        <v>1.0017415242285301</v>
      </c>
      <c r="E45" s="62">
        <f>E44/E43</f>
        <v>0.95991244854903224</v>
      </c>
      <c r="F45" s="62">
        <f>F44/F43</f>
        <v>0.94724395072040612</v>
      </c>
      <c r="G45" s="62">
        <f>G44/G43</f>
        <v>0.94228632726073103</v>
      </c>
    </row>
  </sheetData>
  <mergeCells count="2">
    <mergeCell ref="B7:C7"/>
    <mergeCell ref="B25:C2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Totaux</vt:lpstr>
      <vt:lpstr>R_ECS</vt:lpstr>
      <vt:lpstr>R_cuisson</vt:lpstr>
      <vt:lpstr>R_Elec spé</vt:lpstr>
      <vt:lpstr>R_climatisation</vt:lpstr>
      <vt:lpstr>T_ECS</vt:lpstr>
      <vt:lpstr>T_cuisson</vt:lpstr>
      <vt:lpstr>T_Elec spé</vt:lpstr>
      <vt:lpstr>T_climatisation</vt:lpstr>
      <vt:lpstr>T_Hors CEREN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CHAIGNEAU Yanis</cp:lastModifiedBy>
  <cp:revision>1</cp:revision>
  <dcterms:created xsi:type="dcterms:W3CDTF">2022-06-17T19:06:42Z</dcterms:created>
  <dcterms:modified xsi:type="dcterms:W3CDTF">2023-03-02T14:56:21Z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