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00 - Docs essentiels RUN2 AME\Pour RESANA\002_Bâtiments\"/>
    </mc:Choice>
  </mc:AlternateContent>
  <bookViews>
    <workbookView xWindow="0" yWindow="0" windowWidth="23040" windowHeight="8616" tabRatio="979" activeTab="1"/>
  </bookViews>
  <sheets>
    <sheet name="Suivi" sheetId="12" r:id="rId1"/>
    <sheet name="Construction neuve rési" sheetId="1" r:id="rId2"/>
    <sheet name="parc résidentiel" sheetId="2" r:id="rId3"/>
    <sheet name="Résidentiel existant" sheetId="3" r:id="rId4"/>
    <sheet name="Résidentiel hors chauffage" sheetId="4" r:id="rId5"/>
    <sheet name="Construction et parc tertiaire" sheetId="5" r:id="rId6"/>
    <sheet name="Tertiaire existant" sheetId="6" r:id="rId7"/>
    <sheet name="Tertiaire hors chauffage" sheetId="7" r:id="rId8"/>
    <sheet name="Hors CEREN" sheetId="8" r:id="rId9"/>
    <sheet name="Climatisation" sheetId="9" r:id="rId10"/>
    <sheet name="parc rési détail AME" sheetId="10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8" i="1" l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W69" i="1"/>
  <c r="R69" i="1" s="1"/>
  <c r="W70" i="1"/>
  <c r="R70" i="1" s="1"/>
  <c r="AB70" i="1"/>
  <c r="W71" i="1"/>
  <c r="R71" i="1" s="1"/>
  <c r="AB71" i="1"/>
  <c r="W72" i="1"/>
  <c r="AB72" i="1" s="1"/>
  <c r="R72" i="1" l="1"/>
  <c r="AB69" i="1"/>
  <c r="AB18" i="1"/>
  <c r="R18" i="1"/>
  <c r="H18" i="1"/>
  <c r="E29" i="2" l="1"/>
  <c r="D7" i="2"/>
  <c r="F6" i="2"/>
  <c r="P89" i="10" l="1"/>
  <c r="N89" i="10"/>
  <c r="N92" i="10" s="1"/>
  <c r="L89" i="10"/>
  <c r="L90" i="10" s="1"/>
  <c r="I89" i="10"/>
  <c r="I103" i="10" s="1"/>
  <c r="E89" i="10"/>
  <c r="F89" i="10" s="1"/>
  <c r="F90" i="10" s="1"/>
  <c r="W31" i="10"/>
  <c r="V31" i="10"/>
  <c r="W30" i="10"/>
  <c r="U30" i="10"/>
  <c r="T30" i="10"/>
  <c r="V29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X42" i="8"/>
  <c r="W42" i="8"/>
  <c r="V42" i="8"/>
  <c r="U42" i="8"/>
  <c r="T42" i="8"/>
  <c r="S42" i="8"/>
  <c r="R42" i="8"/>
  <c r="Q42" i="8"/>
  <c r="S33" i="8"/>
  <c r="T33" i="8" s="1"/>
  <c r="U33" i="8" s="1"/>
  <c r="V33" i="8" s="1"/>
  <c r="W33" i="8" s="1"/>
  <c r="X33" i="8" s="1"/>
  <c r="B27" i="8"/>
  <c r="B26" i="8"/>
  <c r="F26" i="8" s="1"/>
  <c r="B25" i="8"/>
  <c r="B24" i="8"/>
  <c r="F24" i="8" s="1"/>
  <c r="H23" i="8"/>
  <c r="B23" i="8"/>
  <c r="D23" i="8" s="1"/>
  <c r="F23" i="8" s="1"/>
  <c r="G23" i="8" s="1"/>
  <c r="H22" i="8"/>
  <c r="B22" i="8"/>
  <c r="C22" i="8" s="1"/>
  <c r="F21" i="8"/>
  <c r="E21" i="8" s="1"/>
  <c r="B21" i="8"/>
  <c r="C20" i="8"/>
  <c r="D20" i="8" s="1"/>
  <c r="E20" i="8" s="1"/>
  <c r="F20" i="8" s="1"/>
  <c r="G20" i="8" s="1"/>
  <c r="H20" i="8" s="1"/>
  <c r="G56" i="7"/>
  <c r="G57" i="7" s="1"/>
  <c r="F56" i="7"/>
  <c r="F55" i="7" s="1"/>
  <c r="D56" i="7"/>
  <c r="D55" i="7" s="1"/>
  <c r="C56" i="7"/>
  <c r="C57" i="7" s="1"/>
  <c r="G53" i="7"/>
  <c r="F53" i="7"/>
  <c r="D53" i="7"/>
  <c r="C53" i="7"/>
  <c r="B53" i="7"/>
  <c r="B54" i="7" s="1"/>
  <c r="B55" i="7" s="1"/>
  <c r="B56" i="7" s="1"/>
  <c r="B57" i="7" s="1"/>
  <c r="B58" i="7" s="1"/>
  <c r="H49" i="7"/>
  <c r="H50" i="7" s="1"/>
  <c r="G49" i="7"/>
  <c r="G48" i="7" s="1"/>
  <c r="F49" i="7"/>
  <c r="F48" i="7" s="1"/>
  <c r="D49" i="7"/>
  <c r="D50" i="7" s="1"/>
  <c r="C49" i="7"/>
  <c r="C48" i="7" s="1"/>
  <c r="H46" i="7"/>
  <c r="G46" i="7"/>
  <c r="F46" i="7"/>
  <c r="D46" i="7"/>
  <c r="C46" i="7"/>
  <c r="B46" i="7"/>
  <c r="B47" i="7" s="1"/>
  <c r="B48" i="7" s="1"/>
  <c r="B49" i="7" s="1"/>
  <c r="B50" i="7" s="1"/>
  <c r="B51" i="7" s="1"/>
  <c r="X18" i="7"/>
  <c r="Y18" i="7" s="1"/>
  <c r="Z18" i="7" s="1"/>
  <c r="AA18" i="7" s="1"/>
  <c r="AB18" i="7" s="1"/>
  <c r="AC18" i="7" s="1"/>
  <c r="E18" i="7"/>
  <c r="F18" i="7" s="1"/>
  <c r="I15" i="7"/>
  <c r="D15" i="7" s="1"/>
  <c r="E15" i="7" s="1"/>
  <c r="F15" i="7" s="1"/>
  <c r="G15" i="7" s="1"/>
  <c r="H15" i="7" s="1"/>
  <c r="I14" i="7"/>
  <c r="D14" i="7"/>
  <c r="E14" i="7" s="1"/>
  <c r="F14" i="7" s="1"/>
  <c r="G14" i="7" s="1"/>
  <c r="H14" i="7" s="1"/>
  <c r="I13" i="7"/>
  <c r="G13" i="7" s="1"/>
  <c r="D12" i="7"/>
  <c r="E12" i="7" s="1"/>
  <c r="F12" i="7" s="1"/>
  <c r="G12" i="7" s="1"/>
  <c r="H12" i="7" s="1"/>
  <c r="I12" i="7" s="1"/>
  <c r="H45" i="6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W45" i="6" s="1"/>
  <c r="X45" i="6" s="1"/>
  <c r="Y45" i="6" s="1"/>
  <c r="Z45" i="6" s="1"/>
  <c r="AA45" i="6" s="1"/>
  <c r="AB45" i="6" s="1"/>
  <c r="AC45" i="6" s="1"/>
  <c r="AD45" i="6" s="1"/>
  <c r="AE45" i="6" s="1"/>
  <c r="AF45" i="6" s="1"/>
  <c r="AG45" i="6" s="1"/>
  <c r="AH45" i="6" s="1"/>
  <c r="Q56" i="5"/>
  <c r="P56" i="5"/>
  <c r="O56" i="5"/>
  <c r="N56" i="5"/>
  <c r="M56" i="5"/>
  <c r="M57" i="5" s="1"/>
  <c r="G56" i="5"/>
  <c r="F56" i="5"/>
  <c r="E56" i="5"/>
  <c r="D56" i="5"/>
  <c r="C56" i="5"/>
  <c r="C57" i="5" s="1"/>
  <c r="C58" i="5" s="1"/>
  <c r="AC55" i="5"/>
  <c r="AD55" i="5" s="1"/>
  <c r="AE55" i="5" s="1"/>
  <c r="AF55" i="5" s="1"/>
  <c r="X55" i="5"/>
  <c r="Y55" i="5" s="1"/>
  <c r="Z55" i="5" s="1"/>
  <c r="AA55" i="5" s="1"/>
  <c r="S55" i="5"/>
  <c r="T55" i="5" s="1"/>
  <c r="U55" i="5" s="1"/>
  <c r="V55" i="5" s="1"/>
  <c r="N55" i="5"/>
  <c r="O55" i="5" s="1"/>
  <c r="P55" i="5" s="1"/>
  <c r="Q55" i="5" s="1"/>
  <c r="I55" i="5"/>
  <c r="J55" i="5" s="1"/>
  <c r="K55" i="5" s="1"/>
  <c r="L55" i="5" s="1"/>
  <c r="D55" i="5"/>
  <c r="E55" i="5" s="1"/>
  <c r="F55" i="5" s="1"/>
  <c r="G55" i="5" s="1"/>
  <c r="D54" i="5"/>
  <c r="E54" i="5" s="1"/>
  <c r="F54" i="5" s="1"/>
  <c r="G54" i="5" s="1"/>
  <c r="H54" i="5" s="1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AA54" i="5" s="1"/>
  <c r="AB54" i="5" s="1"/>
  <c r="AC54" i="5" s="1"/>
  <c r="AD54" i="5" s="1"/>
  <c r="AE54" i="5" s="1"/>
  <c r="AF54" i="5" s="1"/>
  <c r="AG54" i="5" s="1"/>
  <c r="G67" i="4"/>
  <c r="F67" i="4"/>
  <c r="E67" i="4"/>
  <c r="C67" i="4"/>
  <c r="C66" i="4"/>
  <c r="C65" i="4"/>
  <c r="K64" i="4"/>
  <c r="K65" i="4" s="1"/>
  <c r="K66" i="4" s="1"/>
  <c r="K67" i="4" s="1"/>
  <c r="K68" i="4" s="1"/>
  <c r="K69" i="4" s="1"/>
  <c r="H62" i="4"/>
  <c r="H63" i="4" s="1"/>
  <c r="C62" i="4"/>
  <c r="C63" i="4" s="1"/>
  <c r="K56" i="4"/>
  <c r="K57" i="4" s="1"/>
  <c r="K58" i="4" s="1"/>
  <c r="K59" i="4" s="1"/>
  <c r="K60" i="4" s="1"/>
  <c r="K61" i="4" s="1"/>
  <c r="G56" i="4"/>
  <c r="F56" i="4"/>
  <c r="F62" i="4" s="1"/>
  <c r="F63" i="4" s="1"/>
  <c r="E56" i="4"/>
  <c r="D56" i="4"/>
  <c r="D62" i="4" s="1"/>
  <c r="L51" i="4"/>
  <c r="H49" i="4"/>
  <c r="G49" i="4"/>
  <c r="G48" i="4" s="1"/>
  <c r="C49" i="4"/>
  <c r="C50" i="4" s="1"/>
  <c r="L47" i="4"/>
  <c r="B46" i="4"/>
  <c r="B47" i="4" s="1"/>
  <c r="B48" i="4" s="1"/>
  <c r="B49" i="4" s="1"/>
  <c r="B50" i="4" s="1"/>
  <c r="B51" i="4" s="1"/>
  <c r="H45" i="4"/>
  <c r="H46" i="4" s="1"/>
  <c r="G45" i="4"/>
  <c r="C45" i="4"/>
  <c r="C46" i="4" s="1"/>
  <c r="K42" i="4"/>
  <c r="K43" i="4" s="1"/>
  <c r="I42" i="4"/>
  <c r="I43" i="4" s="1"/>
  <c r="H42" i="4"/>
  <c r="H43" i="4" s="1"/>
  <c r="G42" i="4"/>
  <c r="G43" i="4" s="1"/>
  <c r="E42" i="4"/>
  <c r="E43" i="4" s="1"/>
  <c r="C42" i="4"/>
  <c r="K41" i="4"/>
  <c r="H41" i="4"/>
  <c r="D39" i="4"/>
  <c r="D40" i="4" s="1"/>
  <c r="L40" i="4" s="1"/>
  <c r="C39" i="4"/>
  <c r="B39" i="4"/>
  <c r="B40" i="4" s="1"/>
  <c r="B41" i="4" s="1"/>
  <c r="B42" i="4" s="1"/>
  <c r="B43" i="4" s="1"/>
  <c r="B44" i="4" s="1"/>
  <c r="K38" i="4"/>
  <c r="K39" i="4" s="1"/>
  <c r="I38" i="4"/>
  <c r="I39" i="4" s="1"/>
  <c r="H38" i="4"/>
  <c r="H39" i="4" s="1"/>
  <c r="G38" i="4"/>
  <c r="G39" i="4" s="1"/>
  <c r="E38" i="4"/>
  <c r="E19" i="4"/>
  <c r="F19" i="4" s="1"/>
  <c r="G19" i="4" s="1"/>
  <c r="H19" i="4" s="1"/>
  <c r="I19" i="4" s="1"/>
  <c r="J19" i="4" s="1"/>
  <c r="C16" i="4"/>
  <c r="AD15" i="4"/>
  <c r="AB15" i="4"/>
  <c r="Z15" i="4"/>
  <c r="X15" i="4"/>
  <c r="V15" i="4"/>
  <c r="G15" i="4"/>
  <c r="H15" i="4" s="1"/>
  <c r="C15" i="4"/>
  <c r="D15" i="4" s="1"/>
  <c r="AD14" i="4"/>
  <c r="AB14" i="4"/>
  <c r="Z14" i="4"/>
  <c r="X14" i="4"/>
  <c r="V14" i="4"/>
  <c r="G14" i="4"/>
  <c r="H14" i="4" s="1"/>
  <c r="C14" i="4"/>
  <c r="D14" i="4" s="1"/>
  <c r="AD13" i="4"/>
  <c r="AC13" i="4"/>
  <c r="AB13" i="4"/>
  <c r="AA13" i="4"/>
  <c r="Z13" i="4"/>
  <c r="Y13" i="4"/>
  <c r="X13" i="4"/>
  <c r="W13" i="4"/>
  <c r="V13" i="4"/>
  <c r="U13" i="4"/>
  <c r="G13" i="4"/>
  <c r="H13" i="4" s="1"/>
  <c r="C13" i="4"/>
  <c r="D13" i="4" s="1"/>
  <c r="D12" i="4"/>
  <c r="E12" i="4" s="1"/>
  <c r="F12" i="4" s="1"/>
  <c r="G12" i="4" s="1"/>
  <c r="H12" i="4" s="1"/>
  <c r="I12" i="4" s="1"/>
  <c r="H49" i="3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F48" i="2"/>
  <c r="F47" i="2"/>
  <c r="H45" i="2"/>
  <c r="G45" i="2"/>
  <c r="F45" i="2"/>
  <c r="E45" i="2"/>
  <c r="D45" i="2"/>
  <c r="H44" i="2"/>
  <c r="H43" i="2" s="1"/>
  <c r="G44" i="2"/>
  <c r="F44" i="2"/>
  <c r="F43" i="2" s="1"/>
  <c r="E44" i="2"/>
  <c r="D44" i="2"/>
  <c r="H41" i="2"/>
  <c r="G41" i="2"/>
  <c r="F41" i="2"/>
  <c r="E41" i="2"/>
  <c r="D41" i="2"/>
  <c r="H31" i="2"/>
  <c r="H22" i="2" s="1"/>
  <c r="G31" i="2"/>
  <c r="G22" i="2" s="1"/>
  <c r="F31" i="2"/>
  <c r="F22" i="2" s="1"/>
  <c r="E31" i="2"/>
  <c r="E22" i="2" s="1"/>
  <c r="H29" i="2"/>
  <c r="G29" i="2"/>
  <c r="F29" i="2"/>
  <c r="H28" i="2"/>
  <c r="G28" i="2"/>
  <c r="F28" i="2"/>
  <c r="E28" i="2"/>
  <c r="E11" i="2"/>
  <c r="I48" i="10" s="1"/>
  <c r="D11" i="2"/>
  <c r="E10" i="2"/>
  <c r="D10" i="2"/>
  <c r="E7" i="10" s="1"/>
  <c r="E7" i="2"/>
  <c r="G6" i="2"/>
  <c r="I90" i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D50" i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C40" i="1"/>
  <c r="AD40" i="1" s="1"/>
  <c r="AE40" i="1" s="1"/>
  <c r="AF40" i="1" s="1"/>
  <c r="X40" i="1"/>
  <c r="Y40" i="1" s="1"/>
  <c r="Z40" i="1" s="1"/>
  <c r="AA40" i="1" s="1"/>
  <c r="S40" i="1"/>
  <c r="T40" i="1" s="1"/>
  <c r="U40" i="1" s="1"/>
  <c r="V40" i="1" s="1"/>
  <c r="N40" i="1"/>
  <c r="O40" i="1" s="1"/>
  <c r="P40" i="1" s="1"/>
  <c r="Q40" i="1" s="1"/>
  <c r="I40" i="1"/>
  <c r="J40" i="1" s="1"/>
  <c r="K40" i="1" s="1"/>
  <c r="L40" i="1" s="1"/>
  <c r="D40" i="1"/>
  <c r="E40" i="1" s="1"/>
  <c r="F40" i="1" s="1"/>
  <c r="G40" i="1" s="1"/>
  <c r="D30" i="1"/>
  <c r="E30" i="1" s="1"/>
  <c r="F30" i="1" s="1"/>
  <c r="G30" i="1" s="1"/>
  <c r="H30" i="1" s="1"/>
  <c r="I30" i="1" s="1"/>
  <c r="J30" i="1" s="1"/>
  <c r="AG14" i="1"/>
  <c r="H48" i="2" s="1"/>
  <c r="H14" i="1"/>
  <c r="AG13" i="1"/>
  <c r="H47" i="2" s="1"/>
  <c r="H13" i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G26" i="8" l="1"/>
  <c r="G24" i="8"/>
  <c r="D48" i="7"/>
  <c r="H48" i="7"/>
  <c r="G55" i="7"/>
  <c r="C50" i="7"/>
  <c r="H13" i="7"/>
  <c r="F13" i="7"/>
  <c r="F50" i="7"/>
  <c r="D57" i="7"/>
  <c r="C55" i="7"/>
  <c r="G50" i="4"/>
  <c r="F13" i="4"/>
  <c r="E41" i="4"/>
  <c r="L38" i="4"/>
  <c r="L45" i="4"/>
  <c r="C48" i="4"/>
  <c r="E39" i="4"/>
  <c r="H48" i="4"/>
  <c r="H50" i="4"/>
  <c r="L50" i="4" s="1"/>
  <c r="L49" i="4"/>
  <c r="D43" i="2"/>
  <c r="G43" i="2"/>
  <c r="E39" i="2"/>
  <c r="E43" i="2"/>
  <c r="N93" i="10"/>
  <c r="F10" i="2"/>
  <c r="L7" i="10" s="1"/>
  <c r="N94" i="10"/>
  <c r="D57" i="5"/>
  <c r="D58" i="5" s="1"/>
  <c r="F57" i="5"/>
  <c r="Q57" i="5"/>
  <c r="E57" i="5"/>
  <c r="N57" i="5"/>
  <c r="P57" i="5"/>
  <c r="W13" i="1"/>
  <c r="G47" i="2" s="1"/>
  <c r="E23" i="2"/>
  <c r="F23" i="2"/>
  <c r="F11" i="2" s="1"/>
  <c r="G23" i="2"/>
  <c r="H23" i="2"/>
  <c r="G57" i="5"/>
  <c r="I97" i="10"/>
  <c r="J89" i="10"/>
  <c r="J101" i="10" s="1"/>
  <c r="E100" i="10"/>
  <c r="E96" i="10"/>
  <c r="N90" i="10"/>
  <c r="E114" i="10"/>
  <c r="H6" i="2"/>
  <c r="F38" i="2"/>
  <c r="G10" i="2"/>
  <c r="E23" i="8"/>
  <c r="E29" i="10"/>
  <c r="E27" i="10"/>
  <c r="E25" i="10"/>
  <c r="E23" i="10"/>
  <c r="E21" i="10"/>
  <c r="E19" i="10"/>
  <c r="E17" i="10"/>
  <c r="E15" i="10"/>
  <c r="E13" i="10"/>
  <c r="E11" i="10"/>
  <c r="E9" i="10"/>
  <c r="E45" i="10"/>
  <c r="E43" i="10"/>
  <c r="E41" i="10"/>
  <c r="E39" i="10"/>
  <c r="E37" i="10"/>
  <c r="E35" i="10"/>
  <c r="E33" i="10"/>
  <c r="E30" i="10"/>
  <c r="E31" i="10"/>
  <c r="E28" i="10"/>
  <c r="E26" i="10"/>
  <c r="E24" i="10"/>
  <c r="E22" i="10"/>
  <c r="E20" i="10"/>
  <c r="E18" i="10"/>
  <c r="E16" i="10"/>
  <c r="E14" i="10"/>
  <c r="E12" i="10"/>
  <c r="E10" i="10"/>
  <c r="E8" i="10"/>
  <c r="E46" i="10"/>
  <c r="E44" i="10"/>
  <c r="E42" i="10"/>
  <c r="E40" i="10"/>
  <c r="E38" i="10"/>
  <c r="E36" i="10"/>
  <c r="E34" i="10"/>
  <c r="E32" i="10"/>
  <c r="D41" i="4"/>
  <c r="D42" i="4" s="1"/>
  <c r="D43" i="4" s="1"/>
  <c r="D44" i="4" s="1"/>
  <c r="L44" i="4" s="1"/>
  <c r="G62" i="4"/>
  <c r="G63" i="4" s="1"/>
  <c r="W14" i="1"/>
  <c r="I7" i="10"/>
  <c r="E38" i="2"/>
  <c r="E37" i="2" s="1"/>
  <c r="E35" i="2" s="1"/>
  <c r="D38" i="2"/>
  <c r="D63" i="4"/>
  <c r="O57" i="5"/>
  <c r="C41" i="4"/>
  <c r="C43" i="4"/>
  <c r="L56" i="5"/>
  <c r="L57" i="5" s="1"/>
  <c r="K56" i="5"/>
  <c r="K57" i="5" s="1"/>
  <c r="J56" i="5"/>
  <c r="J57" i="5" s="1"/>
  <c r="I56" i="5"/>
  <c r="I57" i="5" s="1"/>
  <c r="H56" i="5"/>
  <c r="H57" i="5" s="1"/>
  <c r="E48" i="10"/>
  <c r="D39" i="2"/>
  <c r="I86" i="10"/>
  <c r="I84" i="10"/>
  <c r="I82" i="10"/>
  <c r="I80" i="10"/>
  <c r="I78" i="10"/>
  <c r="I76" i="10"/>
  <c r="I74" i="10"/>
  <c r="I72" i="10"/>
  <c r="I70" i="10"/>
  <c r="I68" i="10"/>
  <c r="I66" i="10"/>
  <c r="I64" i="10"/>
  <c r="I62" i="10"/>
  <c r="I60" i="10"/>
  <c r="I58" i="10"/>
  <c r="I87" i="10"/>
  <c r="I85" i="10"/>
  <c r="I83" i="10"/>
  <c r="I81" i="10"/>
  <c r="I79" i="10"/>
  <c r="I77" i="10"/>
  <c r="I75" i="10"/>
  <c r="I73" i="10"/>
  <c r="I71" i="10"/>
  <c r="I69" i="10"/>
  <c r="I67" i="10"/>
  <c r="I65" i="10"/>
  <c r="I63" i="10"/>
  <c r="I61" i="10"/>
  <c r="I59" i="10"/>
  <c r="I57" i="10"/>
  <c r="I55" i="10"/>
  <c r="I54" i="10"/>
  <c r="I53" i="10"/>
  <c r="I52" i="10"/>
  <c r="I56" i="10"/>
  <c r="I51" i="10"/>
  <c r="I50" i="10"/>
  <c r="I49" i="10"/>
  <c r="L39" i="4"/>
  <c r="E62" i="4"/>
  <c r="E63" i="4" s="1"/>
  <c r="F57" i="7"/>
  <c r="F22" i="8"/>
  <c r="F29" i="8" s="1"/>
  <c r="H24" i="8"/>
  <c r="H26" i="8"/>
  <c r="B29" i="8"/>
  <c r="F14" i="4"/>
  <c r="G41" i="4"/>
  <c r="G46" i="4"/>
  <c r="L46" i="4" s="1"/>
  <c r="G50" i="7"/>
  <c r="C27" i="8"/>
  <c r="D27" i="8" s="1"/>
  <c r="E27" i="8" s="1"/>
  <c r="F27" i="8" s="1"/>
  <c r="G27" i="8" s="1"/>
  <c r="H27" i="8" s="1"/>
  <c r="F15" i="4"/>
  <c r="I41" i="4"/>
  <c r="C24" i="8"/>
  <c r="C26" i="8"/>
  <c r="G21" i="8"/>
  <c r="C23" i="8"/>
  <c r="D24" i="8"/>
  <c r="D26" i="8"/>
  <c r="E24" i="8"/>
  <c r="E26" i="8"/>
  <c r="N112" i="10"/>
  <c r="P115" i="10"/>
  <c r="P113" i="10"/>
  <c r="P111" i="10"/>
  <c r="P109" i="10"/>
  <c r="P107" i="10"/>
  <c r="P105" i="10"/>
  <c r="P103" i="10"/>
  <c r="P101" i="10"/>
  <c r="P99" i="10"/>
  <c r="P97" i="10"/>
  <c r="P95" i="10"/>
  <c r="P93" i="10"/>
  <c r="P114" i="10"/>
  <c r="P112" i="10"/>
  <c r="P110" i="10"/>
  <c r="P108" i="10"/>
  <c r="P106" i="10"/>
  <c r="P104" i="10"/>
  <c r="P102" i="10"/>
  <c r="P100" i="10"/>
  <c r="P98" i="10"/>
  <c r="P96" i="10"/>
  <c r="P94" i="10"/>
  <c r="P90" i="10"/>
  <c r="P92" i="10"/>
  <c r="N106" i="10"/>
  <c r="E110" i="10"/>
  <c r="F110" i="10"/>
  <c r="I111" i="10"/>
  <c r="J111" i="10"/>
  <c r="P91" i="10"/>
  <c r="I114" i="10"/>
  <c r="I112" i="10"/>
  <c r="I110" i="10"/>
  <c r="I108" i="10"/>
  <c r="I106" i="10"/>
  <c r="I104" i="10"/>
  <c r="I102" i="10"/>
  <c r="I100" i="10"/>
  <c r="I98" i="10"/>
  <c r="I96" i="10"/>
  <c r="I94" i="10"/>
  <c r="I92" i="10"/>
  <c r="E90" i="10"/>
  <c r="I91" i="10"/>
  <c r="E92" i="10"/>
  <c r="F96" i="10"/>
  <c r="J97" i="10"/>
  <c r="N98" i="10"/>
  <c r="F100" i="10"/>
  <c r="J103" i="10"/>
  <c r="I105" i="10"/>
  <c r="N108" i="10"/>
  <c r="F114" i="10"/>
  <c r="J114" i="10"/>
  <c r="J112" i="10"/>
  <c r="J110" i="10"/>
  <c r="J108" i="10"/>
  <c r="J106" i="10"/>
  <c r="J104" i="10"/>
  <c r="J102" i="10"/>
  <c r="J91" i="10"/>
  <c r="F92" i="10"/>
  <c r="E94" i="10"/>
  <c r="F95" i="10"/>
  <c r="E102" i="10"/>
  <c r="J105" i="10"/>
  <c r="I107" i="10"/>
  <c r="I109" i="10"/>
  <c r="E112" i="10"/>
  <c r="K89" i="10"/>
  <c r="F93" i="10"/>
  <c r="F94" i="10"/>
  <c r="J96" i="10"/>
  <c r="N97" i="10"/>
  <c r="F99" i="10"/>
  <c r="J100" i="10"/>
  <c r="F102" i="10"/>
  <c r="E104" i="10"/>
  <c r="J107" i="10"/>
  <c r="J109" i="10"/>
  <c r="F112" i="10"/>
  <c r="N114" i="10"/>
  <c r="L114" i="10"/>
  <c r="L112" i="10"/>
  <c r="L110" i="10"/>
  <c r="L108" i="10"/>
  <c r="L106" i="10"/>
  <c r="L104" i="10"/>
  <c r="L102" i="10"/>
  <c r="L100" i="10"/>
  <c r="L98" i="10"/>
  <c r="L96" i="10"/>
  <c r="L94" i="10"/>
  <c r="L92" i="10"/>
  <c r="L115" i="10"/>
  <c r="L113" i="10"/>
  <c r="L111" i="10"/>
  <c r="L109" i="10"/>
  <c r="L107" i="10"/>
  <c r="L105" i="10"/>
  <c r="L103" i="10"/>
  <c r="L101" i="10"/>
  <c r="L99" i="10"/>
  <c r="L97" i="10"/>
  <c r="L95" i="10"/>
  <c r="L93" i="10"/>
  <c r="L91" i="10"/>
  <c r="I95" i="10"/>
  <c r="E98" i="10"/>
  <c r="I99" i="10"/>
  <c r="F104" i="10"/>
  <c r="E106" i="10"/>
  <c r="I115" i="10"/>
  <c r="E115" i="10"/>
  <c r="E113" i="10"/>
  <c r="E111" i="10"/>
  <c r="E109" i="10"/>
  <c r="E107" i="10"/>
  <c r="E105" i="10"/>
  <c r="E103" i="10"/>
  <c r="E101" i="10"/>
  <c r="E99" i="10"/>
  <c r="E97" i="10"/>
  <c r="E95" i="10"/>
  <c r="E93" i="10"/>
  <c r="M89" i="10"/>
  <c r="I90" i="10"/>
  <c r="E91" i="10"/>
  <c r="J92" i="10"/>
  <c r="I93" i="10"/>
  <c r="J94" i="10"/>
  <c r="J95" i="10"/>
  <c r="N96" i="10"/>
  <c r="F98" i="10"/>
  <c r="J99" i="10"/>
  <c r="N100" i="10"/>
  <c r="F106" i="10"/>
  <c r="E108" i="10"/>
  <c r="J115" i="10"/>
  <c r="F115" i="10"/>
  <c r="F113" i="10"/>
  <c r="F111" i="10"/>
  <c r="F109" i="10"/>
  <c r="F107" i="10"/>
  <c r="F105" i="10"/>
  <c r="F103" i="10"/>
  <c r="F101" i="10"/>
  <c r="N115" i="10"/>
  <c r="N113" i="10"/>
  <c r="N111" i="10"/>
  <c r="N109" i="10"/>
  <c r="N107" i="10"/>
  <c r="N105" i="10"/>
  <c r="N103" i="10"/>
  <c r="N101" i="10"/>
  <c r="J90" i="10"/>
  <c r="F91" i="10"/>
  <c r="N91" i="10"/>
  <c r="J93" i="10"/>
  <c r="N102" i="10"/>
  <c r="F108" i="10"/>
  <c r="I113" i="10"/>
  <c r="G89" i="10"/>
  <c r="O89" i="10"/>
  <c r="N95" i="10"/>
  <c r="F97" i="10"/>
  <c r="J98" i="10"/>
  <c r="N99" i="10"/>
  <c r="I101" i="10"/>
  <c r="N104" i="10"/>
  <c r="N110" i="10"/>
  <c r="J113" i="10"/>
  <c r="L43" i="4" l="1"/>
  <c r="L42" i="4"/>
  <c r="L48" i="4"/>
  <c r="R13" i="1"/>
  <c r="AB13" i="1"/>
  <c r="I88" i="10"/>
  <c r="G11" i="2"/>
  <c r="N48" i="10" s="1"/>
  <c r="N75" i="10" s="1"/>
  <c r="E58" i="5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F39" i="2"/>
  <c r="F37" i="2" s="1"/>
  <c r="F35" i="2" s="1"/>
  <c r="D29" i="8"/>
  <c r="H29" i="8"/>
  <c r="L48" i="10"/>
  <c r="K48" i="10" s="1"/>
  <c r="K64" i="10" s="1"/>
  <c r="C29" i="8"/>
  <c r="J88" i="10"/>
  <c r="P88" i="10"/>
  <c r="N88" i="10"/>
  <c r="I47" i="10"/>
  <c r="E6" i="10"/>
  <c r="G115" i="10"/>
  <c r="G113" i="10"/>
  <c r="G111" i="10"/>
  <c r="G109" i="10"/>
  <c r="G107" i="10"/>
  <c r="G105" i="10"/>
  <c r="G103" i="10"/>
  <c r="G101" i="10"/>
  <c r="G99" i="10"/>
  <c r="G97" i="10"/>
  <c r="G114" i="10"/>
  <c r="G112" i="10"/>
  <c r="G110" i="10"/>
  <c r="G108" i="10"/>
  <c r="G91" i="10"/>
  <c r="G106" i="10"/>
  <c r="G98" i="10"/>
  <c r="G104" i="10"/>
  <c r="G102" i="10"/>
  <c r="G94" i="10"/>
  <c r="G93" i="10"/>
  <c r="G95" i="10"/>
  <c r="G92" i="10"/>
  <c r="G90" i="10"/>
  <c r="G100" i="10"/>
  <c r="G96" i="10"/>
  <c r="H89" i="10"/>
  <c r="F88" i="10"/>
  <c r="L46" i="10"/>
  <c r="L29" i="10"/>
  <c r="L27" i="10"/>
  <c r="L25" i="10"/>
  <c r="L23" i="10"/>
  <c r="L21" i="10"/>
  <c r="L19" i="10"/>
  <c r="L17" i="10"/>
  <c r="L15" i="10"/>
  <c r="L13" i="10"/>
  <c r="L11" i="10"/>
  <c r="L9" i="10"/>
  <c r="L45" i="10"/>
  <c r="L43" i="10"/>
  <c r="L41" i="10"/>
  <c r="L39" i="10"/>
  <c r="L37" i="10"/>
  <c r="L35" i="10"/>
  <c r="L33" i="10"/>
  <c r="L30" i="10"/>
  <c r="L31" i="10"/>
  <c r="L28" i="10"/>
  <c r="L26" i="10"/>
  <c r="L24" i="10"/>
  <c r="L22" i="10"/>
  <c r="L20" i="10"/>
  <c r="L18" i="10"/>
  <c r="L16" i="10"/>
  <c r="L14" i="10"/>
  <c r="L12" i="10"/>
  <c r="L10" i="10"/>
  <c r="L8" i="10"/>
  <c r="L44" i="10"/>
  <c r="L38" i="10"/>
  <c r="L32" i="10"/>
  <c r="L42" i="10"/>
  <c r="L36" i="10"/>
  <c r="L40" i="10"/>
  <c r="L34" i="10"/>
  <c r="E87" i="10"/>
  <c r="E85" i="10"/>
  <c r="E83" i="10"/>
  <c r="E81" i="10"/>
  <c r="E79" i="10"/>
  <c r="E77" i="10"/>
  <c r="E75" i="10"/>
  <c r="E73" i="10"/>
  <c r="E71" i="10"/>
  <c r="E69" i="10"/>
  <c r="E67" i="10"/>
  <c r="E65" i="10"/>
  <c r="E63" i="10"/>
  <c r="E61" i="10"/>
  <c r="E59" i="10"/>
  <c r="E86" i="10"/>
  <c r="E84" i="10"/>
  <c r="E82" i="10"/>
  <c r="E80" i="10"/>
  <c r="E78" i="10"/>
  <c r="E76" i="10"/>
  <c r="E74" i="10"/>
  <c r="E72" i="10"/>
  <c r="E70" i="10"/>
  <c r="E68" i="10"/>
  <c r="E66" i="10"/>
  <c r="E64" i="10"/>
  <c r="E62" i="10"/>
  <c r="E60" i="10"/>
  <c r="E58" i="10"/>
  <c r="E56" i="10"/>
  <c r="E51" i="10"/>
  <c r="E57" i="10"/>
  <c r="E50" i="10"/>
  <c r="E49" i="10"/>
  <c r="F48" i="10"/>
  <c r="E54" i="10"/>
  <c r="E55" i="10"/>
  <c r="E53" i="10"/>
  <c r="E52" i="10"/>
  <c r="D37" i="2"/>
  <c r="D35" i="2" s="1"/>
  <c r="M115" i="10"/>
  <c r="M113" i="10"/>
  <c r="M111" i="10"/>
  <c r="M109" i="10"/>
  <c r="M107" i="10"/>
  <c r="M105" i="10"/>
  <c r="M103" i="10"/>
  <c r="M101" i="10"/>
  <c r="M99" i="10"/>
  <c r="M97" i="10"/>
  <c r="M95" i="10"/>
  <c r="M93" i="10"/>
  <c r="M106" i="10"/>
  <c r="M94" i="10"/>
  <c r="M92" i="10"/>
  <c r="M110" i="10"/>
  <c r="M104" i="10"/>
  <c r="M102" i="10"/>
  <c r="M91" i="10"/>
  <c r="M112" i="10"/>
  <c r="M100" i="10"/>
  <c r="M96" i="10"/>
  <c r="M114" i="10"/>
  <c r="M90" i="10"/>
  <c r="M98" i="10"/>
  <c r="M108" i="10"/>
  <c r="G48" i="2"/>
  <c r="AB14" i="1"/>
  <c r="R14" i="1"/>
  <c r="R56" i="5" s="1"/>
  <c r="R57" i="5" s="1"/>
  <c r="K114" i="10"/>
  <c r="K112" i="10"/>
  <c r="K110" i="10"/>
  <c r="K108" i="10"/>
  <c r="K106" i="10"/>
  <c r="K104" i="10"/>
  <c r="K102" i="10"/>
  <c r="K100" i="10"/>
  <c r="K98" i="10"/>
  <c r="K96" i="10"/>
  <c r="K115" i="10"/>
  <c r="K113" i="10"/>
  <c r="K111" i="10"/>
  <c r="K109" i="10"/>
  <c r="K93" i="10"/>
  <c r="K90" i="10"/>
  <c r="K99" i="10"/>
  <c r="K95" i="10"/>
  <c r="K94" i="10"/>
  <c r="K92" i="10"/>
  <c r="K107" i="10"/>
  <c r="K105" i="10"/>
  <c r="K91" i="10"/>
  <c r="K103" i="10"/>
  <c r="K97" i="10"/>
  <c r="K101" i="10"/>
  <c r="O115" i="10"/>
  <c r="O113" i="10"/>
  <c r="O111" i="10"/>
  <c r="O109" i="10"/>
  <c r="O107" i="10"/>
  <c r="O105" i="10"/>
  <c r="O103" i="10"/>
  <c r="O101" i="10"/>
  <c r="O99" i="10"/>
  <c r="O97" i="10"/>
  <c r="O95" i="10"/>
  <c r="O114" i="10"/>
  <c r="O112" i="10"/>
  <c r="O110" i="10"/>
  <c r="O108" i="10"/>
  <c r="O102" i="10"/>
  <c r="O91" i="10"/>
  <c r="O100" i="10"/>
  <c r="O96" i="10"/>
  <c r="O90" i="10"/>
  <c r="O98" i="10"/>
  <c r="O106" i="10"/>
  <c r="O94" i="10"/>
  <c r="O93" i="10"/>
  <c r="O92" i="10"/>
  <c r="O104" i="10"/>
  <c r="L41" i="4"/>
  <c r="I31" i="10"/>
  <c r="I28" i="10"/>
  <c r="I26" i="10"/>
  <c r="I24" i="10"/>
  <c r="I22" i="10"/>
  <c r="I20" i="10"/>
  <c r="I18" i="10"/>
  <c r="I16" i="10"/>
  <c r="I14" i="10"/>
  <c r="I12" i="10"/>
  <c r="I10" i="10"/>
  <c r="I8" i="10"/>
  <c r="I46" i="10"/>
  <c r="I44" i="10"/>
  <c r="I42" i="10"/>
  <c r="I40" i="10"/>
  <c r="I38" i="10"/>
  <c r="I36" i="10"/>
  <c r="I34" i="10"/>
  <c r="I32" i="10"/>
  <c r="K7" i="10"/>
  <c r="J7" i="10"/>
  <c r="I29" i="10"/>
  <c r="I27" i="10"/>
  <c r="I25" i="10"/>
  <c r="I23" i="10"/>
  <c r="I21" i="10"/>
  <c r="I19" i="10"/>
  <c r="I17" i="10"/>
  <c r="I15" i="10"/>
  <c r="I13" i="10"/>
  <c r="I11" i="10"/>
  <c r="I9" i="10"/>
  <c r="I45" i="10"/>
  <c r="I43" i="10"/>
  <c r="I41" i="10"/>
  <c r="I39" i="10"/>
  <c r="I37" i="10"/>
  <c r="I35" i="10"/>
  <c r="I33" i="10"/>
  <c r="I30" i="10"/>
  <c r="F7" i="10"/>
  <c r="N7" i="10"/>
  <c r="M7" i="10" s="1"/>
  <c r="G38" i="2"/>
  <c r="H10" i="2"/>
  <c r="L88" i="10"/>
  <c r="E88" i="10"/>
  <c r="G22" i="8"/>
  <c r="G29" i="8" s="1"/>
  <c r="E22" i="8"/>
  <c r="E29" i="8" s="1"/>
  <c r="N85" i="10"/>
  <c r="N83" i="10"/>
  <c r="N79" i="10"/>
  <c r="N77" i="10"/>
  <c r="N65" i="10"/>
  <c r="N61" i="10"/>
  <c r="N86" i="10"/>
  <c r="N82" i="10"/>
  <c r="N80" i="10"/>
  <c r="N60" i="10"/>
  <c r="N55" i="10"/>
  <c r="N52" i="10"/>
  <c r="N70" i="10"/>
  <c r="N62" i="10"/>
  <c r="N57" i="10"/>
  <c r="N54" i="10"/>
  <c r="N53" i="10"/>
  <c r="N51" i="10" l="1"/>
  <c r="N84" i="10"/>
  <c r="N81" i="10"/>
  <c r="N66" i="10"/>
  <c r="N58" i="10"/>
  <c r="N63" i="10"/>
  <c r="N87" i="10"/>
  <c r="N59" i="10"/>
  <c r="N68" i="10"/>
  <c r="N67" i="10"/>
  <c r="N49" i="10"/>
  <c r="N74" i="10"/>
  <c r="N71" i="10"/>
  <c r="N73" i="10"/>
  <c r="N64" i="10"/>
  <c r="N72" i="10"/>
  <c r="N69" i="10"/>
  <c r="N50" i="10"/>
  <c r="N76" i="10"/>
  <c r="N56" i="10"/>
  <c r="N78" i="10"/>
  <c r="G39" i="2"/>
  <c r="G37" i="2" s="1"/>
  <c r="G35" i="2" s="1"/>
  <c r="L57" i="10"/>
  <c r="L66" i="10"/>
  <c r="L81" i="10"/>
  <c r="L70" i="10"/>
  <c r="L76" i="10"/>
  <c r="L84" i="10"/>
  <c r="L59" i="10"/>
  <c r="L83" i="10"/>
  <c r="L82" i="10"/>
  <c r="L52" i="10"/>
  <c r="L61" i="10"/>
  <c r="L85" i="10"/>
  <c r="K68" i="10"/>
  <c r="L49" i="10"/>
  <c r="L53" i="10"/>
  <c r="L65" i="10"/>
  <c r="M48" i="10"/>
  <c r="M81" i="10" s="1"/>
  <c r="L74" i="10"/>
  <c r="L63" i="10"/>
  <c r="L87" i="10"/>
  <c r="L64" i="10"/>
  <c r="L54" i="10"/>
  <c r="L67" i="10"/>
  <c r="L72" i="10"/>
  <c r="L58" i="10"/>
  <c r="L69" i="10"/>
  <c r="H11" i="2"/>
  <c r="L50" i="10"/>
  <c r="L60" i="10"/>
  <c r="L71" i="10"/>
  <c r="L78" i="10"/>
  <c r="L51" i="10"/>
  <c r="L80" i="10"/>
  <c r="L75" i="10"/>
  <c r="L68" i="10"/>
  <c r="L73" i="10"/>
  <c r="L56" i="10"/>
  <c r="L86" i="10"/>
  <c r="L77" i="10"/>
  <c r="L62" i="10"/>
  <c r="L55" i="10"/>
  <c r="L79" i="10"/>
  <c r="K87" i="10"/>
  <c r="K50" i="10"/>
  <c r="K70" i="10"/>
  <c r="K72" i="10"/>
  <c r="K74" i="10"/>
  <c r="K78" i="10"/>
  <c r="K53" i="10"/>
  <c r="K63" i="10"/>
  <c r="K65" i="10"/>
  <c r="K76" i="10"/>
  <c r="K67" i="10"/>
  <c r="K69" i="10"/>
  <c r="K81" i="10"/>
  <c r="K83" i="10"/>
  <c r="K85" i="10"/>
  <c r="K80" i="10"/>
  <c r="K82" i="10"/>
  <c r="K57" i="10"/>
  <c r="K52" i="10"/>
  <c r="K59" i="10"/>
  <c r="K54" i="10"/>
  <c r="K61" i="10"/>
  <c r="K56" i="10"/>
  <c r="K71" i="10"/>
  <c r="K58" i="10"/>
  <c r="K84" i="10"/>
  <c r="K73" i="10"/>
  <c r="K60" i="10"/>
  <c r="K49" i="10"/>
  <c r="K75" i="10"/>
  <c r="K62" i="10"/>
  <c r="J48" i="10"/>
  <c r="J68" i="10" s="1"/>
  <c r="K51" i="10"/>
  <c r="K77" i="10"/>
  <c r="K66" i="10"/>
  <c r="AD56" i="5"/>
  <c r="AD57" i="5" s="1"/>
  <c r="K86" i="10"/>
  <c r="Z56" i="5"/>
  <c r="Z57" i="5" s="1"/>
  <c r="K55" i="10"/>
  <c r="K79" i="10"/>
  <c r="G88" i="10"/>
  <c r="K88" i="10"/>
  <c r="M88" i="10"/>
  <c r="O88" i="10"/>
  <c r="L6" i="10"/>
  <c r="E47" i="10"/>
  <c r="I6" i="10"/>
  <c r="M87" i="10"/>
  <c r="W56" i="5"/>
  <c r="W57" i="5" s="1"/>
  <c r="S56" i="5"/>
  <c r="S57" i="5" s="1"/>
  <c r="H115" i="10"/>
  <c r="H113" i="10"/>
  <c r="H111" i="10"/>
  <c r="H109" i="10"/>
  <c r="H107" i="10"/>
  <c r="H105" i="10"/>
  <c r="H103" i="10"/>
  <c r="H101" i="10"/>
  <c r="H99" i="10"/>
  <c r="H97" i="10"/>
  <c r="H95" i="10"/>
  <c r="H93" i="10"/>
  <c r="H114" i="10"/>
  <c r="H112" i="10"/>
  <c r="H110" i="10"/>
  <c r="H108" i="10"/>
  <c r="H106" i="10"/>
  <c r="H104" i="10"/>
  <c r="H102" i="10"/>
  <c r="H100" i="10"/>
  <c r="H98" i="10"/>
  <c r="H96" i="10"/>
  <c r="H94" i="10"/>
  <c r="H92" i="10"/>
  <c r="H90" i="10"/>
  <c r="H91" i="10"/>
  <c r="H38" i="2"/>
  <c r="P7" i="10"/>
  <c r="O7" i="10" s="1"/>
  <c r="J46" i="10"/>
  <c r="J44" i="10"/>
  <c r="J42" i="10"/>
  <c r="J40" i="10"/>
  <c r="J38" i="10"/>
  <c r="J36" i="10"/>
  <c r="J34" i="10"/>
  <c r="J32" i="10"/>
  <c r="J29" i="10"/>
  <c r="J27" i="10"/>
  <c r="J25" i="10"/>
  <c r="J23" i="10"/>
  <c r="J21" i="10"/>
  <c r="J19" i="10"/>
  <c r="J17" i="10"/>
  <c r="J15" i="10"/>
  <c r="J13" i="10"/>
  <c r="J11" i="10"/>
  <c r="J9" i="10"/>
  <c r="J45" i="10"/>
  <c r="J43" i="10"/>
  <c r="J41" i="10"/>
  <c r="J39" i="10"/>
  <c r="J37" i="10"/>
  <c r="J35" i="10"/>
  <c r="J33" i="10"/>
  <c r="J30" i="10"/>
  <c r="J26" i="10"/>
  <c r="J10" i="10"/>
  <c r="J20" i="10"/>
  <c r="J14" i="10"/>
  <c r="J24" i="10"/>
  <c r="J8" i="10"/>
  <c r="J18" i="10"/>
  <c r="J31" i="10"/>
  <c r="J28" i="10"/>
  <c r="J12" i="10"/>
  <c r="J22" i="10"/>
  <c r="J16" i="10"/>
  <c r="AE56" i="5"/>
  <c r="AE57" i="5" s="1"/>
  <c r="AA56" i="5"/>
  <c r="AA57" i="5" s="1"/>
  <c r="K46" i="10"/>
  <c r="K44" i="10"/>
  <c r="K42" i="10"/>
  <c r="K40" i="10"/>
  <c r="K38" i="10"/>
  <c r="K36" i="10"/>
  <c r="K34" i="10"/>
  <c r="K32" i="10"/>
  <c r="K29" i="10"/>
  <c r="K27" i="10"/>
  <c r="K25" i="10"/>
  <c r="K23" i="10"/>
  <c r="K21" i="10"/>
  <c r="K19" i="10"/>
  <c r="K17" i="10"/>
  <c r="K15" i="10"/>
  <c r="K13" i="10"/>
  <c r="K11" i="10"/>
  <c r="K9" i="10"/>
  <c r="K45" i="10"/>
  <c r="K43" i="10"/>
  <c r="K41" i="10"/>
  <c r="K39" i="10"/>
  <c r="K37" i="10"/>
  <c r="K35" i="10"/>
  <c r="K33" i="10"/>
  <c r="K30" i="10"/>
  <c r="K31" i="10"/>
  <c r="K28" i="10"/>
  <c r="K26" i="10"/>
  <c r="K24" i="10"/>
  <c r="K22" i="10"/>
  <c r="K20" i="10"/>
  <c r="K18" i="10"/>
  <c r="K16" i="10"/>
  <c r="K14" i="10"/>
  <c r="K12" i="10"/>
  <c r="K10" i="10"/>
  <c r="K8" i="10"/>
  <c r="X56" i="5"/>
  <c r="X57" i="5" s="1"/>
  <c r="T56" i="5"/>
  <c r="T57" i="5" s="1"/>
  <c r="F87" i="10"/>
  <c r="F85" i="10"/>
  <c r="F83" i="10"/>
  <c r="F81" i="10"/>
  <c r="F79" i="10"/>
  <c r="F77" i="10"/>
  <c r="F75" i="10"/>
  <c r="F73" i="10"/>
  <c r="F71" i="10"/>
  <c r="F69" i="10"/>
  <c r="F67" i="10"/>
  <c r="F65" i="10"/>
  <c r="F63" i="10"/>
  <c r="F61" i="10"/>
  <c r="G48" i="10"/>
  <c r="F86" i="10"/>
  <c r="F84" i="10"/>
  <c r="F82" i="10"/>
  <c r="F80" i="10"/>
  <c r="F78" i="10"/>
  <c r="F76" i="10"/>
  <c r="F74" i="10"/>
  <c r="F66" i="10"/>
  <c r="F57" i="10"/>
  <c r="F50" i="10"/>
  <c r="F49" i="10"/>
  <c r="F68" i="10"/>
  <c r="F60" i="10"/>
  <c r="F58" i="10"/>
  <c r="F70" i="10"/>
  <c r="F62" i="10"/>
  <c r="F54" i="10"/>
  <c r="F55" i="10"/>
  <c r="F53" i="10"/>
  <c r="F72" i="10"/>
  <c r="F64" i="10"/>
  <c r="F56" i="10"/>
  <c r="F52" i="10"/>
  <c r="F51" i="10"/>
  <c r="F59" i="10"/>
  <c r="N45" i="10"/>
  <c r="N43" i="10"/>
  <c r="N41" i="10"/>
  <c r="N39" i="10"/>
  <c r="N37" i="10"/>
  <c r="N35" i="10"/>
  <c r="N33" i="10"/>
  <c r="N30" i="10"/>
  <c r="N31" i="10"/>
  <c r="N28" i="10"/>
  <c r="N26" i="10"/>
  <c r="N24" i="10"/>
  <c r="N22" i="10"/>
  <c r="N20" i="10"/>
  <c r="N18" i="10"/>
  <c r="N16" i="10"/>
  <c r="N14" i="10"/>
  <c r="N12" i="10"/>
  <c r="N10" i="10"/>
  <c r="N8" i="10"/>
  <c r="N44" i="10"/>
  <c r="N42" i="10"/>
  <c r="N40" i="10"/>
  <c r="N38" i="10"/>
  <c r="N36" i="10"/>
  <c r="N34" i="10"/>
  <c r="N32" i="10"/>
  <c r="N46" i="10"/>
  <c r="N15" i="10"/>
  <c r="N25" i="10"/>
  <c r="N9" i="10"/>
  <c r="N19" i="10"/>
  <c r="N29" i="10"/>
  <c r="N13" i="10"/>
  <c r="N23" i="10"/>
  <c r="N17" i="10"/>
  <c r="N27" i="10"/>
  <c r="N11" i="10"/>
  <c r="N21" i="10"/>
  <c r="F45" i="10"/>
  <c r="F43" i="10"/>
  <c r="F41" i="10"/>
  <c r="F39" i="10"/>
  <c r="F37" i="10"/>
  <c r="F35" i="10"/>
  <c r="F33" i="10"/>
  <c r="F30" i="10"/>
  <c r="F31" i="10"/>
  <c r="F28" i="10"/>
  <c r="F26" i="10"/>
  <c r="F24" i="10"/>
  <c r="F22" i="10"/>
  <c r="F20" i="10"/>
  <c r="F18" i="10"/>
  <c r="F16" i="10"/>
  <c r="F14" i="10"/>
  <c r="F12" i="10"/>
  <c r="F10" i="10"/>
  <c r="F8" i="10"/>
  <c r="F46" i="10"/>
  <c r="F44" i="10"/>
  <c r="F42" i="10"/>
  <c r="F40" i="10"/>
  <c r="F38" i="10"/>
  <c r="F36" i="10"/>
  <c r="F34" i="10"/>
  <c r="F32" i="10"/>
  <c r="F21" i="10"/>
  <c r="G7" i="10"/>
  <c r="F15" i="10"/>
  <c r="F25" i="10"/>
  <c r="F9" i="10"/>
  <c r="F19" i="10"/>
  <c r="F29" i="10"/>
  <c r="F13" i="10"/>
  <c r="F23" i="10"/>
  <c r="F17" i="10"/>
  <c r="F27" i="10"/>
  <c r="F11" i="10"/>
  <c r="AF56" i="5"/>
  <c r="AF57" i="5" s="1"/>
  <c r="AB56" i="5"/>
  <c r="AB57" i="5" s="1"/>
  <c r="M29" i="10"/>
  <c r="M27" i="10"/>
  <c r="M25" i="10"/>
  <c r="M23" i="10"/>
  <c r="M21" i="10"/>
  <c r="M19" i="10"/>
  <c r="M17" i="10"/>
  <c r="M15" i="10"/>
  <c r="M13" i="10"/>
  <c r="M11" i="10"/>
  <c r="M9" i="10"/>
  <c r="M45" i="10"/>
  <c r="M43" i="10"/>
  <c r="M41" i="10"/>
  <c r="M39" i="10"/>
  <c r="M37" i="10"/>
  <c r="M35" i="10"/>
  <c r="M33" i="10"/>
  <c r="M30" i="10"/>
  <c r="M31" i="10"/>
  <c r="M28" i="10"/>
  <c r="M26" i="10"/>
  <c r="M24" i="10"/>
  <c r="M22" i="10"/>
  <c r="M20" i="10"/>
  <c r="M18" i="10"/>
  <c r="M16" i="10"/>
  <c r="M14" i="10"/>
  <c r="M12" i="10"/>
  <c r="M10" i="10"/>
  <c r="M8" i="10"/>
  <c r="M44" i="10"/>
  <c r="M42" i="10"/>
  <c r="M40" i="10"/>
  <c r="M38" i="10"/>
  <c r="M36" i="10"/>
  <c r="M34" i="10"/>
  <c r="M32" i="10"/>
  <c r="M46" i="10"/>
  <c r="Y56" i="5"/>
  <c r="Y57" i="5" s="1"/>
  <c r="U56" i="5"/>
  <c r="U57" i="5" s="1"/>
  <c r="AG56" i="5"/>
  <c r="AG57" i="5" s="1"/>
  <c r="AC56" i="5"/>
  <c r="AC57" i="5" s="1"/>
  <c r="R58" i="5"/>
  <c r="V56" i="5"/>
  <c r="V57" i="5" s="1"/>
  <c r="M83" i="10" l="1"/>
  <c r="N47" i="10"/>
  <c r="M85" i="10"/>
  <c r="M49" i="10"/>
  <c r="M60" i="10"/>
  <c r="M62" i="10"/>
  <c r="M66" i="10"/>
  <c r="M68" i="10"/>
  <c r="M59" i="10"/>
  <c r="M86" i="10"/>
  <c r="M61" i="10"/>
  <c r="M63" i="10"/>
  <c r="M70" i="10"/>
  <c r="M51" i="10"/>
  <c r="M72" i="10"/>
  <c r="M67" i="10"/>
  <c r="M50" i="10"/>
  <c r="M65" i="10"/>
  <c r="M52" i="10"/>
  <c r="M74" i="10"/>
  <c r="M69" i="10"/>
  <c r="M55" i="10"/>
  <c r="M76" i="10"/>
  <c r="M71" i="10"/>
  <c r="M53" i="10"/>
  <c r="M78" i="10"/>
  <c r="M73" i="10"/>
  <c r="M54" i="10"/>
  <c r="M80" i="10"/>
  <c r="M75" i="10"/>
  <c r="M56" i="10"/>
  <c r="M82" i="10"/>
  <c r="M77" i="10"/>
  <c r="M58" i="10"/>
  <c r="M84" i="10"/>
  <c r="M79" i="10"/>
  <c r="M64" i="10"/>
  <c r="M57" i="10"/>
  <c r="L47" i="10"/>
  <c r="P48" i="10"/>
  <c r="H39" i="2"/>
  <c r="H37" i="2" s="1"/>
  <c r="H35" i="2" s="1"/>
  <c r="J87" i="10"/>
  <c r="J55" i="10"/>
  <c r="J83" i="10"/>
  <c r="J53" i="10"/>
  <c r="J65" i="10"/>
  <c r="J60" i="10"/>
  <c r="J74" i="10"/>
  <c r="J70" i="10"/>
  <c r="J86" i="10"/>
  <c r="J58" i="10"/>
  <c r="J67" i="10"/>
  <c r="J51" i="10"/>
  <c r="J61" i="10"/>
  <c r="J76" i="10"/>
  <c r="J77" i="10"/>
  <c r="J52" i="10"/>
  <c r="J80" i="10"/>
  <c r="J84" i="10"/>
  <c r="J50" i="10"/>
  <c r="J57" i="10"/>
  <c r="J79" i="10"/>
  <c r="J85" i="10"/>
  <c r="J69" i="10"/>
  <c r="J64" i="10"/>
  <c r="K47" i="10"/>
  <c r="J75" i="10"/>
  <c r="J72" i="10"/>
  <c r="J54" i="10"/>
  <c r="J62" i="10"/>
  <c r="J63" i="10"/>
  <c r="J49" i="10"/>
  <c r="J56" i="10"/>
  <c r="J81" i="10"/>
  <c r="J73" i="10"/>
  <c r="J59" i="10"/>
  <c r="J66" i="10"/>
  <c r="J82" i="10"/>
  <c r="J78" i="10"/>
  <c r="J71" i="10"/>
  <c r="S58" i="5"/>
  <c r="T58" i="5" s="1"/>
  <c r="U58" i="5" s="1"/>
  <c r="V58" i="5" s="1"/>
  <c r="W58" i="5" s="1"/>
  <c r="X58" i="5" s="1"/>
  <c r="Y58" i="5" s="1"/>
  <c r="Z58" i="5" s="1"/>
  <c r="AA58" i="5" s="1"/>
  <c r="AB58" i="5" s="1"/>
  <c r="AC58" i="5" s="1"/>
  <c r="AD58" i="5" s="1"/>
  <c r="AE58" i="5" s="1"/>
  <c r="AF58" i="5" s="1"/>
  <c r="AG58" i="5" s="1"/>
  <c r="H88" i="10"/>
  <c r="K6" i="10"/>
  <c r="J6" i="10"/>
  <c r="F6" i="10"/>
  <c r="F47" i="10"/>
  <c r="M6" i="10"/>
  <c r="N6" i="10"/>
  <c r="G45" i="10"/>
  <c r="G43" i="10"/>
  <c r="G41" i="10"/>
  <c r="G39" i="10"/>
  <c r="G37" i="10"/>
  <c r="G35" i="10"/>
  <c r="G33" i="10"/>
  <c r="G30" i="10"/>
  <c r="G31" i="10"/>
  <c r="G28" i="10"/>
  <c r="G26" i="10"/>
  <c r="G24" i="10"/>
  <c r="G22" i="10"/>
  <c r="G20" i="10"/>
  <c r="G18" i="10"/>
  <c r="G16" i="10"/>
  <c r="G14" i="10"/>
  <c r="G12" i="10"/>
  <c r="G10" i="10"/>
  <c r="G8" i="10"/>
  <c r="G46" i="10"/>
  <c r="G44" i="10"/>
  <c r="G42" i="10"/>
  <c r="G40" i="10"/>
  <c r="G38" i="10"/>
  <c r="G36" i="10"/>
  <c r="G34" i="10"/>
  <c r="G32" i="10"/>
  <c r="G29" i="10"/>
  <c r="G27" i="10"/>
  <c r="G25" i="10"/>
  <c r="G23" i="10"/>
  <c r="G21" i="10"/>
  <c r="G19" i="10"/>
  <c r="G17" i="10"/>
  <c r="G15" i="10"/>
  <c r="G13" i="10"/>
  <c r="G11" i="10"/>
  <c r="G9" i="10"/>
  <c r="H7" i="10"/>
  <c r="G87" i="10"/>
  <c r="G85" i="10"/>
  <c r="G83" i="10"/>
  <c r="G81" i="10"/>
  <c r="G79" i="10"/>
  <c r="G77" i="10"/>
  <c r="G75" i="10"/>
  <c r="G73" i="10"/>
  <c r="G71" i="10"/>
  <c r="G69" i="10"/>
  <c r="G67" i="10"/>
  <c r="G65" i="10"/>
  <c r="G63" i="10"/>
  <c r="G61" i="10"/>
  <c r="G59" i="10"/>
  <c r="G57" i="10"/>
  <c r="G55" i="10"/>
  <c r="G53" i="10"/>
  <c r="G51" i="10"/>
  <c r="G49" i="10"/>
  <c r="G86" i="10"/>
  <c r="G84" i="10"/>
  <c r="G82" i="10"/>
  <c r="G80" i="10"/>
  <c r="G78" i="10"/>
  <c r="G76" i="10"/>
  <c r="G74" i="10"/>
  <c r="G72" i="10"/>
  <c r="G70" i="10"/>
  <c r="G68" i="10"/>
  <c r="G66" i="10"/>
  <c r="G64" i="10"/>
  <c r="G62" i="10"/>
  <c r="G60" i="10"/>
  <c r="G58" i="10"/>
  <c r="G56" i="10"/>
  <c r="G54" i="10"/>
  <c r="G52" i="10"/>
  <c r="G50" i="10"/>
  <c r="H48" i="10"/>
  <c r="P30" i="10"/>
  <c r="P31" i="10"/>
  <c r="P28" i="10"/>
  <c r="P26" i="10"/>
  <c r="P24" i="10"/>
  <c r="P22" i="10"/>
  <c r="P20" i="10"/>
  <c r="P18" i="10"/>
  <c r="P16" i="10"/>
  <c r="P14" i="10"/>
  <c r="P12" i="10"/>
  <c r="P10" i="10"/>
  <c r="P8" i="10"/>
  <c r="P44" i="10"/>
  <c r="P42" i="10"/>
  <c r="P40" i="10"/>
  <c r="P38" i="10"/>
  <c r="P36" i="10"/>
  <c r="P34" i="10"/>
  <c r="P32" i="10"/>
  <c r="P46" i="10"/>
  <c r="P29" i="10"/>
  <c r="P27" i="10"/>
  <c r="P25" i="10"/>
  <c r="P23" i="10"/>
  <c r="P21" i="10"/>
  <c r="P19" i="10"/>
  <c r="P17" i="10"/>
  <c r="P15" i="10"/>
  <c r="P13" i="10"/>
  <c r="P11" i="10"/>
  <c r="P9" i="10"/>
  <c r="P33" i="10"/>
  <c r="P43" i="10"/>
  <c r="P37" i="10"/>
  <c r="P41" i="10"/>
  <c r="P35" i="10"/>
  <c r="P45" i="10"/>
  <c r="P39" i="10"/>
  <c r="O46" i="10"/>
  <c r="O45" i="10"/>
  <c r="O43" i="10"/>
  <c r="O41" i="10"/>
  <c r="O39" i="10"/>
  <c r="O37" i="10"/>
  <c r="O35" i="10"/>
  <c r="O33" i="10"/>
  <c r="O30" i="10"/>
  <c r="O31" i="10"/>
  <c r="O28" i="10"/>
  <c r="O26" i="10"/>
  <c r="O24" i="10"/>
  <c r="O22" i="10"/>
  <c r="O20" i="10"/>
  <c r="O18" i="10"/>
  <c r="O16" i="10"/>
  <c r="O14" i="10"/>
  <c r="O12" i="10"/>
  <c r="O10" i="10"/>
  <c r="O8" i="10"/>
  <c r="O44" i="10"/>
  <c r="O42" i="10"/>
  <c r="O40" i="10"/>
  <c r="O38" i="10"/>
  <c r="O36" i="10"/>
  <c r="O34" i="10"/>
  <c r="O32" i="10"/>
  <c r="O29" i="10"/>
  <c r="O27" i="10"/>
  <c r="O25" i="10"/>
  <c r="O23" i="10"/>
  <c r="O21" i="10"/>
  <c r="O19" i="10"/>
  <c r="O17" i="10"/>
  <c r="O15" i="10"/>
  <c r="O13" i="10"/>
  <c r="O11" i="10"/>
  <c r="O9" i="10"/>
  <c r="M47" i="10" l="1"/>
  <c r="O48" i="10"/>
  <c r="P76" i="10"/>
  <c r="P75" i="10"/>
  <c r="P77" i="10"/>
  <c r="P78" i="10"/>
  <c r="P74" i="10"/>
  <c r="P51" i="10"/>
  <c r="P69" i="10"/>
  <c r="P72" i="10"/>
  <c r="P85" i="10"/>
  <c r="P61" i="10"/>
  <c r="P70" i="10"/>
  <c r="P65" i="10"/>
  <c r="P87" i="10"/>
  <c r="P57" i="10"/>
  <c r="P68" i="10"/>
  <c r="P50" i="10"/>
  <c r="P53" i="10"/>
  <c r="P64" i="10"/>
  <c r="P67" i="10"/>
  <c r="P66" i="10"/>
  <c r="P79" i="10"/>
  <c r="P81" i="10"/>
  <c r="P52" i="10"/>
  <c r="P49" i="10"/>
  <c r="P55" i="10"/>
  <c r="P60" i="10"/>
  <c r="P86" i="10"/>
  <c r="P62" i="10"/>
  <c r="P73" i="10"/>
  <c r="P71" i="10"/>
  <c r="P84" i="10"/>
  <c r="P82" i="10"/>
  <c r="P58" i="10"/>
  <c r="P59" i="10"/>
  <c r="P63" i="10"/>
  <c r="P80" i="10"/>
  <c r="P56" i="10"/>
  <c r="P83" i="10"/>
  <c r="P54" i="10"/>
  <c r="J47" i="10"/>
  <c r="G47" i="10"/>
  <c r="P6" i="10"/>
  <c r="O6" i="10"/>
  <c r="G6" i="10"/>
  <c r="H30" i="10"/>
  <c r="H31" i="10"/>
  <c r="H28" i="10"/>
  <c r="H26" i="10"/>
  <c r="H24" i="10"/>
  <c r="H22" i="10"/>
  <c r="H20" i="10"/>
  <c r="H18" i="10"/>
  <c r="H16" i="10"/>
  <c r="H14" i="10"/>
  <c r="H12" i="10"/>
  <c r="H10" i="10"/>
  <c r="H8" i="10"/>
  <c r="H46" i="10"/>
  <c r="H44" i="10"/>
  <c r="H42" i="10"/>
  <c r="H40" i="10"/>
  <c r="H38" i="10"/>
  <c r="H36" i="10"/>
  <c r="H34" i="10"/>
  <c r="H32" i="10"/>
  <c r="H29" i="10"/>
  <c r="H27" i="10"/>
  <c r="H25" i="10"/>
  <c r="H23" i="10"/>
  <c r="H21" i="10"/>
  <c r="H19" i="10"/>
  <c r="H17" i="10"/>
  <c r="H15" i="10"/>
  <c r="H13" i="10"/>
  <c r="H11" i="10"/>
  <c r="H9" i="10"/>
  <c r="H39" i="10"/>
  <c r="H33" i="10"/>
  <c r="H43" i="10"/>
  <c r="H37" i="10"/>
  <c r="H41" i="10"/>
  <c r="H35" i="10"/>
  <c r="H45" i="10"/>
  <c r="H86" i="10"/>
  <c r="H84" i="10"/>
  <c r="H82" i="10"/>
  <c r="H80" i="10"/>
  <c r="H78" i="10"/>
  <c r="H76" i="10"/>
  <c r="H74" i="10"/>
  <c r="H72" i="10"/>
  <c r="H70" i="10"/>
  <c r="H68" i="10"/>
  <c r="H66" i="10"/>
  <c r="H64" i="10"/>
  <c r="H62" i="10"/>
  <c r="H60" i="10"/>
  <c r="H58" i="10"/>
  <c r="H56" i="10"/>
  <c r="H54" i="10"/>
  <c r="H81" i="10"/>
  <c r="H49" i="10"/>
  <c r="H75" i="10"/>
  <c r="H71" i="10"/>
  <c r="H63" i="10"/>
  <c r="H85" i="10"/>
  <c r="H79" i="10"/>
  <c r="H65" i="10"/>
  <c r="H73" i="10"/>
  <c r="H55" i="10"/>
  <c r="H53" i="10"/>
  <c r="H83" i="10"/>
  <c r="H67" i="10"/>
  <c r="H52" i="10"/>
  <c r="H77" i="10"/>
  <c r="H59" i="10"/>
  <c r="H51" i="10"/>
  <c r="H61" i="10"/>
  <c r="H87" i="10"/>
  <c r="H50" i="10"/>
  <c r="H57" i="10"/>
  <c r="H69" i="10"/>
  <c r="P47" i="10" l="1"/>
  <c r="O69" i="10"/>
  <c r="O84" i="10"/>
  <c r="O60" i="10"/>
  <c r="O67" i="10"/>
  <c r="O82" i="10"/>
  <c r="O58" i="10"/>
  <c r="O65" i="10"/>
  <c r="O80" i="10"/>
  <c r="O56" i="10"/>
  <c r="O87" i="10"/>
  <c r="O63" i="10"/>
  <c r="O78" i="10"/>
  <c r="O54" i="10"/>
  <c r="O85" i="10"/>
  <c r="O61" i="10"/>
  <c r="O76" i="10"/>
  <c r="O52" i="10"/>
  <c r="O83" i="10"/>
  <c r="O59" i="10"/>
  <c r="O74" i="10"/>
  <c r="O50" i="10"/>
  <c r="O81" i="10"/>
  <c r="O57" i="10"/>
  <c r="O72" i="10"/>
  <c r="O79" i="10"/>
  <c r="O55" i="10"/>
  <c r="O70" i="10"/>
  <c r="O77" i="10"/>
  <c r="O53" i="10"/>
  <c r="O68" i="10"/>
  <c r="O75" i="10"/>
  <c r="O51" i="10"/>
  <c r="O66" i="10"/>
  <c r="O71" i="10"/>
  <c r="O62" i="10"/>
  <c r="O73" i="10"/>
  <c r="O49" i="10"/>
  <c r="O64" i="10"/>
  <c r="O86" i="10"/>
  <c r="H47" i="10"/>
  <c r="H6" i="10"/>
  <c r="O47" i="10" l="1"/>
  <c r="F7" i="2" l="1"/>
  <c r="H7" i="2"/>
  <c r="G7" i="2"/>
</calcChain>
</file>

<file path=xl/comments1.xml><?xml version="1.0" encoding="utf-8"?>
<comments xmlns="http://schemas.openxmlformats.org/spreadsheetml/2006/main">
  <authors>
    <author>TIRANA Florian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TIRANA Florian:</t>
        </r>
        <r>
          <rPr>
            <sz val="9"/>
            <color indexed="81"/>
            <rFont val="Tahoma"/>
            <family val="2"/>
          </rPr>
          <t xml:space="preserve">
mis à jour le 24/10/2022</t>
        </r>
      </text>
    </comment>
  </commentList>
</comments>
</file>

<file path=xl/sharedStrings.xml><?xml version="1.0" encoding="utf-8"?>
<sst xmlns="http://schemas.openxmlformats.org/spreadsheetml/2006/main" count="1397" uniqueCount="500">
  <si>
    <t>1. Parc de logements</t>
  </si>
  <si>
    <t>AME</t>
  </si>
  <si>
    <t>AME 2021</t>
  </si>
  <si>
    <t>Source / explication</t>
  </si>
  <si>
    <t>AME 2030</t>
  </si>
  <si>
    <t>AME 2050</t>
  </si>
  <si>
    <t>Démographie</t>
  </si>
  <si>
    <t>Population totale (Mhab métrop)</t>
  </si>
  <si>
    <t>cadrage</t>
  </si>
  <si>
    <t>Personnes par logement</t>
  </si>
  <si>
    <t>Destructions - reconstructions</t>
  </si>
  <si>
    <t>Nb Destructions (milliers)</t>
  </si>
  <si>
    <t>Qualification des résidences principales neuves</t>
  </si>
  <si>
    <t>% MI dans la construction neuve</t>
  </si>
  <si>
    <t>hausse à 2030 au niveau pré-2014 (COVID) puis stabilité</t>
  </si>
  <si>
    <t>taille moyenne MI (surface habitable)</t>
  </si>
  <si>
    <t>hausse de la taille à 2030 (COVID) puis stabilité</t>
  </si>
  <si>
    <t>taille moyenne LC (surface habitable)</t>
  </si>
  <si>
    <t>Reconversions</t>
  </si>
  <si>
    <t>Nb de logements créés à partir de surfaces tertiaires existantes (milliers)</t>
  </si>
  <si>
    <t>Hypothèse : 1/3 du plan Wargon</t>
  </si>
  <si>
    <t>Donnée 2020 : Apur, Sitadel – Région parisienne uniquement. 0,59Mm² transformés entre 2001 et 2020 soit 400/500lgt/an. Charte d’engagement avec 10 promoteurs en 2018 : objectif 500 000m² transformés sur 4 ans, seuls 85000 réalisés</t>
  </si>
  <si>
    <t>Résidences secondaires</t>
  </si>
  <si>
    <t>% res sec sur parc total</t>
  </si>
  <si>
    <t>Prolongation tendance récente (accélérée 2020-2030 covid)</t>
  </si>
  <si>
    <t>Lgt vacants</t>
  </si>
  <si>
    <t>taux de vacance des logements</t>
  </si>
  <si>
    <t>Prolongation tendance récente (linéaire jusqu'à 10% en 2050)</t>
  </si>
  <si>
    <t>AMS</t>
  </si>
  <si>
    <t>AMS 2018</t>
  </si>
  <si>
    <t>ADEME – 2030</t>
  </si>
  <si>
    <t>ADEME – 2050</t>
  </si>
  <si>
    <t>AMS 2030</t>
  </si>
  <si>
    <t>AMS 2050</t>
  </si>
  <si>
    <t>S1</t>
  </si>
  <si>
    <t>S2</t>
  </si>
  <si>
    <t>S3</t>
  </si>
  <si>
    <t>S4</t>
  </si>
  <si>
    <t>Negawatt 2030</t>
  </si>
  <si>
    <t>Negawatt 2050</t>
  </si>
  <si>
    <t>47;2</t>
  </si>
  <si>
    <t>stabilisation au niveau actuel</t>
  </si>
  <si>
    <t>2. Performance de la construction neuve</t>
  </si>
  <si>
    <t>Historique</t>
  </si>
  <si>
    <t>source CEREN/SDES</t>
  </si>
  <si>
    <t>AMS18 : Réglementation thermique et environnementale (moyenne tous bâtiments)</t>
  </si>
  <si>
    <t>Consommation de chauffage (kWh/m²)</t>
  </si>
  <si>
    <t>données en énergie consommée en cours (CSTB)</t>
  </si>
  <si>
    <t>2015-2019</t>
  </si>
  <si>
    <t>2020-2024</t>
  </si>
  <si>
    <t>2025-2029</t>
  </si>
  <si>
    <t>2030-2039</t>
  </si>
  <si>
    <t>2040-2050</t>
  </si>
  <si>
    <t>Post 2050</t>
  </si>
  <si>
    <t>autres</t>
  </si>
  <si>
    <t>bois</t>
  </si>
  <si>
    <t>chauffage urbain</t>
  </si>
  <si>
    <t>électricité</t>
  </si>
  <si>
    <t>dont PAC</t>
  </si>
  <si>
    <t>fioul</t>
  </si>
  <si>
    <t>gaz</t>
  </si>
  <si>
    <t>GPL</t>
  </si>
  <si>
    <t>Energie primaire (kWh/m²)</t>
  </si>
  <si>
    <t>MI</t>
  </si>
  <si>
    <t>Source CEREN/SDES</t>
  </si>
  <si>
    <t>Mix de chauffage MI 2019 (nombre de logements)</t>
  </si>
  <si>
    <t>Energie primaire chauffage (kWh/m²)</t>
  </si>
  <si>
    <t>LC</t>
  </si>
  <si>
    <t>Mix de chauffage LC 2019 (nombre de logements)</t>
  </si>
  <si>
    <t>GES (kgCO2/M2, phase utilisation)</t>
  </si>
  <si>
    <t>electricité joule</t>
  </si>
  <si>
    <t>PAC</t>
  </si>
  <si>
    <t>Fioul</t>
  </si>
  <si>
    <t>RCU</t>
  </si>
  <si>
    <t>Bois</t>
  </si>
  <si>
    <t>solaire et géothermie</t>
  </si>
  <si>
    <t>Source OPE 2018</t>
  </si>
  <si>
    <t>MI 2018</t>
  </si>
  <si>
    <t>Energie finale (kWh/m²)</t>
  </si>
  <si>
    <t>-</t>
  </si>
  <si>
    <t>LC 2018</t>
  </si>
  <si>
    <t>AME 2023</t>
  </si>
  <si>
    <t>MI hors bois/RCU</t>
  </si>
  <si>
    <t xml:space="preserve">Différenciation bois/RCU des autres vecteurs pour prendre en compte le double palier cep,nr / cep de la RE2020 </t>
  </si>
  <si>
    <t xml:space="preserve">M bois/RCU </t>
  </si>
  <si>
    <t>On conserve le ratio 50% du cep pour le chauffage</t>
  </si>
  <si>
    <t>LC hors bois/RCU</t>
  </si>
  <si>
    <t>Cep kWhep/(m².an)</t>
  </si>
  <si>
    <t>Cep,nr_maxmoyen</t>
  </si>
  <si>
    <t>Cep_maxmoyen</t>
  </si>
  <si>
    <t>LC bois/RCU</t>
  </si>
  <si>
    <t>Mix post-RE2020</t>
  </si>
  <si>
    <t>Mix de chauffage (en part la consommation finale)</t>
  </si>
  <si>
    <t>MI 2022</t>
  </si>
  <si>
    <t>MI 2030</t>
  </si>
  <si>
    <t>- Pas de progression du RCU en MI</t>
  </si>
  <si>
    <t>MI 2040</t>
  </si>
  <si>
    <t>- Pas d'évolution post RE2020</t>
  </si>
  <si>
    <t>MI 2050</t>
  </si>
  <si>
    <t>- Diminution du gaz à partir de 2025 en LC</t>
  </si>
  <si>
    <t>LC 2022</t>
  </si>
  <si>
    <t>- Diminution du joule à partir de 2022 en LC et MI</t>
  </si>
  <si>
    <t>LC 2025</t>
  </si>
  <si>
    <t>- Répercutée principalement sur Joule et PAC</t>
  </si>
  <si>
    <t>LC 2030</t>
  </si>
  <si>
    <t>- progression mesurée des RCU en LC</t>
  </si>
  <si>
    <t>LC 2040</t>
  </si>
  <si>
    <t>LC 2050</t>
  </si>
  <si>
    <t>Palier RE2020 en 2022 (notamment sur le gaz)</t>
  </si>
  <si>
    <t>AMS 2023</t>
  </si>
  <si>
    <t>nW</t>
  </si>
  <si>
    <t>Mix du parc &gt; 1975, appliqué au neuf</t>
  </si>
  <si>
    <t>Reprise AME (RE2020 jusqu’à 2030) puis baisse de 10 % à 2050 (faibles marges supplémentaires pour une future RE)</t>
  </si>
  <si>
    <t>Typo</t>
  </si>
  <si>
    <t>Gaz (chaudières à condensation)</t>
  </si>
  <si>
    <t>Electricité (Joule et autres)</t>
  </si>
  <si>
    <t>Electricité (pompes à chaleur)</t>
  </si>
  <si>
    <t>Chaleur urbaine</t>
  </si>
  <si>
    <t>Charbon</t>
  </si>
  <si>
    <t>Total</t>
  </si>
  <si>
    <t>MI &gt;1975</t>
  </si>
  <si>
    <t>AMS 18 Mix énergétique construction neuve (en part de l’énergie consommée et non en part de marché)</t>
  </si>
  <si>
    <t>LC &gt;1975</t>
  </si>
  <si>
    <t xml:space="preserve">Reprise AME (RE2020 jusqu’à 2030) puis </t>
  </si>
  <si>
    <t>Poursuite de l’extension des réseaux de chaleur, notamment en LC</t>
  </si>
  <si>
    <t>Baisse progressive de la part du bois post-2030</t>
  </si>
  <si>
    <t>Réduction des systèmes gaz en LC</t>
  </si>
  <si>
    <t>3. Modes constructifs</t>
  </si>
  <si>
    <t>NOUVEAU – ne sera pas utilisé dans le run 1, mais servira pour le bouclage matière et l’analyse en empreinte</t>
  </si>
  <si>
    <t>Part de marché en neuf</t>
  </si>
  <si>
    <t>comparer points de départ DHUP/ADEME-Nw</t>
  </si>
  <si>
    <t>ADEME</t>
  </si>
  <si>
    <t>Traduction de la RE2020 (DHUP)</t>
  </si>
  <si>
    <t>Valeur absolue 2030</t>
  </si>
  <si>
    <t>Valeur absolue 2050</t>
  </si>
  <si>
    <t>MI Structure bois</t>
  </si>
  <si>
    <t>%</t>
  </si>
  <si>
    <t>Géosourcé : reprise ADEME à 2030 puis stable</t>
  </si>
  <si>
    <t>MI Inertie Géosourcée</t>
  </si>
  <si>
    <t>LC Structure bois</t>
  </si>
  <si>
    <t>LC structure mixte bois-béton</t>
  </si>
  <si>
    <t>LC Inertie Géosourcée</t>
  </si>
  <si>
    <t>Tertiaire Structure bois</t>
  </si>
  <si>
    <t>idem LC</t>
  </si>
  <si>
    <t>Tertiaire structure mixte bois-béton</t>
  </si>
  <si>
    <t>Tertiaire Inertie Géosourcée</t>
  </si>
  <si>
    <t>Ind&amp;Agri Structure bois</t>
  </si>
  <si>
    <t>Ind&amp;Agri structure mixte bois-béton</t>
  </si>
  <si>
    <t>Un peu inférieur à LC car moins bien connu donc exigence probablement moindre sur les seuils</t>
  </si>
  <si>
    <t xml:space="preserve"> </t>
  </si>
  <si>
    <t>Ind&amp;Agri Inertie Géosourcée</t>
  </si>
  <si>
    <t>NW</t>
  </si>
  <si>
    <t>Sortie du module ANTONIO</t>
  </si>
  <si>
    <t>Nombre total de logements</t>
  </si>
  <si>
    <t>Dont neuf (post 2020)</t>
  </si>
  <si>
    <t>Dont existant (pré-2020)</t>
  </si>
  <si>
    <t>Dont résidences principales</t>
  </si>
  <si>
    <t>Dont MI</t>
  </si>
  <si>
    <t>Dont LC</t>
  </si>
  <si>
    <t>Dont résidences secondaires</t>
  </si>
  <si>
    <t>Dont logements vacants</t>
  </si>
  <si>
    <t>Dont courte durée</t>
  </si>
  <si>
    <t>Dont longue durée</t>
  </si>
  <si>
    <t>2015-2020</t>
  </si>
  <si>
    <t>2020-2030</t>
  </si>
  <si>
    <t>2030-2040</t>
  </si>
  <si>
    <t>Construction neuve</t>
  </si>
  <si>
    <t>Dont réponse à l’évolution du nombre de ménages</t>
  </si>
  <si>
    <t>dont MI</t>
  </si>
  <si>
    <t>dont LC</t>
  </si>
  <si>
    <t>Dont réponse à l’évolution du nombre de logements vacants</t>
  </si>
  <si>
    <t>Dont réponse à l’évolution du nombre de résidences secondaires</t>
  </si>
  <si>
    <t>Dont compensation des destructions</t>
  </si>
  <si>
    <t>Construction neuve (lgt/an)</t>
  </si>
  <si>
    <t>construction neuve RP</t>
  </si>
  <si>
    <t>Part des MI dans la construction neuve</t>
  </si>
  <si>
    <t>Surfaces de logements (Mm²)</t>
  </si>
  <si>
    <t xml:space="preserve">Surface moyenne </t>
  </si>
  <si>
    <t>RS</t>
  </si>
  <si>
    <t>Hyp surface moyenne de tous les lgt</t>
  </si>
  <si>
    <t>LV</t>
  </si>
  <si>
    <t>https://www.insee.fr/fr/statistiques/2586024?sommaire=2586377</t>
  </si>
  <si>
    <t xml:space="preserve"> 1. MESURES PRISES EN COMPTE</t>
  </si>
  <si>
    <t>CEE</t>
  </si>
  <si>
    <t>8€/MWh cumac (SD5)</t>
  </si>
  <si>
    <t>3€/Mwhcumac jusqu’à 2030 puis augmentation de 10 %/an pour atteindre une plafond de 20€/MWh en 2050</t>
  </si>
  <si>
    <t>6€/MWh cumac (SD5)</t>
  </si>
  <si>
    <r>
      <rPr>
        <sz val="10"/>
        <rFont val="Arial"/>
        <family val="2"/>
        <charset val="1"/>
      </rPr>
      <t>5</t>
    </r>
    <r>
      <rPr>
        <vertAlign val="superscript"/>
        <sz val="10"/>
        <rFont val="Arial"/>
        <family val="2"/>
        <charset val="1"/>
      </rPr>
      <t>e</t>
    </r>
    <r>
      <rPr>
        <sz val="10"/>
        <rFont val="Arial"/>
        <family val="2"/>
        <charset val="1"/>
      </rPr>
      <t xml:space="preserve"> période jusqu’à fin 2025</t>
    </r>
  </si>
  <si>
    <t xml:space="preserve">Prolongement jusqu'en 2050 </t>
  </si>
  <si>
    <t>4e période 2018 prolongée jusqu'au 31/12/2021</t>
  </si>
  <si>
    <t>Elimination des passoires thermiques</t>
  </si>
  <si>
    <t>Rénovation de l’ensemble des passoires thermiques du parc locatif en 2028 au niveau D (1/2) ou E (1/2), puis des logements de catégorie E d’ici 2034 au niveau D</t>
  </si>
  <si>
    <t xml:space="preserve">Généralisation de l'expérimetataion E+/C </t>
  </si>
  <si>
    <t>Fun du fioul</t>
  </si>
  <si>
    <t>Fin de vente de nouveaux systèmes fioul en 2022</t>
  </si>
  <si>
    <t xml:space="preserve">Fin des ventes à partir de 2035 </t>
  </si>
  <si>
    <t>Systèmes gaz</t>
  </si>
  <si>
    <t>Stabilisation des systèmes bois</t>
  </si>
  <si>
    <t>Interdiction des ventes de système bois en cas de changement d'énergie à partir 2035</t>
  </si>
  <si>
    <t>Fonds chaleur</t>
  </si>
  <si>
    <t>Prolongement jusqu’à 2022 puis fin (350M€ 2021, 370M€ 2022)</t>
  </si>
  <si>
    <t xml:space="preserve">Prolongement jusqu'en 2050 de manière à atteindre le mix cible </t>
  </si>
  <si>
    <t>350M€ 2020</t>
  </si>
  <si>
    <t>41 klgts raccordés en 2021, 43 klgt en 2022</t>
  </si>
  <si>
    <t>34,2k lgts raccordés 2020 + 44k en 2021</t>
  </si>
  <si>
    <t>TVA réduite à 5,5%</t>
  </si>
  <si>
    <t>Prolongé jusqu’à 2050</t>
  </si>
  <si>
    <t>Supposée pérenne jusqu'en 2050</t>
  </si>
  <si>
    <t>idem AME2018</t>
  </si>
  <si>
    <t>CITE / Ma Prime Rénov'</t>
  </si>
  <si>
    <t>MPR prolongé à son niveau actuel jusqu’à 2022</t>
  </si>
  <si>
    <t xml:space="preserve">CITE prolongé jusqu'en 2050 + retrait des chaudières à fioul et des fenêtres à partir de 2018 retrait chaudière à gaz en 2019 (exclusion à l'éligibilité) </t>
  </si>
  <si>
    <t>Aides Anah sérénité</t>
  </si>
  <si>
    <t>Prolongation jusqu’à 2022</t>
  </si>
  <si>
    <t>Prolongé jusq'au 31/12/2021 pour déciles 1 à 4</t>
  </si>
  <si>
    <t>Eco-PTZ</t>
  </si>
  <si>
    <t xml:space="preserve">Prolongé jusqu'en 2050 </t>
  </si>
  <si>
    <t>Prolongé jusq'au 31/12/2021 et extensions d'applications</t>
  </si>
  <si>
    <t>EcoPLS</t>
  </si>
  <si>
    <t>Prolongé jusqu'au 31/12/2022</t>
  </si>
  <si>
    <t>décret individualisation frais chauffage</t>
  </si>
  <si>
    <t>Pas pris en compte</t>
  </si>
  <si>
    <t xml:space="preserve">Mesure pleinement effective à partir de 2020 - déduction d'un impact de la mesure sur les besoins de chauffage de 15% qur les logements concernés + gestion smart des besoins énergétiques </t>
  </si>
  <si>
    <t>Idem AME 2018</t>
  </si>
  <si>
    <t>Travaux embarqués</t>
  </si>
  <si>
    <t>Mise en œuvre effective du décrêt à partir de 2030 (d'après l'étude d'impact de la DHUP)</t>
  </si>
  <si>
    <t>Plan de relance – logements sociaux et politique de la ville</t>
  </si>
  <si>
    <t>Investissement de 500M€</t>
  </si>
  <si>
    <t>2. Paramètres divers</t>
  </si>
  <si>
    <t>Impact du changement climatique</t>
  </si>
  <si>
    <t>AME / AMS 2023</t>
  </si>
  <si>
    <t>AME/AMS 2018</t>
  </si>
  <si>
    <t>Evolution de la consommation de chauffage</t>
  </si>
  <si>
    <t>Evolution de la consommation de climatisation</t>
  </si>
  <si>
    <t>Calcul DGEC à partir des dernières données MétéoFrance (DRIAS) – RCP2.6</t>
  </si>
  <si>
    <t>Sobriété</t>
  </si>
  <si>
    <t>Baisse de la température de consigne à 18°C</t>
  </si>
  <si>
    <t>Pas pris en compte dans le run 1</t>
  </si>
  <si>
    <t>A calculer plus précisément pour le run 2</t>
  </si>
  <si>
    <t>Individualisation des frais de chauffage</t>
  </si>
  <si>
    <t>Jusqu’à 15 % dans les logements concernés</t>
  </si>
  <si>
    <t>Total sobriété (baisse du besoin de chauffage)</t>
  </si>
  <si>
    <t>hyp AMS18</t>
  </si>
  <si>
    <t xml:space="preserve">COP DES PAC </t>
  </si>
  <si>
    <t>Voir sorties détaillées MENFIS</t>
  </si>
  <si>
    <t>Autres</t>
  </si>
  <si>
    <t>Barrières à la rénovation dans le parc locatif privé (prise de décision en copropriété, dilemme propriétaire-locataire, contraintes de financement)</t>
  </si>
  <si>
    <t>Nombre de logements existants raccordés au réseau de chaleur (milliers)</t>
  </si>
  <si>
    <t>Climatisation traitée dans l’onglet dédié</t>
  </si>
  <si>
    <t>1. Besoin par habitant et efficacité énergétique</t>
  </si>
  <si>
    <t xml:space="preserve">données CEREN </t>
  </si>
  <si>
    <t>ECS (kWh/hab/an)</t>
  </si>
  <si>
    <t>Cuisson (kWh/hab/an)</t>
  </si>
  <si>
    <t>Elec spécifique (kWh/hab/an)</t>
  </si>
  <si>
    <t>Climatisation (kWH/lgt)</t>
  </si>
  <si>
    <t>variation par rapport à 2015</t>
  </si>
  <si>
    <t>variations par rapport à 2020</t>
  </si>
  <si>
    <t>Poursuite de la baisse tendancielle (ADEME arrive autour de 400/500 en 2050 – regarder le tendanciel ?)</t>
  </si>
  <si>
    <t>ECS</t>
  </si>
  <si>
    <t>Baisse plus marquée qu’en AME21 (restauration hors domicile et livraisons)</t>
  </si>
  <si>
    <t xml:space="preserve">Cuisson </t>
  </si>
  <si>
    <t>Reprise AME21, similaire ADEME S4</t>
  </si>
  <si>
    <t>Elec spécifique</t>
  </si>
  <si>
    <t>Eclairage (kWh/lgt)</t>
  </si>
  <si>
    <t>2. Mix énergétique cuisson et ECS</t>
  </si>
  <si>
    <t>Attention : le CEREN ne donne pas la part de PAC pour l’ECS</t>
  </si>
  <si>
    <t>Attention 2 : le mix cuisson ADEME est très différent de celui du CEREN</t>
  </si>
  <si>
    <t>données CEREN/SDES</t>
  </si>
  <si>
    <t>gaz naturel</t>
  </si>
  <si>
    <t>autres énergies</t>
  </si>
  <si>
    <t>Historique ADEME</t>
  </si>
  <si>
    <t>Joule</t>
  </si>
  <si>
    <t>Gaz</t>
  </si>
  <si>
    <t>Pétrole/GPL</t>
  </si>
  <si>
    <t>PAC / CET</t>
  </si>
  <si>
    <t>Réseau de Chaleur Urbain</t>
  </si>
  <si>
    <t>EnR Thermiques</t>
  </si>
  <si>
    <t>Chaleur issue de l'Environnement</t>
  </si>
  <si>
    <t>Mix ECS 2016</t>
  </si>
  <si>
    <t>Mix ECS 2019</t>
  </si>
  <si>
    <t>EDF estime la part de PAC/CET à 4 % en 2020 (soustrait à l’élec) – en part des logements</t>
  </si>
  <si>
    <t>Mix cuisson 2016</t>
  </si>
  <si>
    <t>Cuisson</t>
  </si>
  <si>
    <t>Mix cuisson 2019</t>
  </si>
  <si>
    <t>Électricité</t>
  </si>
  <si>
    <t>PAC/CET</t>
  </si>
  <si>
    <t>Réseau de chaleur</t>
  </si>
  <si>
    <t>Gaz naturel</t>
  </si>
  <si>
    <t>Biomasse</t>
  </si>
  <si>
    <t>Biogaz</t>
  </si>
  <si>
    <t>Renouvelables thermiques</t>
  </si>
  <si>
    <t>Chaleur Environnement</t>
  </si>
  <si>
    <t>charbon</t>
  </si>
  <si>
    <t>solaire thermique</t>
  </si>
  <si>
    <t>Mix ECS</t>
  </si>
  <si>
    <t>Reprise AME21 globalement</t>
  </si>
  <si>
    <t>Mix cuisson</t>
  </si>
  <si>
    <t>Mix Cuisson</t>
  </si>
  <si>
    <t>Reprise AME21 avec recul plus marqué du fioul</t>
  </si>
  <si>
    <t>Attention, choisir PCI</t>
  </si>
  <si>
    <t>Mix en énergie finale</t>
  </si>
  <si>
    <t>Gaz réseau</t>
  </si>
  <si>
    <t>Renouvelables thermiques (solaire)</t>
  </si>
  <si>
    <t>Electricité</t>
  </si>
  <si>
    <t>Solaire</t>
  </si>
  <si>
    <t>CET</t>
  </si>
  <si>
    <t>total</t>
  </si>
  <si>
    <t>TCAM emploi tertiaire</t>
  </si>
  <si>
    <t>Source : cadrage</t>
  </si>
  <si>
    <t>Année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</si>
  <si>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</si>
  <si>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</si>
  <si>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</si>
  <si>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</si>
  <si>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</si>
  <si>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</si>
  <si>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</si>
  <si>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</si>
  <si>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Surfaces par employés</t>
  </si>
  <si>
    <t>Surface totale 2020</t>
  </si>
  <si>
    <t>Répartition de l'emploi par branche</t>
  </si>
  <si>
    <t>Nombre d'empoi</t>
  </si>
  <si>
    <t>Surface par employé en m² 2020</t>
  </si>
  <si>
    <t>Variations AME 2023</t>
  </si>
  <si>
    <t>Elements explicatifs</t>
  </si>
  <si>
    <t>evol  Bureaux Administration</t>
  </si>
  <si>
    <t>une baisse de 0,2%/an pr le télétravail (reprise conservatrice de l'hyp de -6,4%/2020 pour 2joursTT/semaine, de la note de l'ORIE de 2021)</t>
  </si>
  <si>
    <t>evol  Café Hôtel Restaurant</t>
  </si>
  <si>
    <t>evol  Commerce</t>
  </si>
  <si>
    <t>E-commerce : hausse de 0,3 %/an</t>
  </si>
  <si>
    <t>evol  Enseignement Recherche</t>
  </si>
  <si>
    <t>evol  Habitat Communautaire</t>
  </si>
  <si>
    <t>vieillissement : hausse ephad 0,3 %/an</t>
  </si>
  <si>
    <t>evol  Santé Action Sociale</t>
  </si>
  <si>
    <t>vieillissement : hausse de 0,5 %/an</t>
  </si>
  <si>
    <t>evol  Sport Loisir Culture</t>
  </si>
  <si>
    <t>evol  Transport</t>
  </si>
  <si>
    <t>Surfaces de parc</t>
  </si>
  <si>
    <t>Parc AME 2023 (milliers de m²)</t>
  </si>
  <si>
    <t>Entrées dans le parc - en pourcentage du parc existant</t>
  </si>
  <si>
    <t>Sorties de parc - en pourcentage du parc existant</t>
  </si>
  <si>
    <t>Etat initial (2020)</t>
  </si>
  <si>
    <t>Branche</t>
  </si>
  <si>
    <t>Habitat Communautaire*</t>
  </si>
  <si>
    <t>Reconversions bureaux – logements</t>
  </si>
  <si>
    <t>Nombre de logements créés à partir de reconversions de bureaux (milliers)</t>
  </si>
  <si>
    <t>Surface moyenne des logements (m²)</t>
  </si>
  <si>
    <t>Surface tertiaire sortie du parc (Mm²)</t>
  </si>
  <si>
    <t>Surface tertiaire cumulée</t>
  </si>
  <si>
    <t>ratio d’efficience 6€/MWh</t>
  </si>
  <si>
    <t>ratio efficience 6€/MWh</t>
  </si>
  <si>
    <t>France relance – rénovation thermique des bâtiments publics</t>
  </si>
  <si>
    <r>
      <rPr>
        <sz val="10"/>
        <rFont val="Arial"/>
        <family val="2"/>
        <charset val="1"/>
      </rPr>
      <t xml:space="preserve">7,7 Md€ dont 1,2 Md€ pour les Ehpad, 2,5 Md€ pour les hôpitaux et 2,2 Md€ pour les universités. Sur l'enveloppe globale, tout n'est pas utilisé pour la rénovation énergétique. Voici la répartition de « part rénovation énergétique » proposée (sur la base du rapport de l’IGF sur la rénovation des cités administratives dans le cadre du GPI ): 
 - 42% * 2,2 = 0,924 Md€ pour les universités [chiffre de l’IGF pour les projets mixtes et rénovation] ; 
- 27%*2,5 = 0,675 Md€ pour les hôpitaux [chiffre de l'IGF pour l'ensemble des travaux du programme rénovation des cités administratives] 
- 34% * 3 = 1,02 Md€ pour les autres travaux [chiffre de l'IGF pour les projets mixtes]. 
On a donc au total </t>
    </r>
    <r>
      <rPr>
        <b/>
        <sz val="10"/>
        <rFont val="Arial"/>
        <family val="2"/>
        <charset val="1"/>
      </rPr>
      <t>2,6 Md€ consacrés exclusivement à la rénovation énergétique.</t>
    </r>
  </si>
  <si>
    <t>France relance – rénovation énergétique de TPE/PME</t>
  </si>
  <si>
    <r>
      <rPr>
        <sz val="10"/>
        <rFont val="Arial"/>
        <family val="2"/>
        <charset val="1"/>
      </rPr>
      <t xml:space="preserve">Il s'agit là d'aides directes aux travaux de rénovation. Par prudence, et en l'absence d'informations complémentaires sur le montant et la nature de l'aide, on considère un effet levier de 1 (pour 1 € d'aide, 1 € investi).   Sur les 200 M€ prévus pour cette mesure, seulement </t>
    </r>
    <r>
      <rPr>
        <b/>
        <sz val="10"/>
        <rFont val="Arial"/>
        <family val="2"/>
        <charset val="1"/>
      </rPr>
      <t>130 M€ concernent effectivement de la rénovation énergétique</t>
    </r>
    <r>
      <rPr>
        <sz val="10"/>
        <rFont val="Arial"/>
        <family val="2"/>
        <charset val="1"/>
      </rPr>
      <t>, le reste étant dédié à l'accompagnement des entreprises.</t>
    </r>
  </si>
  <si>
    <t>Décret tertiaire</t>
  </si>
  <si>
    <t>Hyp AMS18</t>
  </si>
  <si>
    <t>Effet rebond lors d’un geste de rénovation</t>
  </si>
  <si>
    <t>Surface tertiaire existante raccordée au réseau de chaleur (Mm²)</t>
  </si>
  <si>
    <t>source : CEREN/SDES</t>
  </si>
  <si>
    <t>Source : ADEME</t>
  </si>
  <si>
    <t>kWh/m²</t>
  </si>
  <si>
    <t xml:space="preserve">ECS </t>
  </si>
  <si>
    <t xml:space="preserve">Elec spécifique </t>
  </si>
  <si>
    <t>Climatisation</t>
  </si>
  <si>
    <t>Reprise AME21 (similaire ADEME S4)</t>
  </si>
  <si>
    <t>Hausse 10 % à 2050 (restauration hors domicile)</t>
  </si>
  <si>
    <t>Reprise AME 2021 baisse 5 % en 2050</t>
  </si>
  <si>
    <t>Conso EF en kWh/m²</t>
  </si>
  <si>
    <t>Données CEREN</t>
  </si>
  <si>
    <t>fioul domestique</t>
  </si>
  <si>
    <t>Chauffage urbain</t>
  </si>
  <si>
    <t>énergies renouvelables</t>
  </si>
  <si>
    <t>électricité (PAC incluses)</t>
  </si>
  <si>
    <t>Secteur</t>
  </si>
  <si>
    <t>Eclairage public</t>
  </si>
  <si>
    <t>Data centers</t>
  </si>
  <si>
    <t>EDF dit 10-11TWh (cohérent BorderStep Institute, AIE, Uptime institute). ADEME dit 2. Probablement une question de périmètre</t>
  </si>
  <si>
    <t>Parties communes d'immeubles</t>
  </si>
  <si>
    <t>Télécommunication</t>
  </si>
  <si>
    <t>Entrepôts frigorifiques</t>
  </si>
  <si>
    <t>Grands centres de recherche</t>
  </si>
  <si>
    <t>Secteur de l'eau</t>
  </si>
  <si>
    <t>Total extension du champ tertiaire</t>
  </si>
  <si>
    <t>AME 2021 : pas pris en compte</t>
  </si>
  <si>
    <t>TWh</t>
  </si>
  <si>
    <t>décroissance linéaire (~installation de LED à 50 %, nb de points lumineux suit la population, puissance moyenne et temps à pleine puissance constants)</t>
  </si>
  <si>
    <t>http://www.afe-eclairage.fr/afe/l-eclairage-en-chiffres-26.html</t>
  </si>
  <si>
    <t>2030 : reprise du chiffre 10TWh du CGE, 2050 reprise du x3 de RTE ? (mais dit 3TWh en 2015)</t>
  </si>
  <si>
    <t>https://www.economie.gouv.fr/files/files/directions_services/cge/consommation-energique-numerique.pdf</t>
  </si>
  <si>
    <t>Consommations générales d’immeubles</t>
  </si>
  <si>
    <t xml:space="preserve">annexé au nb de LC </t>
  </si>
  <si>
    <t>Télécommunications</t>
  </si>
  <si>
    <t>annexé population</t>
  </si>
  <si>
    <t>Entrepôts frigorifiques et grands établissements de recherche</t>
  </si>
  <si>
    <t>hausse modérée (plateformes logistiques, livraisons alimentaires)</t>
  </si>
  <si>
    <t>Eau (distribution et assainissements)</t>
  </si>
  <si>
    <t>Non spécifié</t>
  </si>
  <si>
    <t xml:space="preserve">constant  </t>
  </si>
  <si>
    <t>Gain de 60 % en 2050/2015</t>
  </si>
  <si>
    <t>Croissance de 40 % d’ici 2030/2015, constant ensuite</t>
  </si>
  <si>
    <t>Gain de 20 % en 2030/2015, de 25 % en 2050/2015</t>
  </si>
  <si>
    <t>Croissance de 25 % en 2030/2015, constant ensuite</t>
  </si>
  <si>
    <t>Gain de 30 % en 2030, constant ensuite</t>
  </si>
  <si>
    <t>Constant</t>
  </si>
  <si>
    <t>1. Taux d’équipements</t>
  </si>
  <si>
    <t>Taux pondéré Fce. entière</t>
  </si>
  <si>
    <t>H1A</t>
  </si>
  <si>
    <t>H1B</t>
  </si>
  <si>
    <t>H1C</t>
  </si>
  <si>
    <t>H2A</t>
  </si>
  <si>
    <t>H2B</t>
  </si>
  <si>
    <t>H2C</t>
  </si>
  <si>
    <t>H2D</t>
  </si>
  <si>
    <t>H3</t>
  </si>
  <si>
    <t>Martinique</t>
  </si>
  <si>
    <t>Guadeloupe</t>
  </si>
  <si>
    <t>Guyane</t>
  </si>
  <si>
    <t>Mayotte</t>
  </si>
  <si>
    <t>La Réunion</t>
  </si>
  <si>
    <t>2. Parc de climatiseurs</t>
  </si>
  <si>
    <t>Répartion du parc par technologie et type de logement [%]</t>
  </si>
  <si>
    <t>Surface moy. pondérée climatisée (M²)</t>
  </si>
  <si>
    <t>Climatiseur mobile</t>
  </si>
  <si>
    <t>Climatiseur Monosplit</t>
  </si>
  <si>
    <t>PAC Air-Air multisplit</t>
  </si>
  <si>
    <t>Pac Air Eau Elec</t>
  </si>
  <si>
    <t>Pac Gaz</t>
  </si>
  <si>
    <t>Réseau Froid</t>
  </si>
  <si>
    <t>Absorption solaire</t>
  </si>
  <si>
    <t>PAC Géothermique Eau-eau</t>
  </si>
  <si>
    <t>Techno alternat. 2</t>
  </si>
  <si>
    <t>Mais. Indiv.</t>
  </si>
  <si>
    <t>Appart. &amp; Autres</t>
  </si>
  <si>
    <t>EER des équipements [30 ° ext. - Consigne 27°]</t>
  </si>
  <si>
    <t xml:space="preserve">TCAM </t>
  </si>
  <si>
    <t>$2006</t>
  </si>
  <si>
    <t>2030/2020</t>
  </si>
  <si>
    <t>2050/2030</t>
  </si>
  <si>
    <t>Technologie Alternative 2</t>
  </si>
  <si>
    <t>3. Usage de la climatisation</t>
  </si>
  <si>
    <t>température de consigne (°C)</t>
  </si>
  <si>
    <t>température de mise en route (°C)</t>
  </si>
  <si>
    <t>Durée moyenne de fonctionnement (h)</t>
  </si>
  <si>
    <t>AME  (post 2030)</t>
  </si>
  <si>
    <t>Résidences principales</t>
  </si>
  <si>
    <t>On ignore les « autres » (on laisse les chiffres ADEME…)</t>
  </si>
  <si>
    <t>verif MI</t>
  </si>
  <si>
    <t>répartition</t>
  </si>
  <si>
    <t>Propriétaire</t>
  </si>
  <si>
    <t>Total MI</t>
  </si>
  <si>
    <t>Locataire bailleur privé</t>
  </si>
  <si>
    <t>Locataire HLM</t>
  </si>
  <si>
    <t>Principale</t>
  </si>
  <si>
    <t>Maison individuelle</t>
  </si>
  <si>
    <t>Locataire privé</t>
  </si>
  <si>
    <t>Locataire bailleur HLM</t>
  </si>
  <si>
    <t>verif LC</t>
  </si>
  <si>
    <t>Total LC</t>
  </si>
  <si>
    <t>Appartement</t>
  </si>
  <si>
    <t>verif rs</t>
  </si>
  <si>
    <t>Total RS</t>
  </si>
  <si>
    <t>Secondaire</t>
  </si>
  <si>
    <t>Construction neuve rési</t>
  </si>
  <si>
    <t>parc résidentiel</t>
  </si>
  <si>
    <t>Résidentiel existant</t>
  </si>
  <si>
    <t>Résidentiel hors chauffage</t>
  </si>
  <si>
    <t>Construction et parc tertiaire</t>
  </si>
  <si>
    <t>Tertiaire existant</t>
  </si>
  <si>
    <t>Tertiaire hors chauffage</t>
  </si>
  <si>
    <t>Hors CEREN</t>
  </si>
  <si>
    <t>parc rési détail AME</t>
  </si>
  <si>
    <t>par rési détail AMS</t>
  </si>
  <si>
    <t>Maisons individuelles</t>
  </si>
  <si>
    <t>Logements collectifs</t>
  </si>
  <si>
    <t>Onglet</t>
  </si>
  <si>
    <t>Hypothèse décohabitation forte (DHUP) pour 2030-2050. Valeurs historiques INSEE pour 2015-2020</t>
  </si>
  <si>
    <t>Taux de destruction constant à 0,2% du parc</t>
  </si>
  <si>
    <t>Coefficient</t>
  </si>
  <si>
    <t>Organisation du fichier</t>
  </si>
  <si>
    <t>Description</t>
  </si>
  <si>
    <t>Hypothèses sur les mesures appliquées au parc résidentiel</t>
  </si>
  <si>
    <t>Hypothèses sur les mesures appliquées au parc tertiaire</t>
  </si>
  <si>
    <t>Hypothèses sur le hors chauffage résidentiel</t>
  </si>
  <si>
    <t>Hypothèses sur le hors chauffage tertiaire</t>
  </si>
  <si>
    <t>Hypothèses de consommation de climatisation</t>
  </si>
  <si>
    <t>Données complémentaires sur le parc en AME</t>
  </si>
  <si>
    <t>Données complémentaires sur le parc en AMS</t>
  </si>
  <si>
    <t>Elimination des logements E et D</t>
  </si>
  <si>
    <t>Besoin "en stock" (inadéquation et mal-logement)</t>
  </si>
  <si>
    <t>Nombre de logements manquant</t>
  </si>
  <si>
    <t>Estimation DHUP du besoin en stock : 76k sur 13 ans, résorption de 50% en 2050</t>
  </si>
  <si>
    <t>Résultats sur les besoins en neuf résidentiel (calculés par le module Antonio)</t>
  </si>
  <si>
    <t>Prise en compte 50% de la trajectoire du décret tertiaire</t>
  </si>
  <si>
    <t>Les hypothèses mises à jour depuis le run 1 sont indiquées en jaune</t>
  </si>
  <si>
    <t>Hypothèses déterminant la construction neuve résidentielle</t>
  </si>
  <si>
    <t>Hypothèses sur la construction neuve tertiaire (surface) et réhabilitations de bureaux</t>
  </si>
  <si>
    <t>Hypothèses sur la consommation hors CEREN (éclairage, data centers etc)</t>
  </si>
  <si>
    <t>²</t>
  </si>
  <si>
    <t>AME : Reprise du scénario tendanciel ADEME.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</si>
</sst>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164" formatCode="\ * #,##0\ ;\-* #,##0\ ;\ * &quot;- &quot;;\ @\ "/>
    <numFmt numFmtId="165" formatCode="&quot; $&quot;* #,##0\ ;&quot; $&quot;* \(#,##0\);&quot; $&quot;* &quot;- &quot;;\ @\ "/>
    <numFmt numFmtId="166" formatCode="_-* #,##0.00&quot; €&quot;_-;\-* #,##0.00&quot; €&quot;_-;_-* \-??&quot; €&quot;_-;_-@_-"/>
    <numFmt numFmtId="167" formatCode="\ * #,##0.00&quot;    &quot;;\-* #,##0.00&quot;    &quot;;\ * \-#&quot;    &quot;;\ @\ "/>
    <numFmt numFmtId="168" formatCode="\ * #,##0.00\ ;\-* #,##0.00\ ;\ * \-#\ ;\ @\ "/>
    <numFmt numFmtId="169" formatCode="0\ %"/>
    <numFmt numFmtId="170" formatCode="#,##0.00\ [$€-40C];[Red]\-#,##0.00\ [$€-40C]"/>
    <numFmt numFmtId="171" formatCode="0.0"/>
    <numFmt numFmtId="172" formatCode="0.00\ %"/>
    <numFmt numFmtId="173" formatCode="0.0%"/>
    <numFmt numFmtId="174" formatCode="_-* #,##0.00_-;\-* #,##0.00_-;_-* \-??_-;_-@_-"/>
    <numFmt numFmtId="175" formatCode="_-* #,##0\ _€_-;\-* #,##0\ _€_-;_-* \-??\ _€_-;_-@_-"/>
    <numFmt numFmtId="176" formatCode="#,##0.00&quot;    &quot;;#,##0.00&quot;    &quot;;\-#&quot;    &quot;;@\ "/>
    <numFmt numFmtId="177" formatCode="#,##0&quot;    &quot;;#,##0&quot;    &quot;;\-#&quot;    &quot;;@\ "/>
    <numFmt numFmtId="178" formatCode="#,##0.0"/>
    <numFmt numFmtId="179" formatCode="0.000"/>
    <numFmt numFmtId="180" formatCode="0.000\ %"/>
    <numFmt numFmtId="181" formatCode="_-* #,##0.0000_-;\-* #,##0.0000_-;_-* &quot;-&quot;??_-;_-@_-"/>
    <numFmt numFmtId="182" formatCode="#,##0.00&quot;    &quot;;#,##0.00&quot;    &quot;;&quot;-&quot;#&quot;    &quot;;@&quot; &quot;"/>
    <numFmt numFmtId="183" formatCode="_-* #,##0_-;\-* #,##0_-;_-* \-??_-;_-@_-"/>
  </numFmts>
  <fonts count="5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0"/>
      <name val="Arial"/>
      <family val="2"/>
      <charset val="1"/>
    </font>
    <font>
      <b/>
      <i/>
      <sz val="16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1"/>
      <color rgb="FF993300"/>
      <name val="Calibri"/>
      <family val="2"/>
      <charset val="1"/>
    </font>
    <font>
      <sz val="11"/>
      <name val="Calibri"/>
      <family val="2"/>
      <charset val="1"/>
    </font>
    <font>
      <sz val="12"/>
      <name val="Arial"/>
      <family val="2"/>
      <charset val="1"/>
    </font>
    <font>
      <sz val="10"/>
      <name val="MS Sans Serif"/>
      <family val="2"/>
      <charset val="1"/>
    </font>
    <font>
      <sz val="10"/>
      <color rgb="FF333333"/>
      <name val="Arial"/>
      <family val="2"/>
      <charset val="1"/>
    </font>
    <font>
      <b/>
      <i/>
      <u/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3"/>
      <name val="Arial"/>
      <family val="2"/>
      <charset val="1"/>
    </font>
    <font>
      <b/>
      <sz val="11"/>
      <color rgb="FF000000"/>
      <name val="Calibri"/>
      <family val="2"/>
    </font>
    <font>
      <vertAlign val="superscript"/>
      <sz val="10"/>
      <name val="Arial"/>
      <family val="2"/>
      <charset val="1"/>
    </font>
    <font>
      <i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b/>
      <i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808080"/>
      <name val="Arial"/>
      <family val="2"/>
      <charset val="1"/>
    </font>
    <font>
      <sz val="10"/>
      <color rgb="FF808080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b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sz val="9"/>
      <color rgb="FFFFFFFF"/>
      <name val="Calibri"/>
      <family val="2"/>
      <charset val="1"/>
    </font>
    <font>
      <i/>
      <sz val="8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i/>
      <sz val="9"/>
      <name val="Arial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F8000"/>
        <bgColor rgb="FFFF6600"/>
      </patternFill>
    </fill>
    <fill>
      <patternFill patternType="solid">
        <fgColor rgb="FFFFFF00"/>
        <bgColor rgb="FFFFF200"/>
      </patternFill>
    </fill>
    <fill>
      <patternFill patternType="solid">
        <fgColor rgb="FFFFBF00"/>
        <bgColor rgb="FFFFF200"/>
      </patternFill>
    </fill>
    <fill>
      <patternFill patternType="solid">
        <fgColor rgb="FFFFD966"/>
        <bgColor rgb="FFFFFF99"/>
      </patternFill>
    </fill>
    <fill>
      <patternFill patternType="solid">
        <fgColor rgb="FFFFF200"/>
        <bgColor rgb="FFFFFF00"/>
      </patternFill>
    </fill>
    <fill>
      <patternFill patternType="solid">
        <fgColor rgb="FF002060"/>
        <bgColor rgb="FF000080"/>
      </patternFill>
    </fill>
    <fill>
      <patternFill patternType="solid">
        <fgColor rgb="FFBDD7EE"/>
        <bgColor rgb="FFDAE3F3"/>
      </patternFill>
    </fill>
    <fill>
      <patternFill patternType="solid">
        <fgColor rgb="FFDAE3F3"/>
        <bgColor rgb="FFDDDDDD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/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/>
      <top style="thin">
        <color rgb="FF333399"/>
      </top>
      <bottom/>
      <diagonal/>
    </border>
    <border>
      <left style="thin">
        <color rgb="FF333399"/>
      </left>
      <right style="thin">
        <color rgb="FF333399"/>
      </right>
      <top/>
      <bottom style="thin">
        <color rgb="FF33339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78">
    <xf numFmtId="0" fontId="0" fillId="0" borderId="0"/>
    <xf numFmtId="174" fontId="51" fillId="0" borderId="0" applyBorder="0" applyProtection="0"/>
    <xf numFmtId="169" fontId="5" fillId="0" borderId="0" applyBorder="0" applyProtection="0"/>
    <xf numFmtId="0" fontId="2" fillId="2" borderId="0" applyBorder="0" applyProtection="0"/>
    <xf numFmtId="0" fontId="2" fillId="2" borderId="0" applyBorder="0" applyProtection="0"/>
    <xf numFmtId="0" fontId="3" fillId="0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4" borderId="0" applyBorder="0" applyProtection="0"/>
    <xf numFmtId="0" fontId="3" fillId="4" borderId="0" applyBorder="0" applyProtection="0"/>
    <xf numFmtId="0" fontId="3" fillId="0" borderId="0" applyBorder="0" applyProtection="0"/>
    <xf numFmtId="0" fontId="4" fillId="5" borderId="0" applyBorder="0" applyProtection="0"/>
    <xf numFmtId="0" fontId="4" fillId="5" borderId="0" applyBorder="0" applyProtection="0"/>
    <xf numFmtId="164" fontId="5" fillId="0" borderId="0" applyBorder="0" applyProtection="0"/>
    <xf numFmtId="164" fontId="51" fillId="0" borderId="0" applyBorder="0" applyProtection="0"/>
    <xf numFmtId="165" fontId="5" fillId="0" borderId="0" applyBorder="0" applyProtection="0"/>
    <xf numFmtId="165" fontId="51" fillId="0" borderId="0" applyBorder="0" applyProtection="0"/>
    <xf numFmtId="0" fontId="6" fillId="0" borderId="0" applyBorder="0" applyProtection="0">
      <alignment horizontal="center"/>
    </xf>
    <xf numFmtId="0" fontId="7" fillId="6" borderId="0" applyBorder="0" applyProtection="0"/>
    <xf numFmtId="0" fontId="7" fillId="6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7" borderId="0" applyBorder="0" applyProtection="0"/>
    <xf numFmtId="0" fontId="9" fillId="7" borderId="0" applyBorder="0" applyProtection="0"/>
    <xf numFmtId="0" fontId="10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12" fillId="0" borderId="0" applyBorder="0" applyProtection="0"/>
    <xf numFmtId="0" fontId="12" fillId="0" borderId="0" applyBorder="0" applyProtection="0"/>
    <xf numFmtId="167" fontId="5" fillId="0" borderId="0" applyBorder="0" applyProtection="0"/>
    <xf numFmtId="167" fontId="5" fillId="0" borderId="0" applyBorder="0" applyProtection="0"/>
    <xf numFmtId="167" fontId="5" fillId="0" borderId="0" applyBorder="0" applyProtection="0"/>
    <xf numFmtId="168" fontId="5" fillId="0" borderId="0" applyBorder="0" applyProtection="0"/>
    <xf numFmtId="168" fontId="51" fillId="0" borderId="0" applyBorder="0" applyProtection="0"/>
    <xf numFmtId="0" fontId="13" fillId="8" borderId="0" applyBorder="0" applyProtection="0"/>
    <xf numFmtId="0" fontId="13" fillId="8" borderId="0" applyBorder="0" applyProtection="0"/>
    <xf numFmtId="0" fontId="14" fillId="9" borderId="0" applyBorder="0" applyProtection="0"/>
    <xf numFmtId="0" fontId="15" fillId="0" borderId="0"/>
    <xf numFmtId="0" fontId="5" fillId="0" borderId="0"/>
    <xf numFmtId="0" fontId="51" fillId="0" borderId="0"/>
    <xf numFmtId="0" fontId="16" fillId="0" borderId="0"/>
    <xf numFmtId="0" fontId="5" fillId="0" borderId="0"/>
    <xf numFmtId="0" fontId="51" fillId="0" borderId="0"/>
    <xf numFmtId="0" fontId="16" fillId="0" borderId="0"/>
    <xf numFmtId="0" fontId="51" fillId="0" borderId="0"/>
    <xf numFmtId="0" fontId="5" fillId="0" borderId="0"/>
    <xf numFmtId="0" fontId="51" fillId="0" borderId="0"/>
    <xf numFmtId="0" fontId="17" fillId="0" borderId="0"/>
    <xf numFmtId="0" fontId="15" fillId="0" borderId="0"/>
    <xf numFmtId="0" fontId="51" fillId="0" borderId="0"/>
    <xf numFmtId="0" fontId="5" fillId="0" borderId="0"/>
    <xf numFmtId="0" fontId="51" fillId="0" borderId="0"/>
    <xf numFmtId="0" fontId="18" fillId="8" borderId="1" applyProtection="0"/>
    <xf numFmtId="0" fontId="18" fillId="8" borderId="1" applyProtection="0"/>
    <xf numFmtId="169" fontId="5" fillId="0" borderId="0" applyBorder="0" applyProtection="0"/>
    <xf numFmtId="169" fontId="51" fillId="0" borderId="0" applyBorder="0" applyProtection="0"/>
    <xf numFmtId="169" fontId="51" fillId="0" borderId="0" applyBorder="0" applyProtection="0"/>
    <xf numFmtId="169" fontId="5" fillId="0" borderId="0" applyBorder="0" applyProtection="0"/>
    <xf numFmtId="169" fontId="15" fillId="0" borderId="0" applyBorder="0" applyProtection="0"/>
    <xf numFmtId="169" fontId="5" fillId="0" borderId="0" applyBorder="0" applyProtection="0"/>
    <xf numFmtId="0" fontId="19" fillId="0" borderId="0" applyBorder="0" applyProtection="0"/>
    <xf numFmtId="170" fontId="19" fillId="0" borderId="0" applyBorder="0" applyProtection="0"/>
    <xf numFmtId="0" fontId="5" fillId="0" borderId="0">
      <alignment vertical="top"/>
    </xf>
    <xf numFmtId="0" fontId="5" fillId="0" borderId="0" applyBorder="0" applyProtection="0"/>
    <xf numFmtId="0" fontId="5" fillId="0" borderId="0" applyBorder="0" applyProtection="0"/>
    <xf numFmtId="0" fontId="51" fillId="10" borderId="0">
      <alignment wrapText="1"/>
    </xf>
    <xf numFmtId="0" fontId="5" fillId="0" borderId="0" applyBorder="0" applyProtection="0"/>
    <xf numFmtId="0" fontId="5" fillId="0" borderId="0" applyBorder="0" applyProtection="0"/>
    <xf numFmtId="0" fontId="6" fillId="0" borderId="0" applyBorder="0" applyProtection="0">
      <alignment horizontal="center" textRotation="90"/>
    </xf>
    <xf numFmtId="0" fontId="4" fillId="0" borderId="0" applyBorder="0" applyProtection="0"/>
    <xf numFmtId="0" fontId="4" fillId="0" borderId="0" applyBorder="0" applyProtection="0"/>
    <xf numFmtId="176" fontId="29" fillId="0" borderId="0"/>
    <xf numFmtId="182" fontId="29" fillId="0" borderId="0"/>
  </cellStyleXfs>
  <cellXfs count="270">
    <xf numFmtId="0" fontId="0" fillId="0" borderId="0" xfId="0"/>
    <xf numFmtId="0" fontId="21" fillId="0" borderId="0" xfId="0" applyFont="1"/>
    <xf numFmtId="0" fontId="5" fillId="0" borderId="0" xfId="0" applyFont="1" applyBorder="1" applyAlignment="1">
      <alignment horizontal="center"/>
    </xf>
    <xf numFmtId="0" fontId="0" fillId="0" borderId="2" xfId="0" applyBorder="1"/>
    <xf numFmtId="0" fontId="21" fillId="0" borderId="2" xfId="0" applyFont="1" applyBorder="1"/>
    <xf numFmtId="0" fontId="5" fillId="0" borderId="2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171" fontId="51" fillId="0" borderId="2" xfId="56" applyNumberFormat="1" applyBorder="1"/>
    <xf numFmtId="0" fontId="5" fillId="0" borderId="2" xfId="0" applyFont="1" applyBorder="1" applyAlignment="1">
      <alignment horizontal="center" wrapText="1"/>
    </xf>
    <xf numFmtId="169" fontId="5" fillId="0" borderId="2" xfId="0" applyNumberFormat="1" applyFont="1" applyBorder="1"/>
    <xf numFmtId="0" fontId="5" fillId="0" borderId="2" xfId="0" applyFont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71" fontId="5" fillId="0" borderId="2" xfId="0" applyNumberFormat="1" applyFont="1" applyBorder="1"/>
    <xf numFmtId="0" fontId="5" fillId="0" borderId="2" xfId="0" applyFont="1" applyBorder="1" applyAlignment="1">
      <alignment wrapText="1"/>
    </xf>
    <xf numFmtId="172" fontId="0" fillId="0" borderId="2" xfId="0" applyNumberFormat="1" applyBorder="1"/>
    <xf numFmtId="169" fontId="0" fillId="0" borderId="2" xfId="0" applyNumberFormat="1" applyBorder="1"/>
    <xf numFmtId="173" fontId="0" fillId="0" borderId="2" xfId="0" applyNumberFormat="1" applyBorder="1"/>
    <xf numFmtId="169" fontId="0" fillId="0" borderId="0" xfId="0" applyNumberFormat="1"/>
    <xf numFmtId="172" fontId="0" fillId="0" borderId="0" xfId="0" applyNumberFormat="1"/>
    <xf numFmtId="0" fontId="5" fillId="0" borderId="0" xfId="0" applyFont="1" applyBorder="1"/>
    <xf numFmtId="0" fontId="0" fillId="0" borderId="4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>
      <alignment horizontal="center" vertical="center" wrapText="1"/>
    </xf>
    <xf numFmtId="172" fontId="0" fillId="0" borderId="6" xfId="0" applyNumberFormat="1" applyBorder="1"/>
    <xf numFmtId="0" fontId="5" fillId="0" borderId="0" xfId="0" applyFont="1" applyAlignment="1">
      <alignment horizontal="center" vertical="center" wrapText="1"/>
    </xf>
    <xf numFmtId="169" fontId="5" fillId="0" borderId="6" xfId="0" applyNumberFormat="1" applyFont="1" applyBorder="1"/>
    <xf numFmtId="0" fontId="5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/>
    <xf numFmtId="0" fontId="15" fillId="0" borderId="0" xfId="0" applyFont="1"/>
    <xf numFmtId="169" fontId="0" fillId="0" borderId="6" xfId="0" applyNumberFormat="1" applyBorder="1"/>
    <xf numFmtId="173" fontId="0" fillId="0" borderId="6" xfId="0" applyNumberFormat="1" applyBorder="1"/>
    <xf numFmtId="0" fontId="2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21" fillId="12" borderId="0" xfId="0" applyFont="1" applyFill="1" applyAlignment="1">
      <alignment wrapText="1"/>
    </xf>
    <xf numFmtId="0" fontId="5" fillId="12" borderId="0" xfId="0" applyFont="1" applyFill="1"/>
    <xf numFmtId="171" fontId="5" fillId="0" borderId="6" xfId="0" applyNumberFormat="1" applyFont="1" applyBorder="1"/>
    <xf numFmtId="0" fontId="0" fillId="0" borderId="0" xfId="0" applyAlignment="1">
      <alignment wrapText="1"/>
    </xf>
    <xf numFmtId="0" fontId="0" fillId="0" borderId="0" xfId="0" applyBorder="1"/>
    <xf numFmtId="0" fontId="5" fillId="0" borderId="10" xfId="0" applyFont="1" applyBorder="1"/>
    <xf numFmtId="0" fontId="0" fillId="0" borderId="11" xfId="0" applyBorder="1" applyAlignment="1">
      <alignment wrapText="1"/>
    </xf>
    <xf numFmtId="173" fontId="0" fillId="0" borderId="12" xfId="0" applyNumberFormat="1" applyBorder="1"/>
    <xf numFmtId="173" fontId="0" fillId="0" borderId="13" xfId="0" applyNumberFormat="1" applyBorder="1"/>
    <xf numFmtId="0" fontId="0" fillId="0" borderId="14" xfId="0" applyBorder="1" applyAlignment="1">
      <alignment wrapText="1"/>
    </xf>
    <xf numFmtId="0" fontId="5" fillId="0" borderId="15" xfId="0" applyFont="1" applyBorder="1"/>
    <xf numFmtId="173" fontId="0" fillId="0" borderId="0" xfId="0" applyNumberFormat="1" applyBorder="1"/>
    <xf numFmtId="173" fontId="0" fillId="0" borderId="16" xfId="0" applyNumberFormat="1" applyBorder="1"/>
    <xf numFmtId="0" fontId="5" fillId="0" borderId="6" xfId="0" applyFon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73" fontId="0" fillId="0" borderId="6" xfId="0" applyNumberFormat="1" applyBorder="1" applyAlignment="1">
      <alignment horizontal="center"/>
    </xf>
    <xf numFmtId="0" fontId="0" fillId="0" borderId="17" xfId="0" applyBorder="1" applyAlignment="1">
      <alignment wrapText="1"/>
    </xf>
    <xf numFmtId="0" fontId="5" fillId="0" borderId="18" xfId="0" applyFont="1" applyBorder="1"/>
    <xf numFmtId="173" fontId="0" fillId="0" borderId="19" xfId="0" applyNumberFormat="1" applyBorder="1"/>
    <xf numFmtId="173" fontId="0" fillId="0" borderId="20" xfId="0" applyNumberFormat="1" applyBorder="1"/>
    <xf numFmtId="0" fontId="22" fillId="0" borderId="0" xfId="0" applyFont="1"/>
    <xf numFmtId="0" fontId="0" fillId="0" borderId="0" xfId="0" applyAlignment="1">
      <alignment horizontal="center"/>
    </xf>
    <xf numFmtId="0" fontId="21" fillId="0" borderId="6" xfId="0" applyFont="1" applyBorder="1"/>
    <xf numFmtId="0" fontId="21" fillId="0" borderId="0" xfId="0" applyFont="1" applyBorder="1"/>
    <xf numFmtId="0" fontId="0" fillId="0" borderId="6" xfId="0" applyFont="1" applyBorder="1"/>
    <xf numFmtId="0" fontId="23" fillId="13" borderId="0" xfId="0" applyFont="1" applyFill="1"/>
    <xf numFmtId="3" fontId="21" fillId="0" borderId="0" xfId="0" applyNumberFormat="1" applyFont="1"/>
    <xf numFmtId="3" fontId="0" fillId="0" borderId="0" xfId="0" applyNumberFormat="1"/>
    <xf numFmtId="1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2" fontId="0" fillId="0" borderId="0" xfId="0" applyNumberFormat="1"/>
    <xf numFmtId="0" fontId="27" fillId="0" borderId="0" xfId="0" applyFont="1"/>
    <xf numFmtId="171" fontId="0" fillId="0" borderId="0" xfId="0" applyNumberFormat="1"/>
    <xf numFmtId="0" fontId="0" fillId="0" borderId="6" xfId="0" applyBorder="1"/>
    <xf numFmtId="1" fontId="0" fillId="0" borderId="6" xfId="0" applyNumberFormat="1" applyBorder="1"/>
    <xf numFmtId="171" fontId="0" fillId="0" borderId="6" xfId="0" applyNumberFormat="1" applyBorder="1"/>
    <xf numFmtId="173" fontId="0" fillId="0" borderId="0" xfId="0" applyNumberFormat="1"/>
    <xf numFmtId="1" fontId="27" fillId="0" borderId="6" xfId="0" applyNumberFormat="1" applyFont="1" applyBorder="1" applyAlignment="1">
      <alignment horizontal="center"/>
    </xf>
    <xf numFmtId="1" fontId="28" fillId="0" borderId="21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173" fontId="0" fillId="0" borderId="21" xfId="0" applyNumberFormat="1" applyBorder="1" applyAlignment="1">
      <alignment horizontal="center"/>
    </xf>
    <xf numFmtId="173" fontId="0" fillId="0" borderId="2" xfId="0" applyNumberFormat="1" applyBorder="1" applyAlignment="1">
      <alignment horizontal="center"/>
    </xf>
    <xf numFmtId="169" fontId="5" fillId="0" borderId="2" xfId="2" applyFont="1" applyBorder="1" applyAlignment="1" applyProtection="1">
      <alignment horizontal="center" wrapText="1"/>
    </xf>
    <xf numFmtId="169" fontId="5" fillId="0" borderId="2" xfId="2" applyFont="1" applyBorder="1" applyAlignment="1" applyProtection="1">
      <alignment horizontal="center" vertical="center" wrapText="1"/>
    </xf>
    <xf numFmtId="0" fontId="0" fillId="0" borderId="22" xfId="0" applyBorder="1"/>
    <xf numFmtId="0" fontId="21" fillId="0" borderId="23" xfId="0" applyFont="1" applyBorder="1"/>
    <xf numFmtId="173" fontId="0" fillId="0" borderId="24" xfId="0" applyNumberFormat="1" applyBorder="1"/>
    <xf numFmtId="172" fontId="0" fillId="0" borderId="24" xfId="0" applyNumberFormat="1" applyBorder="1"/>
    <xf numFmtId="0" fontId="5" fillId="0" borderId="24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3" fontId="0" fillId="0" borderId="28" xfId="0" applyNumberFormat="1" applyBorder="1"/>
    <xf numFmtId="0" fontId="0" fillId="0" borderId="29" xfId="0" applyBorder="1"/>
    <xf numFmtId="0" fontId="0" fillId="0" borderId="24" xfId="0" applyBorder="1"/>
    <xf numFmtId="3" fontId="30" fillId="0" borderId="30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horizontal="center"/>
    </xf>
    <xf numFmtId="3" fontId="31" fillId="0" borderId="2" xfId="0" applyNumberFormat="1" applyFont="1" applyBorder="1"/>
    <xf numFmtId="175" fontId="0" fillId="0" borderId="2" xfId="0" applyNumberFormat="1" applyBorder="1"/>
    <xf numFmtId="0" fontId="0" fillId="0" borderId="0" xfId="0" applyFont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0" borderId="30" xfId="0" applyFont="1" applyBorder="1" applyAlignment="1">
      <alignment horizontal="center" vertical="center" wrapText="1"/>
    </xf>
    <xf numFmtId="0" fontId="31" fillId="10" borderId="31" xfId="0" applyFont="1" applyFill="1" applyBorder="1" applyAlignment="1">
      <alignment horizontal="center" vertical="center" wrapText="1"/>
    </xf>
    <xf numFmtId="0" fontId="31" fillId="0" borderId="2" xfId="0" applyFont="1" applyBorder="1"/>
    <xf numFmtId="177" fontId="32" fillId="0" borderId="32" xfId="76" applyNumberFormat="1" applyFont="1" applyBorder="1" applyAlignment="1" applyProtection="1"/>
    <xf numFmtId="169" fontId="29" fillId="0" borderId="2" xfId="2" applyFont="1" applyBorder="1" applyAlignment="1" applyProtection="1"/>
    <xf numFmtId="177" fontId="32" fillId="10" borderId="32" xfId="76" applyNumberFormat="1" applyFont="1" applyFill="1" applyBorder="1" applyAlignment="1" applyProtection="1">
      <alignment horizontal="right"/>
    </xf>
    <xf numFmtId="0" fontId="0" fillId="0" borderId="2" xfId="0" applyBorder="1"/>
    <xf numFmtId="171" fontId="31" fillId="0" borderId="2" xfId="0" applyNumberFormat="1" applyFont="1" applyBorder="1" applyAlignment="1">
      <alignment horizontal="center"/>
    </xf>
    <xf numFmtId="177" fontId="32" fillId="0" borderId="33" xfId="76" applyNumberFormat="1" applyFont="1" applyBorder="1" applyAlignment="1" applyProtection="1"/>
    <xf numFmtId="177" fontId="32" fillId="10" borderId="33" xfId="76" applyNumberFormat="1" applyFont="1" applyFill="1" applyBorder="1" applyAlignment="1" applyProtection="1">
      <alignment horizontal="right"/>
    </xf>
    <xf numFmtId="0" fontId="0" fillId="0" borderId="2" xfId="0" applyBorder="1" applyAlignment="1">
      <alignment horizontal="center" vertical="center" wrapText="1"/>
    </xf>
    <xf numFmtId="0" fontId="33" fillId="10" borderId="34" xfId="0" applyFont="1" applyFill="1" applyBorder="1"/>
    <xf numFmtId="0" fontId="31" fillId="10" borderId="31" xfId="0" applyFont="1" applyFill="1" applyBorder="1"/>
    <xf numFmtId="0" fontId="0" fillId="10" borderId="31" xfId="0" applyFont="1" applyFill="1" applyBorder="1"/>
    <xf numFmtId="172" fontId="32" fillId="10" borderId="31" xfId="61" applyNumberFormat="1" applyFont="1" applyFill="1" applyBorder="1" applyAlignment="1" applyProtection="1">
      <alignment horizontal="center" vertical="center"/>
    </xf>
    <xf numFmtId="178" fontId="31" fillId="0" borderId="2" xfId="0" applyNumberFormat="1" applyFont="1" applyBorder="1"/>
    <xf numFmtId="177" fontId="32" fillId="10" borderId="32" xfId="76" applyNumberFormat="1" applyFont="1" applyFill="1" applyBorder="1" applyAlignment="1" applyProtection="1"/>
    <xf numFmtId="0" fontId="32" fillId="10" borderId="35" xfId="0" applyFont="1" applyFill="1" applyBorder="1"/>
    <xf numFmtId="172" fontId="32" fillId="10" borderId="32" xfId="2" applyNumberFormat="1" applyFont="1" applyFill="1" applyBorder="1" applyAlignment="1" applyProtection="1"/>
    <xf numFmtId="172" fontId="32" fillId="0" borderId="31" xfId="61" applyNumberFormat="1" applyFont="1" applyBorder="1" applyAlignment="1" applyProtection="1">
      <alignment horizontal="center" vertical="center"/>
    </xf>
    <xf numFmtId="177" fontId="32" fillId="10" borderId="33" xfId="76" applyNumberFormat="1" applyFont="1" applyFill="1" applyBorder="1" applyAlignment="1" applyProtection="1"/>
    <xf numFmtId="0" fontId="32" fillId="10" borderId="31" xfId="0" applyFont="1" applyFill="1" applyBorder="1"/>
    <xf numFmtId="178" fontId="31" fillId="0" borderId="15" xfId="0" applyNumberFormat="1" applyFont="1" applyBorder="1"/>
    <xf numFmtId="0" fontId="0" fillId="0" borderId="0" xfId="0" applyAlignment="1">
      <alignment horizontal="center" vertical="center" wrapText="1"/>
    </xf>
    <xf numFmtId="0" fontId="21" fillId="0" borderId="0" xfId="0" applyFont="1" applyAlignment="1">
      <alignment wrapText="1"/>
    </xf>
    <xf numFmtId="171" fontId="0" fillId="0" borderId="2" xfId="0" applyNumberFormat="1" applyBorder="1"/>
    <xf numFmtId="0" fontId="34" fillId="0" borderId="0" xfId="0" applyFont="1"/>
    <xf numFmtId="0" fontId="35" fillId="0" borderId="0" xfId="0" applyFont="1"/>
    <xf numFmtId="0" fontId="36" fillId="0" borderId="2" xfId="0" applyFont="1" applyBorder="1" applyAlignment="1">
      <alignment wrapText="1"/>
    </xf>
    <xf numFmtId="0" fontId="36" fillId="0" borderId="2" xfId="0" applyFont="1" applyBorder="1" applyAlignment="1">
      <alignment horizontal="center" wrapText="1"/>
    </xf>
    <xf numFmtId="0" fontId="37" fillId="0" borderId="2" xfId="0" applyFont="1" applyBorder="1" applyAlignment="1">
      <alignment wrapText="1"/>
    </xf>
    <xf numFmtId="3" fontId="37" fillId="0" borderId="2" xfId="0" applyNumberFormat="1" applyFont="1" applyBorder="1" applyAlignment="1">
      <alignment horizontal="center" wrapText="1"/>
    </xf>
    <xf numFmtId="3" fontId="36" fillId="0" borderId="2" xfId="0" applyNumberFormat="1" applyFont="1" applyBorder="1" applyAlignment="1">
      <alignment horizontal="center" wrapText="1"/>
    </xf>
    <xf numFmtId="179" fontId="0" fillId="0" borderId="0" xfId="0" applyNumberFormat="1"/>
    <xf numFmtId="171" fontId="21" fillId="0" borderId="0" xfId="0" applyNumberFormat="1" applyFont="1"/>
    <xf numFmtId="0" fontId="21" fillId="12" borderId="0" xfId="0" applyFont="1" applyFill="1"/>
    <xf numFmtId="0" fontId="38" fillId="16" borderId="36" xfId="0" applyFont="1" applyFill="1" applyBorder="1"/>
    <xf numFmtId="0" fontId="39" fillId="16" borderId="37" xfId="0" applyFont="1" applyFill="1" applyBorder="1"/>
    <xf numFmtId="0" fontId="39" fillId="16" borderId="38" xfId="0" applyFont="1" applyFill="1" applyBorder="1"/>
    <xf numFmtId="0" fontId="0" fillId="16" borderId="37" xfId="0" applyFill="1" applyBorder="1"/>
    <xf numFmtId="0" fontId="22" fillId="17" borderId="39" xfId="0" applyFont="1" applyFill="1" applyBorder="1"/>
    <xf numFmtId="0" fontId="22" fillId="17" borderId="0" xfId="0" applyFont="1" applyFill="1" applyBorder="1"/>
    <xf numFmtId="173" fontId="22" fillId="17" borderId="0" xfId="2" applyNumberFormat="1" applyFont="1" applyFill="1" applyBorder="1" applyAlignment="1" applyProtection="1"/>
    <xf numFmtId="173" fontId="22" fillId="17" borderId="40" xfId="2" applyNumberFormat="1" applyFont="1" applyFill="1" applyBorder="1" applyAlignment="1" applyProtection="1"/>
    <xf numFmtId="0" fontId="0" fillId="10" borderId="39" xfId="0" applyFont="1" applyFill="1" applyBorder="1"/>
    <xf numFmtId="0" fontId="0" fillId="10" borderId="0" xfId="0" applyFill="1" applyBorder="1"/>
    <xf numFmtId="169" fontId="0" fillId="10" borderId="0" xfId="2" applyFont="1" applyFill="1" applyBorder="1" applyAlignment="1" applyProtection="1"/>
    <xf numFmtId="169" fontId="0" fillId="10" borderId="40" xfId="2" applyFont="1" applyFill="1" applyBorder="1" applyAlignment="1" applyProtection="1"/>
    <xf numFmtId="0" fontId="0" fillId="18" borderId="39" xfId="0" applyFont="1" applyFill="1" applyBorder="1"/>
    <xf numFmtId="0" fontId="0" fillId="18" borderId="0" xfId="0" applyFill="1" applyBorder="1"/>
    <xf numFmtId="169" fontId="0" fillId="18" borderId="0" xfId="2" applyFont="1" applyFill="1" applyBorder="1" applyAlignment="1" applyProtection="1"/>
    <xf numFmtId="169" fontId="0" fillId="18" borderId="40" xfId="2" applyFont="1" applyFill="1" applyBorder="1" applyAlignment="1" applyProtection="1"/>
    <xf numFmtId="0" fontId="0" fillId="10" borderId="41" xfId="0" applyFont="1" applyFill="1" applyBorder="1"/>
    <xf numFmtId="0" fontId="0" fillId="10" borderId="42" xfId="0" applyFill="1" applyBorder="1"/>
    <xf numFmtId="169" fontId="0" fillId="10" borderId="42" xfId="2" applyFont="1" applyFill="1" applyBorder="1" applyAlignment="1" applyProtection="1"/>
    <xf numFmtId="169" fontId="0" fillId="10" borderId="43" xfId="2" applyFont="1" applyFill="1" applyBorder="1" applyAlignment="1" applyProtection="1"/>
    <xf numFmtId="0" fontId="0" fillId="16" borderId="36" xfId="0" applyFill="1" applyBorder="1"/>
    <xf numFmtId="0" fontId="39" fillId="16" borderId="37" xfId="0" applyFont="1" applyFill="1" applyBorder="1" applyAlignment="1"/>
    <xf numFmtId="0" fontId="42" fillId="16" borderId="0" xfId="0" applyFont="1" applyFill="1" applyBorder="1" applyAlignment="1">
      <alignment wrapText="1"/>
    </xf>
    <xf numFmtId="0" fontId="43" fillId="16" borderId="0" xfId="0" applyFont="1" applyFill="1" applyBorder="1" applyAlignment="1">
      <alignment horizontal="center" wrapText="1"/>
    </xf>
    <xf numFmtId="0" fontId="43" fillId="16" borderId="0" xfId="0" applyFont="1" applyFill="1" applyBorder="1" applyAlignment="1">
      <alignment horizontal="center" vertical="center" wrapText="1"/>
    </xf>
    <xf numFmtId="0" fontId="44" fillId="18" borderId="39" xfId="0" applyFont="1" applyFill="1" applyBorder="1" applyAlignment="1">
      <alignment horizontal="center"/>
    </xf>
    <xf numFmtId="0" fontId="44" fillId="18" borderId="0" xfId="0" applyFont="1" applyFill="1" applyBorder="1" applyAlignment="1">
      <alignment horizontal="center"/>
    </xf>
    <xf numFmtId="169" fontId="45" fillId="18" borderId="0" xfId="0" applyNumberFormat="1" applyFont="1" applyFill="1" applyBorder="1" applyAlignment="1">
      <alignment horizontal="center"/>
    </xf>
    <xf numFmtId="171" fontId="46" fillId="18" borderId="40" xfId="0" applyNumberFormat="1" applyFont="1" applyFill="1" applyBorder="1" applyAlignment="1">
      <alignment horizontal="center"/>
    </xf>
    <xf numFmtId="0" fontId="47" fillId="10" borderId="39" xfId="0" applyFont="1" applyFill="1" applyBorder="1" applyAlignment="1">
      <alignment horizontal="center"/>
    </xf>
    <xf numFmtId="0" fontId="47" fillId="10" borderId="0" xfId="0" applyFont="1" applyFill="1" applyBorder="1" applyAlignment="1">
      <alignment horizontal="center"/>
    </xf>
    <xf numFmtId="169" fontId="45" fillId="10" borderId="0" xfId="0" applyNumberFormat="1" applyFont="1" applyFill="1" applyBorder="1" applyAlignment="1">
      <alignment horizontal="center"/>
    </xf>
    <xf numFmtId="171" fontId="46" fillId="10" borderId="40" xfId="0" applyNumberFormat="1" applyFont="1" applyFill="1" applyBorder="1" applyAlignment="1">
      <alignment horizontal="center"/>
    </xf>
    <xf numFmtId="0" fontId="47" fillId="18" borderId="39" xfId="0" applyFont="1" applyFill="1" applyBorder="1" applyAlignment="1">
      <alignment horizontal="center"/>
    </xf>
    <xf numFmtId="0" fontId="47" fillId="18" borderId="0" xfId="0" applyFont="1" applyFill="1" applyBorder="1" applyAlignment="1">
      <alignment horizontal="center"/>
    </xf>
    <xf numFmtId="0" fontId="47" fillId="10" borderId="44" xfId="0" applyFont="1" applyFill="1" applyBorder="1" applyAlignment="1">
      <alignment horizontal="center"/>
    </xf>
    <xf numFmtId="0" fontId="47" fillId="10" borderId="19" xfId="0" applyFont="1" applyFill="1" applyBorder="1" applyAlignment="1">
      <alignment horizontal="center"/>
    </xf>
    <xf numFmtId="169" fontId="45" fillId="10" borderId="19" xfId="0" applyNumberFormat="1" applyFont="1" applyFill="1" applyBorder="1" applyAlignment="1">
      <alignment horizontal="center"/>
    </xf>
    <xf numFmtId="171" fontId="46" fillId="10" borderId="45" xfId="0" applyNumberFormat="1" applyFont="1" applyFill="1" applyBorder="1" applyAlignment="1">
      <alignment horizontal="center"/>
    </xf>
    <xf numFmtId="0" fontId="44" fillId="18" borderId="46" xfId="0" applyFont="1" applyFill="1" applyBorder="1" applyAlignment="1">
      <alignment horizontal="center"/>
    </xf>
    <xf numFmtId="0" fontId="44" fillId="18" borderId="12" xfId="0" applyFont="1" applyFill="1" applyBorder="1" applyAlignment="1">
      <alignment horizontal="center"/>
    </xf>
    <xf numFmtId="169" fontId="45" fillId="18" borderId="12" xfId="0" applyNumberFormat="1" applyFont="1" applyFill="1" applyBorder="1" applyAlignment="1">
      <alignment horizontal="center"/>
    </xf>
    <xf numFmtId="0" fontId="44" fillId="10" borderId="39" xfId="0" applyFont="1" applyFill="1" applyBorder="1" applyAlignment="1">
      <alignment horizontal="center"/>
    </xf>
    <xf numFmtId="0" fontId="47" fillId="10" borderId="41" xfId="0" applyFont="1" applyFill="1" applyBorder="1" applyAlignment="1">
      <alignment horizontal="center"/>
    </xf>
    <xf numFmtId="0" fontId="47" fillId="10" borderId="42" xfId="0" applyFont="1" applyFill="1" applyBorder="1" applyAlignment="1">
      <alignment horizontal="center"/>
    </xf>
    <xf numFmtId="169" fontId="45" fillId="10" borderId="42" xfId="0" applyNumberFormat="1" applyFont="1" applyFill="1" applyBorder="1" applyAlignment="1">
      <alignment horizontal="center"/>
    </xf>
    <xf numFmtId="171" fontId="46" fillId="10" borderId="43" xfId="0" applyNumberFormat="1" applyFont="1" applyFill="1" applyBorder="1" applyAlignment="1">
      <alignment horizontal="center"/>
    </xf>
    <xf numFmtId="0" fontId="41" fillId="16" borderId="30" xfId="0" applyFont="1" applyFill="1" applyBorder="1" applyAlignment="1"/>
    <xf numFmtId="0" fontId="41" fillId="16" borderId="47" xfId="0" applyFont="1" applyFill="1" applyBorder="1" applyAlignment="1"/>
    <xf numFmtId="0" fontId="41" fillId="16" borderId="21" xfId="0" applyFont="1" applyFill="1" applyBorder="1" applyAlignment="1"/>
    <xf numFmtId="0" fontId="45" fillId="17" borderId="10" xfId="0" applyFont="1" applyFill="1" applyBorder="1" applyAlignment="1">
      <alignment horizontal="center"/>
    </xf>
    <xf numFmtId="0" fontId="48" fillId="17" borderId="2" xfId="0" applyFont="1" applyFill="1" applyBorder="1" applyAlignment="1"/>
    <xf numFmtId="0" fontId="48" fillId="17" borderId="2" xfId="0" applyFont="1" applyFill="1" applyBorder="1" applyAlignment="1">
      <alignment horizontal="center"/>
    </xf>
    <xf numFmtId="2" fontId="49" fillId="0" borderId="2" xfId="0" applyNumberFormat="1" applyFont="1" applyBorder="1"/>
    <xf numFmtId="0" fontId="46" fillId="0" borderId="2" xfId="0" applyFont="1" applyBorder="1"/>
    <xf numFmtId="0" fontId="22" fillId="0" borderId="0" xfId="0" applyFont="1" applyAlignment="1">
      <alignment horizontal="center" vertical="center" wrapText="1"/>
    </xf>
    <xf numFmtId="180" fontId="0" fillId="0" borderId="0" xfId="0" applyNumberFormat="1"/>
    <xf numFmtId="3" fontId="50" fillId="0" borderId="0" xfId="0" applyNumberFormat="1" applyFont="1"/>
    <xf numFmtId="0" fontId="24" fillId="0" borderId="0" xfId="0" applyFont="1"/>
    <xf numFmtId="0" fontId="0" fillId="0" borderId="0" xfId="0"/>
    <xf numFmtId="0" fontId="52" fillId="0" borderId="2" xfId="0" applyFont="1" applyBorder="1"/>
    <xf numFmtId="181" fontId="1" fillId="0" borderId="2" xfId="1" applyNumberFormat="1" applyFont="1" applyBorder="1"/>
    <xf numFmtId="0" fontId="52" fillId="0" borderId="2" xfId="0" applyFont="1" applyBorder="1" applyAlignment="1">
      <alignment horizontal="center"/>
    </xf>
    <xf numFmtId="3" fontId="52" fillId="0" borderId="2" xfId="0" applyNumberFormat="1" applyFont="1" applyBorder="1" applyAlignment="1"/>
    <xf numFmtId="0" fontId="0" fillId="0" borderId="2" xfId="0" applyFill="1" applyBorder="1"/>
    <xf numFmtId="0" fontId="0" fillId="0" borderId="2" xfId="0" applyFill="1" applyBorder="1" applyAlignment="1">
      <alignment horizontal="center" vertical="center" wrapText="1"/>
    </xf>
    <xf numFmtId="3" fontId="52" fillId="0" borderId="2" xfId="0" applyNumberFormat="1" applyFont="1" applyBorder="1" applyAlignment="1">
      <alignment wrapText="1"/>
    </xf>
    <xf numFmtId="0" fontId="29" fillId="0" borderId="0" xfId="0" applyFont="1"/>
    <xf numFmtId="0" fontId="0" fillId="0" borderId="2" xfId="0" applyFont="1" applyBorder="1" applyAlignment="1">
      <alignment horizontal="center" vertical="center" wrapText="1"/>
    </xf>
    <xf numFmtId="0" fontId="0" fillId="0" borderId="0" xfId="0"/>
    <xf numFmtId="0" fontId="0" fillId="0" borderId="48" xfId="0" applyBorder="1"/>
    <xf numFmtId="0" fontId="24" fillId="0" borderId="48" xfId="0" applyFont="1" applyBorder="1"/>
    <xf numFmtId="0" fontId="29" fillId="0" borderId="48" xfId="0" applyFont="1" applyBorder="1"/>
    <xf numFmtId="0" fontId="5" fillId="19" borderId="2" xfId="0" applyFont="1" applyFill="1" applyBorder="1"/>
    <xf numFmtId="2" fontId="0" fillId="19" borderId="2" xfId="0" applyNumberFormat="1" applyFill="1" applyBorder="1"/>
    <xf numFmtId="183" fontId="51" fillId="19" borderId="48" xfId="1" applyNumberFormat="1" applyFill="1" applyBorder="1"/>
    <xf numFmtId="0" fontId="0" fillId="19" borderId="30" xfId="0" applyFill="1" applyBorder="1"/>
    <xf numFmtId="10" fontId="1" fillId="19" borderId="2" xfId="2" applyNumberFormat="1" applyFont="1" applyFill="1" applyBorder="1"/>
    <xf numFmtId="0" fontId="5" fillId="19" borderId="0" xfId="0" applyFont="1" applyFill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/>
    <xf numFmtId="0" fontId="24" fillId="0" borderId="48" xfId="0" applyFont="1" applyBorder="1" applyAlignment="1">
      <alignment horizontal="center"/>
    </xf>
    <xf numFmtId="0" fontId="24" fillId="19" borderId="0" xfId="0" applyFont="1" applyFill="1" applyAlignment="1">
      <alignment horizontal="center"/>
    </xf>
    <xf numFmtId="0" fontId="20" fillId="11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/>
    <xf numFmtId="0" fontId="0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5" fillId="19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0" xfId="0" applyFont="1" applyBorder="1"/>
    <xf numFmtId="0" fontId="2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/>
    <xf numFmtId="0" fontId="21" fillId="0" borderId="6" xfId="0" applyFont="1" applyBorder="1"/>
    <xf numFmtId="0" fontId="24" fillId="14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0" fillId="15" borderId="0" xfId="0" applyFont="1" applyFill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25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19" borderId="0" xfId="0" applyFont="1" applyFill="1" applyBorder="1" applyAlignment="1">
      <alignment horizontal="center"/>
    </xf>
    <xf numFmtId="0" fontId="24" fillId="14" borderId="0" xfId="0" applyFont="1" applyFill="1" applyBorder="1" applyAlignment="1">
      <alignment horizontal="center" vertical="center" wrapText="1"/>
    </xf>
    <xf numFmtId="0" fontId="0" fillId="15" borderId="6" xfId="0" applyFont="1" applyFill="1" applyBorder="1" applyAlignment="1">
      <alignment horizontal="center" vertical="center"/>
    </xf>
    <xf numFmtId="0" fontId="40" fillId="16" borderId="38" xfId="0" applyFont="1" applyFill="1" applyBorder="1" applyAlignment="1">
      <alignment horizontal="center" wrapText="1"/>
    </xf>
    <xf numFmtId="0" fontId="41" fillId="16" borderId="39" xfId="0" applyFont="1" applyFill="1" applyBorder="1" applyAlignment="1">
      <alignment horizontal="center" vertical="center" wrapText="1"/>
    </xf>
    <xf numFmtId="0" fontId="42" fillId="16" borderId="20" xfId="0" applyFont="1" applyFill="1" applyBorder="1" applyAlignment="1">
      <alignment horizontal="center" vertical="center" wrapText="1"/>
    </xf>
    <xf numFmtId="0" fontId="42" fillId="16" borderId="2" xfId="0" applyFont="1" applyFill="1" applyBorder="1" applyAlignment="1">
      <alignment horizontal="center" wrapText="1"/>
    </xf>
    <xf numFmtId="0" fontId="46" fillId="0" borderId="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/>
    <xf numFmtId="0" fontId="5" fillId="0" borderId="22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0" fillId="0" borderId="23" xfId="0" applyBorder="1"/>
  </cellXfs>
  <cellStyles count="78">
    <cellStyle name="Accent 1 14" xfId="3"/>
    <cellStyle name="Accent 1 5" xfId="4"/>
    <cellStyle name="Accent 13" xfId="5"/>
    <cellStyle name="Accent 2 15" xfId="6"/>
    <cellStyle name="Accent 2 6" xfId="7"/>
    <cellStyle name="Accent 3 16" xfId="8"/>
    <cellStyle name="Accent 3 7" xfId="9"/>
    <cellStyle name="Accent 4" xfId="10"/>
    <cellStyle name="Bad 10" xfId="11"/>
    <cellStyle name="Bad 8" xfId="12"/>
    <cellStyle name="Comma [0]" xfId="13"/>
    <cellStyle name="Comma [0] 2" xfId="14"/>
    <cellStyle name="Currency [0]" xfId="15"/>
    <cellStyle name="Currency [0] 2" xfId="16"/>
    <cellStyle name="En-tête" xfId="17"/>
    <cellStyle name="Error 12" xfId="18"/>
    <cellStyle name="Error 9" xfId="19"/>
    <cellStyle name="Euro" xfId="20"/>
    <cellStyle name="Euro 2" xfId="21"/>
    <cellStyle name="Euro 3" xfId="22"/>
    <cellStyle name="Euro 4" xfId="23"/>
    <cellStyle name="Excel_BuiltIn_Comma" xfId="77"/>
    <cellStyle name="Excel_BuiltIn_Comma 1" xfId="76"/>
    <cellStyle name="Footnote 10" xfId="24"/>
    <cellStyle name="Footnote 5" xfId="25"/>
    <cellStyle name="Good 11" xfId="26"/>
    <cellStyle name="Good 8" xfId="27"/>
    <cellStyle name="Heading 1 1" xfId="28"/>
    <cellStyle name="Heading 1 12" xfId="29"/>
    <cellStyle name="Heading 2 13" xfId="30"/>
    <cellStyle name="Heading 2 2" xfId="31"/>
    <cellStyle name="Hyperlink 14" xfId="32"/>
    <cellStyle name="Hyperlink 6" xfId="33"/>
    <cellStyle name="Milliers" xfId="1" builtinId="3"/>
    <cellStyle name="Milliers 2" xfId="34"/>
    <cellStyle name="Milliers 3" xfId="35"/>
    <cellStyle name="Milliers 4" xfId="36"/>
    <cellStyle name="Milliers 5" xfId="37"/>
    <cellStyle name="Milliers 6" xfId="38"/>
    <cellStyle name="Neutral 15" xfId="39"/>
    <cellStyle name="Neutral 9" xfId="40"/>
    <cellStyle name="Neutre 2" xfId="41"/>
    <cellStyle name="Normal" xfId="0" builtinId="0"/>
    <cellStyle name="Normal 10 10 2 2 2" xfId="42"/>
    <cellStyle name="Normal 2" xfId="43"/>
    <cellStyle name="Normal 2 2" xfId="44"/>
    <cellStyle name="Normal 2 2 2" xfId="45"/>
    <cellStyle name="Normal 2 2 2 2 4" xfId="46"/>
    <cellStyle name="Normal 2 3" xfId="47"/>
    <cellStyle name="Normal 2 4" xfId="48"/>
    <cellStyle name="Normal 3" xfId="49"/>
    <cellStyle name="Normal 3 2" xfId="50"/>
    <cellStyle name="Normal 3 3" xfId="51"/>
    <cellStyle name="Normal 3 4" xfId="52"/>
    <cellStyle name="Normal 4" xfId="53"/>
    <cellStyle name="Normal 5" xfId="54"/>
    <cellStyle name="Normal 6" xfId="55"/>
    <cellStyle name="Normal 7" xfId="56"/>
    <cellStyle name="Note 16" xfId="57"/>
    <cellStyle name="Note 4" xfId="58"/>
    <cellStyle name="Pourcentage" xfId="2" builtinId="5"/>
    <cellStyle name="Pourcentage 2" xfId="59"/>
    <cellStyle name="Pourcentage 2 2" xfId="60"/>
    <cellStyle name="Pourcentage 3" xfId="61"/>
    <cellStyle name="Pourcentage 3 2" xfId="62"/>
    <cellStyle name="Pourcentage 3 3" xfId="63"/>
    <cellStyle name="Pourcentage 4" xfId="64"/>
    <cellStyle name="Résultat" xfId="65"/>
    <cellStyle name="Résultat2" xfId="66"/>
    <cellStyle name="Standard_Mappe1" xfId="67"/>
    <cellStyle name="Status 17" xfId="68"/>
    <cellStyle name="Status 7" xfId="69"/>
    <cellStyle name="TableStyleLight1" xfId="70"/>
    <cellStyle name="Text 18" xfId="71"/>
    <cellStyle name="Text 3" xfId="72"/>
    <cellStyle name="Titre1" xfId="73"/>
    <cellStyle name="Warning 11" xfId="74"/>
    <cellStyle name="Warning 19" xfId="7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5E0B4"/>
      <rgbColor rgb="FF808080"/>
      <rgbColor rgb="FF9999FF"/>
      <rgbColor rgb="FFCE181E"/>
      <rgbColor rgb="FFFFFFCC"/>
      <rgbColor rgb="FFE2F0D9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DDDDDD"/>
      <rgbColor rgb="FFFFD966"/>
      <rgbColor rgb="FFCC99FF"/>
      <rgbColor rgb="FFFFCCCC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="115" zoomScaleNormal="115" workbookViewId="0">
      <selection activeCell="B23" sqref="B23"/>
    </sheetView>
  </sheetViews>
  <sheetFormatPr baseColWidth="10" defaultRowHeight="14.4" x14ac:dyDescent="0.3"/>
  <cols>
    <col min="1" max="1" width="24.88671875" bestFit="1" customWidth="1"/>
    <col min="2" max="2" width="71.44140625" bestFit="1" customWidth="1"/>
  </cols>
  <sheetData>
    <row r="1" spans="1:2" x14ac:dyDescent="0.3">
      <c r="A1" s="217" t="s">
        <v>479</v>
      </c>
      <c r="B1" s="217"/>
    </row>
    <row r="2" spans="1:2" x14ac:dyDescent="0.3">
      <c r="A2" s="207" t="s">
        <v>475</v>
      </c>
      <c r="B2" s="207" t="s">
        <v>480</v>
      </c>
    </row>
    <row r="3" spans="1:2" x14ac:dyDescent="0.3">
      <c r="A3" s="206" t="s">
        <v>463</v>
      </c>
      <c r="B3" s="206" t="s">
        <v>495</v>
      </c>
    </row>
    <row r="4" spans="1:2" x14ac:dyDescent="0.3">
      <c r="A4" s="206" t="s">
        <v>464</v>
      </c>
      <c r="B4" s="206" t="s">
        <v>492</v>
      </c>
    </row>
    <row r="5" spans="1:2" x14ac:dyDescent="0.3">
      <c r="A5" s="208" t="s">
        <v>465</v>
      </c>
      <c r="B5" s="206" t="s">
        <v>481</v>
      </c>
    </row>
    <row r="6" spans="1:2" x14ac:dyDescent="0.3">
      <c r="A6" s="206" t="s">
        <v>466</v>
      </c>
      <c r="B6" s="206" t="s">
        <v>483</v>
      </c>
    </row>
    <row r="7" spans="1:2" x14ac:dyDescent="0.3">
      <c r="A7" s="208" t="s">
        <v>467</v>
      </c>
      <c r="B7" s="206" t="s">
        <v>496</v>
      </c>
    </row>
    <row r="8" spans="1:2" x14ac:dyDescent="0.3">
      <c r="A8" s="206" t="s">
        <v>468</v>
      </c>
      <c r="B8" s="206" t="s">
        <v>482</v>
      </c>
    </row>
    <row r="9" spans="1:2" x14ac:dyDescent="0.3">
      <c r="A9" s="206" t="s">
        <v>469</v>
      </c>
      <c r="B9" s="206" t="s">
        <v>484</v>
      </c>
    </row>
    <row r="10" spans="1:2" x14ac:dyDescent="0.3">
      <c r="A10" s="206" t="s">
        <v>470</v>
      </c>
      <c r="B10" s="206" t="s">
        <v>497</v>
      </c>
    </row>
    <row r="11" spans="1:2" x14ac:dyDescent="0.3">
      <c r="A11" s="206" t="s">
        <v>364</v>
      </c>
      <c r="B11" s="206" t="s">
        <v>485</v>
      </c>
    </row>
    <row r="12" spans="1:2" x14ac:dyDescent="0.3">
      <c r="A12" s="206" t="s">
        <v>471</v>
      </c>
      <c r="B12" s="206" t="s">
        <v>486</v>
      </c>
    </row>
    <row r="13" spans="1:2" x14ac:dyDescent="0.3">
      <c r="A13" s="206" t="s">
        <v>472</v>
      </c>
      <c r="B13" s="206" t="s">
        <v>487</v>
      </c>
    </row>
    <row r="16" spans="1:2" x14ac:dyDescent="0.3">
      <c r="A16" s="218" t="s">
        <v>494</v>
      </c>
      <c r="B16" s="218"/>
    </row>
    <row r="20" spans="1:1" x14ac:dyDescent="0.3">
      <c r="A20" s="194"/>
    </row>
    <row r="22" spans="1:1" x14ac:dyDescent="0.3">
      <c r="A22" s="203"/>
    </row>
  </sheetData>
  <mergeCells count="2">
    <mergeCell ref="A1:B1"/>
    <mergeCell ref="A16:B1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1"/>
  <sheetViews>
    <sheetView topLeftCell="A28" zoomScale="55" zoomScaleNormal="55" workbookViewId="0">
      <selection activeCell="A62" sqref="A62:XFD62"/>
    </sheetView>
  </sheetViews>
  <sheetFormatPr baseColWidth="10" defaultColWidth="9.21875" defaultRowHeight="14.4" x14ac:dyDescent="0.3"/>
  <cols>
    <col min="1" max="1" width="8.44140625" customWidth="1"/>
    <col min="2" max="2" width="16.21875" customWidth="1"/>
    <col min="3" max="3" width="11.77734375" customWidth="1"/>
    <col min="4" max="4" width="11.44140625"/>
    <col min="5" max="5" width="14.5546875" customWidth="1"/>
    <col min="6" max="1025" width="8.44140625" customWidth="1"/>
  </cols>
  <sheetData>
    <row r="2" spans="2:18" x14ac:dyDescent="0.3">
      <c r="B2" s="254" t="s">
        <v>499</v>
      </c>
      <c r="C2" s="254"/>
      <c r="D2" s="254"/>
      <c r="E2" s="254"/>
      <c r="F2" s="254"/>
      <c r="G2" s="254"/>
      <c r="H2" s="254"/>
      <c r="I2" s="254"/>
    </row>
    <row r="5" spans="2:18" ht="17.399999999999999" x14ac:dyDescent="0.3">
      <c r="B5" s="219" t="s">
        <v>405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</row>
    <row r="6" spans="2:18" ht="15" thickBot="1" x14ac:dyDescent="0.35"/>
    <row r="7" spans="2:18" x14ac:dyDescent="0.3">
      <c r="B7" s="136" t="s">
        <v>1</v>
      </c>
      <c r="C7" s="137"/>
      <c r="D7" s="137">
        <v>2015</v>
      </c>
      <c r="E7" s="137">
        <v>2017</v>
      </c>
      <c r="F7" s="137">
        <v>2020</v>
      </c>
      <c r="G7" s="137">
        <v>2022</v>
      </c>
      <c r="H7" s="137">
        <v>2025</v>
      </c>
      <c r="I7" s="137">
        <v>2030</v>
      </c>
      <c r="J7" s="137">
        <v>2035</v>
      </c>
      <c r="K7" s="137">
        <v>2040</v>
      </c>
      <c r="L7" s="137">
        <v>2045</v>
      </c>
      <c r="M7" s="138">
        <v>2050</v>
      </c>
    </row>
    <row r="8" spans="2:18" x14ac:dyDescent="0.3">
      <c r="B8" s="140" t="s">
        <v>406</v>
      </c>
      <c r="C8" s="141"/>
      <c r="D8" s="142">
        <v>8.2638280080537599E-2</v>
      </c>
      <c r="E8" s="142">
        <v>8.6020121913760406E-2</v>
      </c>
      <c r="F8" s="142">
        <v>0.26847589488554602</v>
      </c>
      <c r="G8" s="142">
        <v>0.30347199041591899</v>
      </c>
      <c r="H8" s="142">
        <v>0.36529987816808801</v>
      </c>
      <c r="I8" s="142">
        <v>0.49989560176576597</v>
      </c>
      <c r="J8" s="142">
        <v>0.60370310882621203</v>
      </c>
      <c r="K8" s="142">
        <v>0.72987497446577698</v>
      </c>
      <c r="L8" s="142">
        <v>0.82959293846398896</v>
      </c>
      <c r="M8" s="143">
        <v>0.95008466226982002</v>
      </c>
    </row>
    <row r="9" spans="2:18" x14ac:dyDescent="0.3">
      <c r="B9" s="144" t="s">
        <v>407</v>
      </c>
      <c r="C9" s="145"/>
      <c r="D9" s="146">
        <v>0.05</v>
      </c>
      <c r="E9" s="146">
        <v>5.0999999999999997E-2</v>
      </c>
      <c r="F9" s="146">
        <v>0.17</v>
      </c>
      <c r="G9" s="146">
        <v>0.19914315836042401</v>
      </c>
      <c r="H9" s="146">
        <v>0.25248762345905201</v>
      </c>
      <c r="I9" s="146">
        <v>0.375</v>
      </c>
      <c r="J9" s="146">
        <v>0.466368952654441</v>
      </c>
      <c r="K9" s="146">
        <v>0.57999999999999996</v>
      </c>
      <c r="L9" s="146">
        <v>0.73443856107914096</v>
      </c>
      <c r="M9" s="147">
        <v>0.93</v>
      </c>
    </row>
    <row r="10" spans="2:18" x14ac:dyDescent="0.3">
      <c r="B10" s="148" t="s">
        <v>408</v>
      </c>
      <c r="C10" s="149"/>
      <c r="D10" s="150">
        <v>5.5E-2</v>
      </c>
      <c r="E10" s="150">
        <v>5.6099999999999997E-2</v>
      </c>
      <c r="F10" s="150">
        <v>0.31</v>
      </c>
      <c r="G10" s="150">
        <v>0.33832773597806898</v>
      </c>
      <c r="H10" s="150">
        <v>0.385746030439718</v>
      </c>
      <c r="I10" s="150">
        <v>0.48</v>
      </c>
      <c r="J10" s="150">
        <v>0.58787753826796296</v>
      </c>
      <c r="K10" s="150">
        <v>0.72</v>
      </c>
      <c r="L10" s="150">
        <v>0.827042925125413</v>
      </c>
      <c r="M10" s="151">
        <v>0.95</v>
      </c>
    </row>
    <row r="11" spans="2:18" x14ac:dyDescent="0.3">
      <c r="B11" s="144" t="s">
        <v>409</v>
      </c>
      <c r="C11" s="145"/>
      <c r="D11" s="146">
        <v>0.06</v>
      </c>
      <c r="E11" s="146">
        <v>6.1199999999999997E-2</v>
      </c>
      <c r="F11" s="146">
        <v>0.28000000000000003</v>
      </c>
      <c r="G11" s="146">
        <v>0.31811313305807898</v>
      </c>
      <c r="H11" s="146">
        <v>0.385227205685164</v>
      </c>
      <c r="I11" s="146">
        <v>0.53</v>
      </c>
      <c r="J11" s="146">
        <v>0.64296189622713995</v>
      </c>
      <c r="K11" s="146">
        <v>0.78</v>
      </c>
      <c r="L11" s="146">
        <v>0.856270985144305</v>
      </c>
      <c r="M11" s="147">
        <v>0.94</v>
      </c>
    </row>
    <row r="12" spans="2:18" x14ac:dyDescent="0.3">
      <c r="B12" s="148" t="s">
        <v>410</v>
      </c>
      <c r="C12" s="149"/>
      <c r="D12" s="150">
        <v>0.05</v>
      </c>
      <c r="E12" s="150">
        <v>5.0999999999999997E-2</v>
      </c>
      <c r="F12" s="150">
        <v>0.11</v>
      </c>
      <c r="G12" s="150">
        <v>0.13785100337053999</v>
      </c>
      <c r="H12" s="150">
        <v>0.193390796058137</v>
      </c>
      <c r="I12" s="150">
        <v>0.34</v>
      </c>
      <c r="J12" s="150">
        <v>0.428485705712571</v>
      </c>
      <c r="K12" s="150">
        <v>0.54</v>
      </c>
      <c r="L12" s="150">
        <v>0.68934751758456403</v>
      </c>
      <c r="M12" s="151">
        <v>0.88</v>
      </c>
    </row>
    <row r="13" spans="2:18" x14ac:dyDescent="0.3">
      <c r="B13" s="144" t="s">
        <v>411</v>
      </c>
      <c r="C13" s="145"/>
      <c r="D13" s="146">
        <v>0.05</v>
      </c>
      <c r="E13" s="146">
        <v>5.0999999999999997E-2</v>
      </c>
      <c r="F13" s="146">
        <v>0.24</v>
      </c>
      <c r="G13" s="146">
        <v>0.27335093246109599</v>
      </c>
      <c r="H13" s="146">
        <v>0.332264954516723</v>
      </c>
      <c r="I13" s="146">
        <v>0.46</v>
      </c>
      <c r="J13" s="146">
        <v>0.56745043836444398</v>
      </c>
      <c r="K13" s="146">
        <v>0.7</v>
      </c>
      <c r="L13" s="146">
        <v>0.82825116963394596</v>
      </c>
      <c r="M13" s="147">
        <v>0.98</v>
      </c>
    </row>
    <row r="14" spans="2:18" x14ac:dyDescent="0.3">
      <c r="B14" s="148" t="s">
        <v>412</v>
      </c>
      <c r="C14" s="149"/>
      <c r="D14" s="150">
        <v>0.12</v>
      </c>
      <c r="E14" s="150">
        <v>0.12239999999999999</v>
      </c>
      <c r="F14" s="150">
        <v>0.32</v>
      </c>
      <c r="G14" s="150">
        <v>0.35916578149825501</v>
      </c>
      <c r="H14" s="150">
        <v>0.42708313008125298</v>
      </c>
      <c r="I14" s="150">
        <v>0.56999999999999995</v>
      </c>
      <c r="J14" s="150">
        <v>0.69195375568024797</v>
      </c>
      <c r="K14" s="150">
        <v>0.84</v>
      </c>
      <c r="L14" s="150">
        <v>0.90730369777709996</v>
      </c>
      <c r="M14" s="151">
        <v>0.98</v>
      </c>
    </row>
    <row r="15" spans="2:18" x14ac:dyDescent="0.3">
      <c r="B15" s="144" t="s">
        <v>413</v>
      </c>
      <c r="C15" s="145"/>
      <c r="D15" s="146">
        <v>0.15</v>
      </c>
      <c r="E15" s="146">
        <v>0.153</v>
      </c>
      <c r="F15" s="146">
        <v>0.40500000000000003</v>
      </c>
      <c r="G15" s="146">
        <v>0.45183890918233299</v>
      </c>
      <c r="H15" s="146">
        <v>0.532447180478965</v>
      </c>
      <c r="I15" s="146">
        <v>0.7</v>
      </c>
      <c r="J15" s="146">
        <v>0.82825116963394596</v>
      </c>
      <c r="K15" s="146">
        <v>0.98</v>
      </c>
      <c r="L15" s="146">
        <v>0.98</v>
      </c>
      <c r="M15" s="147">
        <v>0.98</v>
      </c>
    </row>
    <row r="16" spans="2:18" x14ac:dyDescent="0.3">
      <c r="B16" s="148" t="s">
        <v>414</v>
      </c>
      <c r="C16" s="149"/>
      <c r="D16" s="150">
        <v>0.18</v>
      </c>
      <c r="E16" s="150">
        <v>0.18360000000000001</v>
      </c>
      <c r="F16" s="150">
        <v>0.46500000000000002</v>
      </c>
      <c r="G16" s="150">
        <v>0.51300911401597205</v>
      </c>
      <c r="H16" s="150">
        <v>0.59447455790807402</v>
      </c>
      <c r="I16" s="150">
        <v>0.76</v>
      </c>
      <c r="J16" s="150">
        <v>0.86301796041565704</v>
      </c>
      <c r="K16" s="150">
        <v>0.98</v>
      </c>
      <c r="L16" s="150">
        <v>0.98</v>
      </c>
      <c r="M16" s="151">
        <v>0.98</v>
      </c>
    </row>
    <row r="17" spans="2:18" x14ac:dyDescent="0.3">
      <c r="B17" s="144" t="s">
        <v>415</v>
      </c>
      <c r="C17" s="145"/>
      <c r="D17" s="146">
        <v>0.28000000000000003</v>
      </c>
      <c r="E17" s="146">
        <v>0.28560000000000002</v>
      </c>
      <c r="F17" s="146">
        <v>0.27</v>
      </c>
      <c r="G17" s="146">
        <v>0.31128883866200602</v>
      </c>
      <c r="H17" s="146">
        <v>0.385356977359954</v>
      </c>
      <c r="I17" s="146">
        <v>0.55000000000000004</v>
      </c>
      <c r="J17" s="146">
        <v>0.66332495807108005</v>
      </c>
      <c r="K17" s="146">
        <v>0.8</v>
      </c>
      <c r="L17" s="146">
        <v>0.88543774484714599</v>
      </c>
      <c r="M17" s="147">
        <v>0.98</v>
      </c>
    </row>
    <row r="18" spans="2:18" x14ac:dyDescent="0.3">
      <c r="B18" s="148" t="s">
        <v>416</v>
      </c>
      <c r="C18" s="149"/>
      <c r="D18" s="150">
        <v>0.28000000000000003</v>
      </c>
      <c r="E18" s="150">
        <v>0.28560000000000002</v>
      </c>
      <c r="F18" s="150">
        <v>0.5</v>
      </c>
      <c r="G18" s="150">
        <v>0.54790015302060002</v>
      </c>
      <c r="H18" s="150">
        <v>0.62849025449882701</v>
      </c>
      <c r="I18" s="150">
        <v>0.79</v>
      </c>
      <c r="J18" s="150">
        <v>0.87988635629835699</v>
      </c>
      <c r="K18" s="150">
        <v>0.98</v>
      </c>
      <c r="L18" s="150">
        <v>0.98</v>
      </c>
      <c r="M18" s="151">
        <v>0.98</v>
      </c>
    </row>
    <row r="19" spans="2:18" x14ac:dyDescent="0.3">
      <c r="B19" s="144" t="s">
        <v>417</v>
      </c>
      <c r="C19" s="145"/>
      <c r="D19" s="146">
        <v>0.28000000000000003</v>
      </c>
      <c r="E19" s="146">
        <v>0.28560000000000002</v>
      </c>
      <c r="F19" s="146">
        <v>0.46</v>
      </c>
      <c r="G19" s="146">
        <v>0.50724586805301197</v>
      </c>
      <c r="H19" s="146">
        <v>0.58736700622353699</v>
      </c>
      <c r="I19" s="146">
        <v>0.75</v>
      </c>
      <c r="J19" s="146">
        <v>0.85732140997411199</v>
      </c>
      <c r="K19" s="146">
        <v>0.98</v>
      </c>
      <c r="L19" s="146">
        <v>0.98</v>
      </c>
      <c r="M19" s="147">
        <v>0.98</v>
      </c>
    </row>
    <row r="20" spans="2:18" x14ac:dyDescent="0.3">
      <c r="B20" s="148" t="s">
        <v>418</v>
      </c>
      <c r="C20" s="149"/>
      <c r="D20" s="150">
        <v>0.28000000000000003</v>
      </c>
      <c r="E20" s="150">
        <v>0.28560000000000002</v>
      </c>
      <c r="F20" s="150">
        <v>0.21</v>
      </c>
      <c r="G20" s="150">
        <v>0.24978677258264201</v>
      </c>
      <c r="H20" s="150">
        <v>0.32403703492039299</v>
      </c>
      <c r="I20" s="150">
        <v>0.5</v>
      </c>
      <c r="J20" s="150">
        <v>0.60827625302982202</v>
      </c>
      <c r="K20" s="150">
        <v>0.74</v>
      </c>
      <c r="L20" s="150">
        <v>0.85592055706122605</v>
      </c>
      <c r="M20" s="151">
        <v>0.99</v>
      </c>
    </row>
    <row r="21" spans="2:18" ht="15" thickBot="1" x14ac:dyDescent="0.35">
      <c r="B21" s="152" t="s">
        <v>419</v>
      </c>
      <c r="C21" s="153"/>
      <c r="D21" s="154">
        <v>0.25</v>
      </c>
      <c r="E21" s="154">
        <v>0.255</v>
      </c>
      <c r="F21" s="154">
        <v>0.26</v>
      </c>
      <c r="G21" s="154">
        <v>0.29632799275872401</v>
      </c>
      <c r="H21" s="154">
        <v>0.36055512754639901</v>
      </c>
      <c r="I21" s="154">
        <v>0.5</v>
      </c>
      <c r="J21" s="154">
        <v>0.60827625302982202</v>
      </c>
      <c r="K21" s="154">
        <v>0.74</v>
      </c>
      <c r="L21" s="154">
        <v>0.85592055706122605</v>
      </c>
      <c r="M21" s="155">
        <v>0.99</v>
      </c>
    </row>
    <row r="25" spans="2:18" ht="17.399999999999999" x14ac:dyDescent="0.3">
      <c r="B25" s="219" t="s">
        <v>420</v>
      </c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</row>
    <row r="26" spans="2:18" ht="15" thickBot="1" x14ac:dyDescent="0.35"/>
    <row r="27" spans="2:18" ht="13.95" customHeight="1" thickBot="1" x14ac:dyDescent="0.35">
      <c r="B27" s="156"/>
      <c r="C27" s="139"/>
      <c r="D27" s="139"/>
      <c r="E27" s="157" t="s">
        <v>421</v>
      </c>
      <c r="F27" s="157"/>
      <c r="G27" s="157"/>
      <c r="H27" s="157"/>
      <c r="I27" s="157"/>
      <c r="J27" s="157"/>
      <c r="K27" s="157"/>
      <c r="L27" s="157"/>
      <c r="M27" s="157"/>
      <c r="N27" s="157"/>
      <c r="O27" s="255" t="s">
        <v>422</v>
      </c>
    </row>
    <row r="28" spans="2:18" ht="30.6" customHeight="1" x14ac:dyDescent="0.3">
      <c r="B28" s="256" t="s">
        <v>1</v>
      </c>
      <c r="C28" s="256"/>
      <c r="D28" s="158"/>
      <c r="E28" s="159" t="s">
        <v>423</v>
      </c>
      <c r="F28" s="159" t="s">
        <v>424</v>
      </c>
      <c r="G28" s="159" t="s">
        <v>425</v>
      </c>
      <c r="H28" s="160" t="s">
        <v>426</v>
      </c>
      <c r="I28" s="160" t="s">
        <v>427</v>
      </c>
      <c r="J28" s="160" t="s">
        <v>428</v>
      </c>
      <c r="K28" s="160" t="s">
        <v>429</v>
      </c>
      <c r="L28" s="160" t="s">
        <v>430</v>
      </c>
      <c r="M28" s="160" t="s">
        <v>431</v>
      </c>
      <c r="N28" s="159" t="s">
        <v>119</v>
      </c>
      <c r="O28" s="255"/>
    </row>
    <row r="29" spans="2:18" x14ac:dyDescent="0.3">
      <c r="B29" s="161" t="s">
        <v>432</v>
      </c>
      <c r="C29" s="162"/>
      <c r="D29" s="162">
        <v>2006</v>
      </c>
      <c r="E29" s="162">
        <v>0.37</v>
      </c>
      <c r="F29" s="162">
        <v>0.35</v>
      </c>
      <c r="G29" s="162">
        <v>0.25</v>
      </c>
      <c r="H29" s="162">
        <v>0.03</v>
      </c>
      <c r="I29" s="162">
        <v>0</v>
      </c>
      <c r="J29" s="162">
        <v>0</v>
      </c>
      <c r="K29" s="162">
        <v>0</v>
      </c>
      <c r="L29" s="162">
        <v>0</v>
      </c>
      <c r="M29" s="162">
        <v>0</v>
      </c>
      <c r="N29" s="163">
        <v>1</v>
      </c>
      <c r="O29" s="164">
        <v>59.746000000000002</v>
      </c>
    </row>
    <row r="30" spans="2:18" x14ac:dyDescent="0.3">
      <c r="B30" s="165" t="s">
        <v>432</v>
      </c>
      <c r="C30" s="166"/>
      <c r="D30" s="166">
        <v>2015</v>
      </c>
      <c r="E30" s="166">
        <v>0.37</v>
      </c>
      <c r="F30" s="166">
        <v>0.35</v>
      </c>
      <c r="G30" s="166">
        <v>0.26</v>
      </c>
      <c r="H30" s="166">
        <v>0.02</v>
      </c>
      <c r="I30" s="166">
        <v>0</v>
      </c>
      <c r="J30" s="166">
        <v>0</v>
      </c>
      <c r="K30" s="166">
        <v>0</v>
      </c>
      <c r="L30" s="166">
        <v>0</v>
      </c>
      <c r="M30" s="166">
        <v>0</v>
      </c>
      <c r="N30" s="167">
        <v>1</v>
      </c>
      <c r="O30" s="168">
        <v>59.746000000000002</v>
      </c>
    </row>
    <row r="31" spans="2:18" x14ac:dyDescent="0.3">
      <c r="B31" s="169" t="s">
        <v>432</v>
      </c>
      <c r="C31" s="170"/>
      <c r="D31" s="170">
        <v>2020</v>
      </c>
      <c r="E31" s="170">
        <v>0.37</v>
      </c>
      <c r="F31" s="170">
        <v>0.35</v>
      </c>
      <c r="G31" s="170">
        <v>0.25</v>
      </c>
      <c r="H31" s="170">
        <v>0.03</v>
      </c>
      <c r="I31" s="170">
        <v>0</v>
      </c>
      <c r="J31" s="170">
        <v>0</v>
      </c>
      <c r="K31" s="170">
        <v>0</v>
      </c>
      <c r="L31" s="170">
        <v>0</v>
      </c>
      <c r="M31" s="170">
        <v>0</v>
      </c>
      <c r="N31" s="163">
        <v>1</v>
      </c>
      <c r="O31" s="164">
        <v>59.746000000000002</v>
      </c>
    </row>
    <row r="32" spans="2:18" x14ac:dyDescent="0.3">
      <c r="B32" s="165" t="s">
        <v>432</v>
      </c>
      <c r="C32" s="166"/>
      <c r="D32" s="166">
        <v>2030</v>
      </c>
      <c r="E32" s="166">
        <v>0.3</v>
      </c>
      <c r="F32" s="166">
        <v>0.3</v>
      </c>
      <c r="G32" s="166">
        <v>0.24</v>
      </c>
      <c r="H32" s="166">
        <v>0.1</v>
      </c>
      <c r="I32" s="166">
        <v>0</v>
      </c>
      <c r="J32" s="166">
        <v>0.01</v>
      </c>
      <c r="K32" s="166">
        <v>0.02</v>
      </c>
      <c r="L32" s="166">
        <v>0.03</v>
      </c>
      <c r="M32" s="166">
        <v>0</v>
      </c>
      <c r="N32" s="167">
        <v>1</v>
      </c>
      <c r="O32" s="168">
        <v>62.02</v>
      </c>
    </row>
    <row r="33" spans="2:15" x14ac:dyDescent="0.3">
      <c r="B33" s="169" t="s">
        <v>432</v>
      </c>
      <c r="C33" s="170"/>
      <c r="D33" s="170">
        <v>2040</v>
      </c>
      <c r="E33" s="170">
        <v>0.26</v>
      </c>
      <c r="F33" s="170">
        <v>0.26</v>
      </c>
      <c r="G33" s="170">
        <v>0.22</v>
      </c>
      <c r="H33" s="170">
        <v>0.15</v>
      </c>
      <c r="I33" s="170">
        <v>0</v>
      </c>
      <c r="J33" s="170">
        <v>0.03</v>
      </c>
      <c r="K33" s="170">
        <v>0.02</v>
      </c>
      <c r="L33" s="170">
        <v>0.05</v>
      </c>
      <c r="M33" s="170">
        <v>0.01</v>
      </c>
      <c r="N33" s="163">
        <v>1</v>
      </c>
      <c r="O33" s="164">
        <v>63.404000000000003</v>
      </c>
    </row>
    <row r="34" spans="2:15" x14ac:dyDescent="0.3">
      <c r="B34" s="171" t="s">
        <v>432</v>
      </c>
      <c r="C34" s="172"/>
      <c r="D34" s="172">
        <v>2050</v>
      </c>
      <c r="E34" s="172">
        <v>0.23</v>
      </c>
      <c r="F34" s="172">
        <v>0.23</v>
      </c>
      <c r="G34" s="172">
        <v>0.22</v>
      </c>
      <c r="H34" s="172">
        <v>0.15</v>
      </c>
      <c r="I34" s="172">
        <v>0</v>
      </c>
      <c r="J34" s="172">
        <v>0.05</v>
      </c>
      <c r="K34" s="172">
        <v>0.02</v>
      </c>
      <c r="L34" s="172">
        <v>0.05</v>
      </c>
      <c r="M34" s="172">
        <v>0.05</v>
      </c>
      <c r="N34" s="173">
        <v>1</v>
      </c>
      <c r="O34" s="174">
        <v>64.441999999999993</v>
      </c>
    </row>
    <row r="35" spans="2:15" x14ac:dyDescent="0.3">
      <c r="B35" s="175" t="s">
        <v>433</v>
      </c>
      <c r="C35" s="176"/>
      <c r="D35" s="162">
        <v>2006</v>
      </c>
      <c r="E35" s="162">
        <v>0.62</v>
      </c>
      <c r="F35" s="162">
        <v>0.12</v>
      </c>
      <c r="G35" s="162">
        <v>0.26</v>
      </c>
      <c r="H35" s="162">
        <v>0</v>
      </c>
      <c r="I35" s="162">
        <v>0</v>
      </c>
      <c r="J35" s="162">
        <v>0</v>
      </c>
      <c r="K35" s="162">
        <v>0</v>
      </c>
      <c r="L35" s="162">
        <v>0</v>
      </c>
      <c r="M35" s="162">
        <v>0</v>
      </c>
      <c r="N35" s="177">
        <v>1</v>
      </c>
      <c r="O35" s="164">
        <v>40.265999999999998</v>
      </c>
    </row>
    <row r="36" spans="2:15" x14ac:dyDescent="0.3">
      <c r="B36" s="178" t="s">
        <v>433</v>
      </c>
      <c r="C36" s="166"/>
      <c r="D36" s="166">
        <v>2015</v>
      </c>
      <c r="E36" s="166">
        <v>0.62</v>
      </c>
      <c r="F36" s="166">
        <v>0.12</v>
      </c>
      <c r="G36" s="166">
        <v>0.26</v>
      </c>
      <c r="H36" s="166">
        <v>0</v>
      </c>
      <c r="I36" s="166">
        <v>0</v>
      </c>
      <c r="J36" s="166">
        <v>0</v>
      </c>
      <c r="K36" s="166">
        <v>0</v>
      </c>
      <c r="L36" s="166">
        <v>0</v>
      </c>
      <c r="M36" s="166">
        <v>0</v>
      </c>
      <c r="N36" s="167">
        <v>1</v>
      </c>
      <c r="O36" s="168">
        <v>40.265999999999998</v>
      </c>
    </row>
    <row r="37" spans="2:15" x14ac:dyDescent="0.3">
      <c r="B37" s="161" t="s">
        <v>433</v>
      </c>
      <c r="C37" s="170"/>
      <c r="D37" s="170">
        <v>2020</v>
      </c>
      <c r="E37" s="170">
        <v>0.61</v>
      </c>
      <c r="F37" s="170">
        <v>0.12</v>
      </c>
      <c r="G37" s="170">
        <v>0.26</v>
      </c>
      <c r="H37" s="170">
        <v>0.01</v>
      </c>
      <c r="I37" s="170">
        <v>0</v>
      </c>
      <c r="J37" s="170">
        <v>0</v>
      </c>
      <c r="K37" s="170">
        <v>0</v>
      </c>
      <c r="L37" s="170">
        <v>0</v>
      </c>
      <c r="M37" s="170">
        <v>0</v>
      </c>
      <c r="N37" s="163">
        <v>1</v>
      </c>
      <c r="O37" s="164">
        <v>40.423000000000002</v>
      </c>
    </row>
    <row r="38" spans="2:15" x14ac:dyDescent="0.3">
      <c r="B38" s="178" t="s">
        <v>433</v>
      </c>
      <c r="C38" s="166"/>
      <c r="D38" s="166">
        <v>2030</v>
      </c>
      <c r="E38" s="166">
        <v>0.56000000000000005</v>
      </c>
      <c r="F38" s="166">
        <v>0.11</v>
      </c>
      <c r="G38" s="166">
        <v>0.26</v>
      </c>
      <c r="H38" s="166">
        <v>0.05</v>
      </c>
      <c r="I38" s="166">
        <v>0</v>
      </c>
      <c r="J38" s="166">
        <v>0.02</v>
      </c>
      <c r="K38" s="166">
        <v>0</v>
      </c>
      <c r="L38" s="166">
        <v>0</v>
      </c>
      <c r="M38" s="166">
        <v>0</v>
      </c>
      <c r="N38" s="167">
        <v>1</v>
      </c>
      <c r="O38" s="168">
        <v>41.207999999999998</v>
      </c>
    </row>
    <row r="39" spans="2:15" x14ac:dyDescent="0.3">
      <c r="B39" s="169" t="s">
        <v>433</v>
      </c>
      <c r="C39" s="170"/>
      <c r="D39" s="170">
        <v>2040</v>
      </c>
      <c r="E39" s="170">
        <v>0.47</v>
      </c>
      <c r="F39" s="170">
        <v>0.1</v>
      </c>
      <c r="G39" s="170">
        <v>0.24</v>
      </c>
      <c r="H39" s="170">
        <v>0.12</v>
      </c>
      <c r="I39" s="170">
        <v>0</v>
      </c>
      <c r="J39" s="170">
        <v>0.05</v>
      </c>
      <c r="K39" s="170">
        <v>0</v>
      </c>
      <c r="L39" s="170">
        <v>0</v>
      </c>
      <c r="M39" s="170">
        <v>0.02</v>
      </c>
      <c r="N39" s="163">
        <v>1</v>
      </c>
      <c r="O39" s="164">
        <v>42.621000000000002</v>
      </c>
    </row>
    <row r="40" spans="2:15" ht="15" thickBot="1" x14ac:dyDescent="0.35">
      <c r="B40" s="179" t="s">
        <v>433</v>
      </c>
      <c r="C40" s="180"/>
      <c r="D40" s="172">
        <v>2050</v>
      </c>
      <c r="E40" s="172">
        <v>0.42</v>
      </c>
      <c r="F40" s="172">
        <v>0.09</v>
      </c>
      <c r="G40" s="172">
        <v>0.15</v>
      </c>
      <c r="H40" s="172">
        <v>0.15</v>
      </c>
      <c r="I40" s="172">
        <v>0</v>
      </c>
      <c r="J40" s="172">
        <v>7.0000000000000007E-2</v>
      </c>
      <c r="K40" s="172">
        <v>0.02</v>
      </c>
      <c r="L40" s="172">
        <v>0.05</v>
      </c>
      <c r="M40" s="172">
        <v>0.05</v>
      </c>
      <c r="N40" s="181">
        <v>1</v>
      </c>
      <c r="O40" s="182">
        <v>43.405999999999999</v>
      </c>
    </row>
    <row r="42" spans="2:15" ht="13.95" customHeight="1" x14ac:dyDescent="0.3">
      <c r="B42" s="257" t="s">
        <v>1</v>
      </c>
      <c r="C42" s="257"/>
      <c r="D42" s="183" t="s">
        <v>434</v>
      </c>
      <c r="E42" s="184"/>
      <c r="F42" s="184"/>
      <c r="G42" s="184"/>
      <c r="H42" s="184"/>
      <c r="I42" s="185"/>
      <c r="J42" s="258" t="s">
        <v>435</v>
      </c>
      <c r="K42" s="258"/>
    </row>
    <row r="43" spans="2:15" x14ac:dyDescent="0.3">
      <c r="B43" s="257"/>
      <c r="C43" s="257"/>
      <c r="D43" s="186" t="s">
        <v>436</v>
      </c>
      <c r="E43" s="186">
        <v>2015</v>
      </c>
      <c r="F43" s="186">
        <v>2020</v>
      </c>
      <c r="G43" s="186">
        <v>2030</v>
      </c>
      <c r="H43" s="186">
        <v>2040</v>
      </c>
      <c r="I43" s="186">
        <v>2050</v>
      </c>
      <c r="J43" s="187" t="s">
        <v>437</v>
      </c>
      <c r="K43" s="188" t="s">
        <v>438</v>
      </c>
    </row>
    <row r="44" spans="2:15" x14ac:dyDescent="0.3">
      <c r="B44" s="259" t="s">
        <v>423</v>
      </c>
      <c r="C44" s="259"/>
      <c r="D44" s="189">
        <v>1.84593572778828</v>
      </c>
      <c r="E44" s="189">
        <v>2.1228260869565201</v>
      </c>
      <c r="F44" s="189">
        <v>2.2970752756858501</v>
      </c>
      <c r="G44" s="189">
        <v>2.8001219433689699</v>
      </c>
      <c r="H44" s="189">
        <v>2.94332054928317</v>
      </c>
      <c r="I44" s="189">
        <v>3.09384235081188</v>
      </c>
      <c r="J44" s="189">
        <v>1.02</v>
      </c>
      <c r="K44" s="189">
        <v>1.0049999999999999</v>
      </c>
    </row>
    <row r="45" spans="2:15" x14ac:dyDescent="0.3">
      <c r="B45" s="259" t="s">
        <v>424</v>
      </c>
      <c r="C45" s="259"/>
      <c r="D45" s="189">
        <v>2.68123566477631</v>
      </c>
      <c r="E45" s="189">
        <v>3.0834210144927501</v>
      </c>
      <c r="F45" s="189">
        <v>3.5459341666666702</v>
      </c>
      <c r="G45" s="189">
        <v>5.2488487849050296</v>
      </c>
      <c r="H45" s="189">
        <v>5.7979945007438101</v>
      </c>
      <c r="I45" s="189">
        <v>6.4045930085340999</v>
      </c>
      <c r="J45" s="189">
        <v>1.04</v>
      </c>
      <c r="K45" s="189">
        <v>1.01</v>
      </c>
    </row>
    <row r="46" spans="2:15" x14ac:dyDescent="0.3">
      <c r="B46" s="259" t="s">
        <v>425</v>
      </c>
      <c r="C46" s="259"/>
      <c r="D46" s="189">
        <v>2.68123566477631</v>
      </c>
      <c r="E46" s="189">
        <v>3.0834210144927501</v>
      </c>
      <c r="F46" s="189">
        <v>3.5459341666666702</v>
      </c>
      <c r="G46" s="189">
        <v>5.2488487849050296</v>
      </c>
      <c r="H46" s="189">
        <v>5.7979945007438101</v>
      </c>
      <c r="I46" s="189">
        <v>6.4045930085340999</v>
      </c>
      <c r="J46" s="189">
        <v>1.04</v>
      </c>
      <c r="K46" s="189">
        <v>1.01</v>
      </c>
    </row>
    <row r="47" spans="2:15" x14ac:dyDescent="0.3">
      <c r="B47" s="259" t="s">
        <v>426</v>
      </c>
      <c r="C47" s="259"/>
      <c r="D47" s="189">
        <v>1.84593572778828</v>
      </c>
      <c r="E47" s="189">
        <v>2.1228260869565201</v>
      </c>
      <c r="F47" s="189">
        <v>3.2549999999999999</v>
      </c>
      <c r="G47" s="189">
        <v>4.5914989658217502</v>
      </c>
      <c r="H47" s="189">
        <v>5.0718713464493703</v>
      </c>
      <c r="I47" s="189">
        <v>5.6025013065270901</v>
      </c>
      <c r="J47" s="189">
        <v>1.0349999999999999</v>
      </c>
      <c r="K47" s="189">
        <v>1.01</v>
      </c>
    </row>
    <row r="48" spans="2:15" x14ac:dyDescent="0.3">
      <c r="B48" s="259" t="s">
        <v>427</v>
      </c>
      <c r="C48" s="259"/>
      <c r="D48" s="189">
        <v>1.84593572778828</v>
      </c>
      <c r="E48" s="189">
        <v>2.1228260869565201</v>
      </c>
      <c r="F48" s="189">
        <v>3.2549999999999999</v>
      </c>
      <c r="G48" s="189">
        <v>4.8181951474092104</v>
      </c>
      <c r="H48" s="189">
        <v>5.3222849643771202</v>
      </c>
      <c r="I48" s="189">
        <v>5.8791137293943496</v>
      </c>
      <c r="J48" s="189">
        <v>1.04</v>
      </c>
      <c r="K48" s="189">
        <v>1.01</v>
      </c>
    </row>
    <row r="49" spans="2:18" x14ac:dyDescent="0.3">
      <c r="B49" s="259" t="s">
        <v>428</v>
      </c>
      <c r="C49" s="259"/>
      <c r="D49" s="189">
        <v>1.84593572778828</v>
      </c>
      <c r="E49" s="189">
        <v>2.1228260869565201</v>
      </c>
      <c r="F49" s="189">
        <v>3.2549999999999999</v>
      </c>
      <c r="G49" s="189">
        <v>4.8181951474092104</v>
      </c>
      <c r="H49" s="189">
        <v>5.3222849643771202</v>
      </c>
      <c r="I49" s="189">
        <v>5.8791137293943496</v>
      </c>
      <c r="J49" s="189">
        <v>1.04</v>
      </c>
      <c r="K49" s="189">
        <v>1.01</v>
      </c>
    </row>
    <row r="50" spans="2:18" x14ac:dyDescent="0.3">
      <c r="B50" s="259" t="s">
        <v>429</v>
      </c>
      <c r="C50" s="259"/>
      <c r="D50" s="189">
        <v>3.4933837429111501</v>
      </c>
      <c r="E50" s="189">
        <v>4.0173913043478304</v>
      </c>
      <c r="F50" s="189">
        <v>5</v>
      </c>
      <c r="G50" s="189">
        <v>7</v>
      </c>
      <c r="H50" s="189">
        <v>9</v>
      </c>
      <c r="I50" s="189">
        <v>10</v>
      </c>
      <c r="J50" s="189">
        <v>1.04</v>
      </c>
      <c r="K50" s="189">
        <v>1.01</v>
      </c>
    </row>
    <row r="51" spans="2:18" x14ac:dyDescent="0.3">
      <c r="B51" s="259" t="s">
        <v>430</v>
      </c>
      <c r="C51" s="259"/>
      <c r="D51" s="189">
        <v>1</v>
      </c>
      <c r="E51" s="189">
        <v>1</v>
      </c>
      <c r="F51" s="189">
        <v>5</v>
      </c>
      <c r="G51" s="189">
        <v>5</v>
      </c>
      <c r="H51" s="189">
        <v>6</v>
      </c>
      <c r="I51" s="189">
        <v>7</v>
      </c>
      <c r="J51" s="189">
        <v>1.04</v>
      </c>
      <c r="K51" s="189">
        <v>1.01</v>
      </c>
    </row>
    <row r="52" spans="2:18" x14ac:dyDescent="0.3">
      <c r="B52" s="190" t="s">
        <v>439</v>
      </c>
      <c r="C52" s="190"/>
      <c r="D52" s="189">
        <v>1</v>
      </c>
      <c r="E52" s="189">
        <v>1</v>
      </c>
      <c r="F52" s="189">
        <v>5</v>
      </c>
      <c r="G52" s="189">
        <v>8</v>
      </c>
      <c r="H52" s="189">
        <v>10</v>
      </c>
      <c r="I52" s="189">
        <v>12</v>
      </c>
      <c r="J52" s="189">
        <v>1.04</v>
      </c>
      <c r="K52" s="189">
        <v>1.01</v>
      </c>
    </row>
    <row r="56" spans="2:18" ht="17.399999999999999" x14ac:dyDescent="0.3">
      <c r="B56" s="219" t="s">
        <v>440</v>
      </c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</row>
    <row r="59" spans="2:18" ht="57.6" x14ac:dyDescent="0.3">
      <c r="C59" s="191" t="s">
        <v>441</v>
      </c>
      <c r="D59" s="191" t="s">
        <v>442</v>
      </c>
      <c r="E59" s="191" t="s">
        <v>443</v>
      </c>
    </row>
    <row r="60" spans="2:18" x14ac:dyDescent="0.3">
      <c r="B60">
        <v>2015</v>
      </c>
      <c r="C60">
        <v>22</v>
      </c>
      <c r="D60">
        <v>27</v>
      </c>
      <c r="E60">
        <v>12</v>
      </c>
    </row>
    <row r="61" spans="2:18" x14ac:dyDescent="0.3">
      <c r="B61" t="s">
        <v>444</v>
      </c>
      <c r="C61">
        <v>22</v>
      </c>
      <c r="D61">
        <v>27</v>
      </c>
      <c r="E61">
        <v>12</v>
      </c>
    </row>
  </sheetData>
  <mergeCells count="16">
    <mergeCell ref="B51:C51"/>
    <mergeCell ref="B56:R56"/>
    <mergeCell ref="B48:C48"/>
    <mergeCell ref="B49:C49"/>
    <mergeCell ref="B50:C50"/>
    <mergeCell ref="B45:C45"/>
    <mergeCell ref="B46:C46"/>
    <mergeCell ref="B47:C47"/>
    <mergeCell ref="B42:C43"/>
    <mergeCell ref="J42:K42"/>
    <mergeCell ref="B44:C44"/>
    <mergeCell ref="B2:I2"/>
    <mergeCell ref="B5:R5"/>
    <mergeCell ref="B25:R25"/>
    <mergeCell ref="O27:O28"/>
    <mergeCell ref="B28:C2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115"/>
  <sheetViews>
    <sheetView zoomScale="55" zoomScaleNormal="55" workbookViewId="0">
      <selection activeCell="Y76" sqref="Y76"/>
    </sheetView>
  </sheetViews>
  <sheetFormatPr baseColWidth="10" defaultColWidth="9.21875" defaultRowHeight="14.4" x14ac:dyDescent="0.3"/>
  <cols>
    <col min="1" max="1" width="8.77734375" customWidth="1"/>
    <col min="2" max="2" width="17.44140625" bestFit="1" customWidth="1"/>
    <col min="3" max="3" width="20.109375" bestFit="1" customWidth="1"/>
    <col min="4" max="4" width="8.77734375" customWidth="1"/>
    <col min="5" max="13" width="10.5546875" customWidth="1"/>
    <col min="14" max="14" width="10.77734375" customWidth="1"/>
    <col min="15" max="16" width="10.5546875" customWidth="1"/>
    <col min="17" max="21" width="8.77734375" customWidth="1"/>
    <col min="22" max="22" width="9.77734375" customWidth="1"/>
    <col min="23" max="1025" width="8.77734375" customWidth="1"/>
  </cols>
  <sheetData>
    <row r="3" spans="1:37" x14ac:dyDescent="0.3">
      <c r="C3" t="s">
        <v>1</v>
      </c>
    </row>
    <row r="5" spans="1:37" x14ac:dyDescent="0.3">
      <c r="E5">
        <v>2015</v>
      </c>
      <c r="F5">
        <v>2017</v>
      </c>
      <c r="G5">
        <v>2018</v>
      </c>
      <c r="H5">
        <v>2019</v>
      </c>
      <c r="I5">
        <v>2020</v>
      </c>
      <c r="J5">
        <v>2022</v>
      </c>
      <c r="K5">
        <v>2025</v>
      </c>
      <c r="L5">
        <v>2030</v>
      </c>
      <c r="M5">
        <v>2035</v>
      </c>
      <c r="N5">
        <v>2040</v>
      </c>
      <c r="O5">
        <v>2045</v>
      </c>
      <c r="P5">
        <v>2050</v>
      </c>
      <c r="T5" s="261" t="s">
        <v>445</v>
      </c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 t="s">
        <v>22</v>
      </c>
      <c r="AG5" s="261"/>
      <c r="AH5" s="261"/>
      <c r="AI5" s="261"/>
      <c r="AK5" t="s">
        <v>446</v>
      </c>
    </row>
    <row r="6" spans="1:37" x14ac:dyDescent="0.3">
      <c r="A6" s="260" t="s">
        <v>473</v>
      </c>
      <c r="B6" s="260"/>
      <c r="C6" s="260"/>
      <c r="D6" t="s">
        <v>447</v>
      </c>
      <c r="E6">
        <f t="shared" ref="E6:P6" si="0">SUM(E8:E46)-E7</f>
        <v>0</v>
      </c>
      <c r="F6" s="65">
        <f>SUM(F8:F46)-F7</f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S6" t="s">
        <v>448</v>
      </c>
      <c r="T6" s="261" t="s">
        <v>63</v>
      </c>
      <c r="U6" s="261"/>
      <c r="V6" s="261"/>
      <c r="W6" s="261"/>
      <c r="X6" s="261"/>
      <c r="Y6" s="261"/>
      <c r="Z6" s="261" t="s">
        <v>67</v>
      </c>
      <c r="AA6" s="261"/>
      <c r="AB6" s="261"/>
      <c r="AC6" s="261"/>
      <c r="AD6" s="261"/>
      <c r="AE6" s="261"/>
      <c r="AF6" s="261" t="s">
        <v>449</v>
      </c>
      <c r="AG6" s="261"/>
      <c r="AH6" s="261"/>
      <c r="AI6" s="261"/>
    </row>
    <row r="7" spans="1:37" x14ac:dyDescent="0.3">
      <c r="D7" t="s">
        <v>450</v>
      </c>
      <c r="E7" s="64">
        <f>'parc résidentiel'!D10</f>
        <v>16000824</v>
      </c>
      <c r="F7" s="64">
        <f>E7+($I7-$E7)/4</f>
        <v>16134731.449999999</v>
      </c>
      <c r="G7" s="64">
        <f>F7+($I7-$E7)/4</f>
        <v>16268638.899999999</v>
      </c>
      <c r="H7" s="64">
        <f>G7+($I7-$E7)/4</f>
        <v>16402546.349999998</v>
      </c>
      <c r="I7" s="64">
        <f>'parc résidentiel'!E10</f>
        <v>16536453.799999999</v>
      </c>
      <c r="J7" s="64">
        <f>I7+(L7-I7)*2/10</f>
        <v>16670827.034453128</v>
      </c>
      <c r="K7" s="64">
        <f>(I7+L7)/2</f>
        <v>16872386.886132818</v>
      </c>
      <c r="L7" s="64">
        <f>'parc résidentiel'!F10</f>
        <v>17208319.972265638</v>
      </c>
      <c r="M7" s="64">
        <f>(L7+N7)/2</f>
        <v>17507753.278900359</v>
      </c>
      <c r="N7" s="64">
        <f>'parc résidentiel'!G10</f>
        <v>17807186.585535079</v>
      </c>
      <c r="O7" s="64">
        <f>(N7+P7)/2</f>
        <v>17885537.885054804</v>
      </c>
      <c r="P7" s="64">
        <f>'parc résidentiel'!H10</f>
        <v>17963889.184574526</v>
      </c>
      <c r="T7" s="262" t="s">
        <v>449</v>
      </c>
      <c r="U7" s="262"/>
      <c r="V7" s="262" t="s">
        <v>451</v>
      </c>
      <c r="W7" s="262"/>
      <c r="X7" s="262" t="s">
        <v>452</v>
      </c>
      <c r="Y7" s="262"/>
      <c r="Z7" s="262" t="s">
        <v>449</v>
      </c>
      <c r="AA7" s="262"/>
      <c r="AB7" s="262" t="s">
        <v>451</v>
      </c>
      <c r="AC7" s="262"/>
      <c r="AD7" s="262" t="s">
        <v>452</v>
      </c>
      <c r="AE7" s="262"/>
      <c r="AF7" s="262" t="s">
        <v>63</v>
      </c>
      <c r="AG7" s="262"/>
      <c r="AH7" s="262" t="s">
        <v>67</v>
      </c>
      <c r="AI7" s="262"/>
    </row>
    <row r="8" spans="1:37" x14ac:dyDescent="0.3">
      <c r="A8" t="s">
        <v>453</v>
      </c>
      <c r="B8" t="s">
        <v>454</v>
      </c>
      <c r="C8" t="s">
        <v>449</v>
      </c>
      <c r="D8" t="s">
        <v>407</v>
      </c>
      <c r="E8" s="64">
        <f t="shared" ref="E8:E20" si="1">E$7*T$27*T9</f>
        <v>3237530.8108762843</v>
      </c>
      <c r="F8" s="65">
        <f t="shared" ref="F8:F20" si="2">F$7*($T9+($U9-$T9)*2/35)*($T$27+($U$27-$T$27)*2/35)</f>
        <v>3269838.2061407617</v>
      </c>
      <c r="G8" s="65">
        <f t="shared" ref="G8:G20" si="3">G$7*($T9+($U9-$T9)*3/35)*($T$27+($U$27-$T$27)*3/35)</f>
        <v>3299603.9018820492</v>
      </c>
      <c r="H8" s="65">
        <f t="shared" ref="H8:H20" si="4">H$7*($T9+($U9-$T9)*4/35)*($T$27+($U$27-$T$27)*4/35)</f>
        <v>3329412.8636635011</v>
      </c>
      <c r="I8" s="65">
        <f t="shared" ref="I8:I20" si="5">I$7*($T9+($U9-$T9)*5/35)*($T$27+($U$27-$T$27)*5/35)</f>
        <v>3359265.0914851185</v>
      </c>
      <c r="J8" s="65">
        <f t="shared" ref="J8:J20" si="6">J$7*($T9+($U9-$T9)*7/35)*($T$27+($U$27-$T$27)*7/35)</f>
        <v>3391948.4873659192</v>
      </c>
      <c r="K8" s="65">
        <f t="shared" ref="K8:K20" si="7">K$7*($T9+($U9-$T9)*10/35)*($T$27+($U$27-$T$27)*10/35)</f>
        <v>3441136.3932009093</v>
      </c>
      <c r="L8" s="65">
        <f>L$7*($T9+($U9-$T9)*15/35)*($T$27+($U$27-$T$27)*15/35)</f>
        <v>3523550.4016293334</v>
      </c>
      <c r="M8" s="65">
        <f t="shared" ref="M8:M20" si="8">M$7*($T9+($U9-$T9)*20/35)*($T$27+($U$27-$T$27)*20/35)</f>
        <v>3599003.9922952536</v>
      </c>
      <c r="N8" s="65">
        <f t="shared" ref="N8:N20" si="9">N$7*($T9+($U9-$T9)*25/35)*($T$27+($U$27-$T$27)*25/35)</f>
        <v>3674941.3235398917</v>
      </c>
      <c r="O8" s="65">
        <f t="shared" ref="O8:O20" si="10">O$7*($T9+($U9-$T9)*30/35)*($T$27+($U$27-$T$27)*30/35)</f>
        <v>3705558.2235895158</v>
      </c>
      <c r="P8" s="65">
        <f t="shared" ref="P8:P20" si="11">P$7*U$27*U9</f>
        <v>3736301.701752305</v>
      </c>
      <c r="T8" s="72">
        <v>2015</v>
      </c>
      <c r="U8" s="72">
        <v>2050</v>
      </c>
      <c r="V8" s="72">
        <v>2015</v>
      </c>
      <c r="W8" s="72">
        <v>2050</v>
      </c>
      <c r="X8" s="72">
        <v>2015</v>
      </c>
      <c r="Y8" s="72">
        <v>2050</v>
      </c>
      <c r="Z8" s="72">
        <v>2015</v>
      </c>
      <c r="AA8" s="72">
        <v>2050</v>
      </c>
      <c r="AB8" s="72">
        <v>2015</v>
      </c>
      <c r="AC8" s="72">
        <v>2050</v>
      </c>
      <c r="AD8" s="72">
        <v>2015</v>
      </c>
      <c r="AE8" s="72">
        <v>2050</v>
      </c>
      <c r="AF8" s="72">
        <v>2015</v>
      </c>
      <c r="AG8" s="72">
        <v>2050</v>
      </c>
      <c r="AH8" s="72">
        <v>2015</v>
      </c>
      <c r="AI8" s="72">
        <v>2050</v>
      </c>
    </row>
    <row r="9" spans="1:37" x14ac:dyDescent="0.3">
      <c r="A9" t="s">
        <v>453</v>
      </c>
      <c r="B9" t="s">
        <v>454</v>
      </c>
      <c r="C9" t="s">
        <v>449</v>
      </c>
      <c r="D9" t="s">
        <v>408</v>
      </c>
      <c r="E9" s="64">
        <f t="shared" si="1"/>
        <v>1576230.3387780637</v>
      </c>
      <c r="F9" s="65">
        <f t="shared" si="2"/>
        <v>1591959.577990765</v>
      </c>
      <c r="G9" s="65">
        <f t="shared" si="3"/>
        <v>1606451.3605939259</v>
      </c>
      <c r="H9" s="65">
        <f t="shared" si="4"/>
        <v>1620964.2077827633</v>
      </c>
      <c r="I9" s="65">
        <f t="shared" si="5"/>
        <v>1635498.1195572775</v>
      </c>
      <c r="J9" s="65">
        <f t="shared" si="6"/>
        <v>1651410.4191371135</v>
      </c>
      <c r="K9" s="65">
        <f t="shared" si="7"/>
        <v>1675358.1354700695</v>
      </c>
      <c r="L9" s="65">
        <f t="shared" ref="L9:L20" si="12">L$7*(T10+(U10-T10)*15/35)*(T$27+(U$27-T$27)*15/35)</f>
        <v>1715482.3745935366</v>
      </c>
      <c r="M9" s="65">
        <f t="shared" si="8"/>
        <v>1752217.8516360465</v>
      </c>
      <c r="N9" s="65">
        <f t="shared" si="9"/>
        <v>1789188.8435263885</v>
      </c>
      <c r="O9" s="65">
        <f t="shared" si="10"/>
        <v>1804095.0450598001</v>
      </c>
      <c r="P9" s="65">
        <f t="shared" si="11"/>
        <v>1819062.8726514189</v>
      </c>
      <c r="S9" s="61" t="s">
        <v>407</v>
      </c>
      <c r="T9" s="26">
        <v>0.2475272997438</v>
      </c>
      <c r="U9" s="26">
        <v>0.2475272997438</v>
      </c>
      <c r="V9" s="26">
        <v>0.22693164507163999</v>
      </c>
      <c r="W9" s="26">
        <v>0.22388050362723</v>
      </c>
      <c r="X9" s="26">
        <v>0.41763307475025502</v>
      </c>
      <c r="Y9" s="26">
        <v>0.415107680387303</v>
      </c>
      <c r="Z9" s="26">
        <v>0.41113045286053002</v>
      </c>
      <c r="AA9" s="26">
        <v>0.41037311594798598</v>
      </c>
      <c r="AB9" s="26">
        <v>0.33586507706505497</v>
      </c>
      <c r="AC9" s="26">
        <v>0.27408922002610397</v>
      </c>
      <c r="AD9" s="26">
        <v>0.43939277451877001</v>
      </c>
      <c r="AE9" s="26">
        <v>0.43605040405721701</v>
      </c>
      <c r="AF9" s="26">
        <v>9.3354125734896695E-2</v>
      </c>
      <c r="AG9" s="26">
        <v>9.2986977774421095E-2</v>
      </c>
      <c r="AH9" s="26">
        <v>0.148273829640866</v>
      </c>
      <c r="AI9" s="26">
        <v>0.147911810057441</v>
      </c>
    </row>
    <row r="10" spans="1:37" x14ac:dyDescent="0.3">
      <c r="A10" t="s">
        <v>453</v>
      </c>
      <c r="B10" t="s">
        <v>454</v>
      </c>
      <c r="C10" t="s">
        <v>449</v>
      </c>
      <c r="D10" t="s">
        <v>409</v>
      </c>
      <c r="E10" s="64">
        <f t="shared" si="1"/>
        <v>1950735.7750267927</v>
      </c>
      <c r="F10" s="65">
        <f t="shared" si="2"/>
        <v>1970202.2126985593</v>
      </c>
      <c r="G10" s="65">
        <f t="shared" si="3"/>
        <v>1988137.1794812772</v>
      </c>
      <c r="H10" s="65">
        <f t="shared" si="4"/>
        <v>2006098.2157031212</v>
      </c>
      <c r="I10" s="65">
        <f t="shared" si="5"/>
        <v>2024085.3213640915</v>
      </c>
      <c r="J10" s="65">
        <f t="shared" si="6"/>
        <v>2043778.3137457715</v>
      </c>
      <c r="K10" s="65">
        <f t="shared" si="7"/>
        <v>2073415.9027653474</v>
      </c>
      <c r="L10" s="65">
        <f t="shared" si="12"/>
        <v>2123073.4856567895</v>
      </c>
      <c r="M10" s="65">
        <f t="shared" si="8"/>
        <v>2168537.151414583</v>
      </c>
      <c r="N10" s="65">
        <f t="shared" si="9"/>
        <v>2214292.2893182375</v>
      </c>
      <c r="O10" s="65">
        <f t="shared" si="10"/>
        <v>2232740.1391569409</v>
      </c>
      <c r="P10" s="65">
        <f t="shared" si="11"/>
        <v>2251264.2571358136</v>
      </c>
      <c r="S10" s="61" t="s">
        <v>408</v>
      </c>
      <c r="T10" s="26">
        <v>0.120511606629741</v>
      </c>
      <c r="U10" s="26">
        <v>0.120511606629741</v>
      </c>
      <c r="V10" s="26">
        <v>9.2604534403814998E-2</v>
      </c>
      <c r="W10" s="26">
        <v>9.1359447881084702E-2</v>
      </c>
      <c r="X10" s="26">
        <v>9.8135697789838897E-2</v>
      </c>
      <c r="Y10" s="26">
        <v>9.7542278942083602E-2</v>
      </c>
      <c r="Z10" s="26">
        <v>7.9819969145395395E-2</v>
      </c>
      <c r="AA10" s="26">
        <v>7.9672934041156995E-2</v>
      </c>
      <c r="AB10" s="26">
        <v>0.104852410998242</v>
      </c>
      <c r="AC10" s="26">
        <v>0.110677663474818</v>
      </c>
      <c r="AD10" s="26">
        <v>0.10500153088804701</v>
      </c>
      <c r="AE10" s="26">
        <v>0.10420280583927399</v>
      </c>
      <c r="AF10" s="26">
        <v>6.3724776941370007E-2</v>
      </c>
      <c r="AG10" s="26">
        <v>6.34741568246735E-2</v>
      </c>
      <c r="AH10" s="26">
        <v>1.8891875699731799E-2</v>
      </c>
      <c r="AI10" s="26">
        <v>1.8845750034889201E-2</v>
      </c>
    </row>
    <row r="11" spans="1:37" x14ac:dyDescent="0.3">
      <c r="A11" t="s">
        <v>453</v>
      </c>
      <c r="B11" t="s">
        <v>454</v>
      </c>
      <c r="C11" t="s">
        <v>449</v>
      </c>
      <c r="D11" t="s">
        <v>410</v>
      </c>
      <c r="E11" s="64">
        <f t="shared" si="1"/>
        <v>1001742.5129145677</v>
      </c>
      <c r="F11" s="65">
        <f t="shared" si="2"/>
        <v>1011738.924750785</v>
      </c>
      <c r="G11" s="65">
        <f t="shared" si="3"/>
        <v>1020948.8951239957</v>
      </c>
      <c r="H11" s="65">
        <f t="shared" si="4"/>
        <v>1030172.2526846435</v>
      </c>
      <c r="I11" s="65">
        <f t="shared" si="5"/>
        <v>1039408.9974327286</v>
      </c>
      <c r="J11" s="65">
        <f t="shared" si="6"/>
        <v>1049521.7497222901</v>
      </c>
      <c r="K11" s="65">
        <f t="shared" si="7"/>
        <v>1064741.2547322861</v>
      </c>
      <c r="L11" s="65">
        <f t="shared" si="12"/>
        <v>1090241.4339506908</v>
      </c>
      <c r="M11" s="65">
        <f t="shared" si="8"/>
        <v>1113587.9513855774</v>
      </c>
      <c r="N11" s="65">
        <f t="shared" si="9"/>
        <v>1137084.1456980696</v>
      </c>
      <c r="O11" s="65">
        <f t="shared" si="10"/>
        <v>1146557.4919563753</v>
      </c>
      <c r="P11" s="65">
        <f t="shared" si="11"/>
        <v>1156070.0034565181</v>
      </c>
      <c r="S11" s="61" t="s">
        <v>409</v>
      </c>
      <c r="T11" s="26">
        <v>0.149144637414375</v>
      </c>
      <c r="U11" s="26">
        <v>0.149144637414375</v>
      </c>
      <c r="V11" s="26">
        <v>0.115895334053694</v>
      </c>
      <c r="W11" s="26">
        <v>0.114337098062265</v>
      </c>
      <c r="X11" s="26">
        <v>8.5311128288317398E-2</v>
      </c>
      <c r="Y11" s="26">
        <v>8.4795258603893503E-2</v>
      </c>
      <c r="Z11" s="26">
        <v>0.182861619327471</v>
      </c>
      <c r="AA11" s="26">
        <v>0.18252477282719201</v>
      </c>
      <c r="AB11" s="26">
        <v>0.16007928382485201</v>
      </c>
      <c r="AC11" s="26">
        <v>0.14830030669954</v>
      </c>
      <c r="AD11" s="26">
        <v>0.14655873518707899</v>
      </c>
      <c r="AE11" s="26">
        <v>0.14544389303267999</v>
      </c>
      <c r="AF11" s="26">
        <v>0.16629674894830501</v>
      </c>
      <c r="AG11" s="26">
        <v>0.16564272844594999</v>
      </c>
      <c r="AH11" s="26">
        <v>0.224760382089815</v>
      </c>
      <c r="AI11" s="26">
        <v>0.22421161593133901</v>
      </c>
    </row>
    <row r="12" spans="1:37" x14ac:dyDescent="0.3">
      <c r="A12" t="s">
        <v>453</v>
      </c>
      <c r="B12" t="s">
        <v>454</v>
      </c>
      <c r="C12" t="s">
        <v>449</v>
      </c>
      <c r="D12" t="s">
        <v>411</v>
      </c>
      <c r="E12" s="64">
        <f t="shared" si="1"/>
        <v>1825089.5400035335</v>
      </c>
      <c r="F12" s="65">
        <f t="shared" si="2"/>
        <v>1843302.150973558</v>
      </c>
      <c r="G12" s="65">
        <f t="shared" si="3"/>
        <v>1860081.9325792955</v>
      </c>
      <c r="H12" s="65">
        <f t="shared" si="4"/>
        <v>1876886.1045003552</v>
      </c>
      <c r="I12" s="65">
        <f t="shared" si="5"/>
        <v>1893714.6667367374</v>
      </c>
      <c r="J12" s="65">
        <f t="shared" si="6"/>
        <v>1912139.2401040252</v>
      </c>
      <c r="K12" s="65">
        <f t="shared" si="7"/>
        <v>1939867.8819852185</v>
      </c>
      <c r="L12" s="65">
        <f t="shared" si="12"/>
        <v>1986327.0366679099</v>
      </c>
      <c r="M12" s="65">
        <f t="shared" si="8"/>
        <v>2028862.403008657</v>
      </c>
      <c r="N12" s="65">
        <f t="shared" si="9"/>
        <v>2071670.4678724047</v>
      </c>
      <c r="O12" s="65">
        <f t="shared" si="10"/>
        <v>2088930.0979090305</v>
      </c>
      <c r="P12" s="65">
        <f t="shared" si="11"/>
        <v>2106261.0836805748</v>
      </c>
      <c r="S12" s="61" t="s">
        <v>410</v>
      </c>
      <c r="T12" s="26">
        <v>7.6588806020721101E-2</v>
      </c>
      <c r="U12" s="26">
        <v>7.6588806020721101E-2</v>
      </c>
      <c r="V12" s="26">
        <v>7.1578242385423901E-2</v>
      </c>
      <c r="W12" s="26">
        <v>7.0615858572486701E-2</v>
      </c>
      <c r="X12" s="26">
        <v>7.5195811148264499E-2</v>
      </c>
      <c r="Y12" s="26">
        <v>7.4741107991181097E-2</v>
      </c>
      <c r="Z12" s="26">
        <v>3.0242781734008801E-2</v>
      </c>
      <c r="AA12" s="26">
        <v>3.01870719835249E-2</v>
      </c>
      <c r="AB12" s="26">
        <v>4.0139110702203898E-2</v>
      </c>
      <c r="AC12" s="26">
        <v>5.6575265281573597E-2</v>
      </c>
      <c r="AD12" s="26">
        <v>3.8646261395263802E-2</v>
      </c>
      <c r="AE12" s="26">
        <v>3.8352287233584803E-2</v>
      </c>
      <c r="AF12" s="26">
        <v>0.120692727608887</v>
      </c>
      <c r="AG12" s="26">
        <v>0.120218060973246</v>
      </c>
      <c r="AH12" s="26">
        <v>4.2741058509447503E-2</v>
      </c>
      <c r="AI12" s="26">
        <v>4.2636703612604201E-2</v>
      </c>
    </row>
    <row r="13" spans="1:37" x14ac:dyDescent="0.3">
      <c r="A13" t="s">
        <v>453</v>
      </c>
      <c r="B13" t="s">
        <v>454</v>
      </c>
      <c r="C13" t="s">
        <v>449</v>
      </c>
      <c r="D13" t="s">
        <v>412</v>
      </c>
      <c r="E13" s="64">
        <f t="shared" si="1"/>
        <v>1526657.4732845521</v>
      </c>
      <c r="F13" s="65">
        <f t="shared" si="2"/>
        <v>1541892.023719463</v>
      </c>
      <c r="G13" s="65">
        <f t="shared" si="3"/>
        <v>1555928.0358859852</v>
      </c>
      <c r="H13" s="65">
        <f t="shared" si="4"/>
        <v>1569984.4501513338</v>
      </c>
      <c r="I13" s="65">
        <f t="shared" si="5"/>
        <v>1584061.2665155092</v>
      </c>
      <c r="J13" s="65">
        <f t="shared" si="6"/>
        <v>1599473.1200200745</v>
      </c>
      <c r="K13" s="65">
        <f t="shared" si="7"/>
        <v>1622667.6742729433</v>
      </c>
      <c r="L13" s="65">
        <f t="shared" si="12"/>
        <v>1661529.9953504486</v>
      </c>
      <c r="M13" s="65">
        <f t="shared" si="8"/>
        <v>1697110.1318202857</v>
      </c>
      <c r="N13" s="65">
        <f t="shared" si="9"/>
        <v>1732918.3761330349</v>
      </c>
      <c r="O13" s="65">
        <f t="shared" si="10"/>
        <v>1747355.7736436746</v>
      </c>
      <c r="P13" s="65">
        <f t="shared" si="11"/>
        <v>1761852.859056517</v>
      </c>
      <c r="S13" s="61" t="s">
        <v>411</v>
      </c>
      <c r="T13" s="26">
        <v>0.13953828149220099</v>
      </c>
      <c r="U13" s="26">
        <v>0.13953828149220099</v>
      </c>
      <c r="V13" s="26">
        <v>0.15152559953097999</v>
      </c>
      <c r="W13" s="26">
        <v>0.14948830748000999</v>
      </c>
      <c r="X13" s="26">
        <v>0.15298843442978899</v>
      </c>
      <c r="Y13" s="26">
        <v>0.152063325396849</v>
      </c>
      <c r="Z13" s="26">
        <v>4.1560386943365099E-2</v>
      </c>
      <c r="AA13" s="26">
        <v>4.14838292111104E-2</v>
      </c>
      <c r="AB13" s="26">
        <v>6.6374728408034697E-2</v>
      </c>
      <c r="AC13" s="26">
        <v>0.10127930409470701</v>
      </c>
      <c r="AD13" s="26">
        <v>7.3640223337252605E-2</v>
      </c>
      <c r="AE13" s="26">
        <v>7.3080057304631504E-2</v>
      </c>
      <c r="AF13" s="26">
        <v>0.15598956102148201</v>
      </c>
      <c r="AG13" s="26">
        <v>0.15537607716381999</v>
      </c>
      <c r="AH13" s="26">
        <v>6.2966816428843594E-2</v>
      </c>
      <c r="AI13" s="26">
        <v>6.2813079112498699E-2</v>
      </c>
    </row>
    <row r="14" spans="1:37" x14ac:dyDescent="0.3">
      <c r="A14" t="s">
        <v>453</v>
      </c>
      <c r="B14" t="s">
        <v>454</v>
      </c>
      <c r="C14" t="s">
        <v>449</v>
      </c>
      <c r="D14" t="s">
        <v>413</v>
      </c>
      <c r="E14" s="64">
        <f t="shared" si="1"/>
        <v>377099.8961741543</v>
      </c>
      <c r="F14" s="65">
        <f t="shared" si="2"/>
        <v>380862.98480916076</v>
      </c>
      <c r="G14" s="65">
        <f t="shared" si="3"/>
        <v>384330.02232302236</v>
      </c>
      <c r="H14" s="65">
        <f t="shared" si="4"/>
        <v>387802.0993624382</v>
      </c>
      <c r="I14" s="65">
        <f t="shared" si="5"/>
        <v>391279.21592740831</v>
      </c>
      <c r="J14" s="65">
        <f t="shared" si="6"/>
        <v>395086.10022079141</v>
      </c>
      <c r="K14" s="65">
        <f t="shared" si="7"/>
        <v>400815.39061737555</v>
      </c>
      <c r="L14" s="65">
        <f t="shared" si="12"/>
        <v>410414.77849570836</v>
      </c>
      <c r="M14" s="65">
        <f t="shared" si="8"/>
        <v>419203.43345166976</v>
      </c>
      <c r="N14" s="65">
        <f t="shared" si="9"/>
        <v>428048.43336082727</v>
      </c>
      <c r="O14" s="65">
        <f t="shared" si="10"/>
        <v>431614.61712998268</v>
      </c>
      <c r="P14" s="65">
        <f t="shared" si="11"/>
        <v>435195.54441699816</v>
      </c>
      <c r="S14" s="61" t="s">
        <v>412</v>
      </c>
      <c r="T14" s="26">
        <v>0.116721484387522</v>
      </c>
      <c r="U14" s="26">
        <v>0.116721484387522</v>
      </c>
      <c r="V14" s="26">
        <v>0.13738691840949899</v>
      </c>
      <c r="W14" s="26">
        <v>0.135539723759557</v>
      </c>
      <c r="X14" s="26">
        <v>8.0904765242974894E-2</v>
      </c>
      <c r="Y14" s="26">
        <v>8.0415540489397294E-2</v>
      </c>
      <c r="Z14" s="26">
        <v>5.9217968128169797E-2</v>
      </c>
      <c r="AA14" s="26">
        <v>5.9108883644553203E-2</v>
      </c>
      <c r="AB14" s="26">
        <v>0.10066386659468</v>
      </c>
      <c r="AC14" s="26">
        <v>0.118905245492422</v>
      </c>
      <c r="AD14" s="26">
        <v>6.0119633135370998E-2</v>
      </c>
      <c r="AE14" s="26">
        <v>5.9662315451503502E-2</v>
      </c>
      <c r="AF14" s="26">
        <v>0.14265493077733701</v>
      </c>
      <c r="AG14" s="26">
        <v>0.142093890046953</v>
      </c>
      <c r="AH14" s="26">
        <v>9.4140366306867299E-2</v>
      </c>
      <c r="AI14" s="26">
        <v>9.3910516870345406E-2</v>
      </c>
    </row>
    <row r="15" spans="1:37" x14ac:dyDescent="0.3">
      <c r="A15" t="s">
        <v>453</v>
      </c>
      <c r="B15" t="s">
        <v>454</v>
      </c>
      <c r="C15" t="s">
        <v>449</v>
      </c>
      <c r="D15" t="s">
        <v>414</v>
      </c>
      <c r="E15" s="64">
        <f t="shared" si="1"/>
        <v>1200390.1595838617</v>
      </c>
      <c r="F15" s="65">
        <f t="shared" si="2"/>
        <v>1212368.8809065998</v>
      </c>
      <c r="G15" s="65">
        <f t="shared" si="3"/>
        <v>1223405.2077705711</v>
      </c>
      <c r="H15" s="65">
        <f t="shared" si="4"/>
        <v>1234457.5765293972</v>
      </c>
      <c r="I15" s="65">
        <f t="shared" si="5"/>
        <v>1245525.9871830787</v>
      </c>
      <c r="J15" s="65">
        <f t="shared" si="6"/>
        <v>1257644.1195156875</v>
      </c>
      <c r="K15" s="65">
        <f t="shared" si="7"/>
        <v>1275881.6843711331</v>
      </c>
      <c r="L15" s="65">
        <f t="shared" si="12"/>
        <v>1306438.6027476303</v>
      </c>
      <c r="M15" s="65">
        <f t="shared" si="8"/>
        <v>1334414.7836804457</v>
      </c>
      <c r="N15" s="65">
        <f t="shared" si="9"/>
        <v>1362570.3227304206</v>
      </c>
      <c r="O15" s="65">
        <f t="shared" si="10"/>
        <v>1373922.2534713</v>
      </c>
      <c r="P15" s="65">
        <f t="shared" si="11"/>
        <v>1385321.1160038251</v>
      </c>
      <c r="S15" s="61" t="s">
        <v>413</v>
      </c>
      <c r="T15" s="26">
        <v>2.8831391726088701E-2</v>
      </c>
      <c r="U15" s="26">
        <v>2.8831391726088701E-2</v>
      </c>
      <c r="V15" s="26">
        <v>3.5247093649205301E-2</v>
      </c>
      <c r="W15" s="26">
        <v>3.4773189411679797E-2</v>
      </c>
      <c r="X15" s="26">
        <v>1.9735773547125801E-2</v>
      </c>
      <c r="Y15" s="26">
        <v>1.96164328763846E-2</v>
      </c>
      <c r="Z15" s="26">
        <v>1.4739130211986501E-2</v>
      </c>
      <c r="AA15" s="26">
        <v>1.4711979493058599E-2</v>
      </c>
      <c r="AB15" s="26">
        <v>2.25826348962638E-2</v>
      </c>
      <c r="AC15" s="26">
        <v>2.73540885196705E-2</v>
      </c>
      <c r="AD15" s="26">
        <v>1.6588551079078501E-2</v>
      </c>
      <c r="AE15" s="26">
        <v>1.6462365382949599E-2</v>
      </c>
      <c r="AF15" s="26">
        <v>5.6268210754257399E-2</v>
      </c>
      <c r="AG15" s="26">
        <v>5.6046916208832703E-2</v>
      </c>
      <c r="AH15" s="26">
        <v>2.36694710339115E-2</v>
      </c>
      <c r="AI15" s="26">
        <v>2.3611680579153999E-2</v>
      </c>
    </row>
    <row r="16" spans="1:37" x14ac:dyDescent="0.3">
      <c r="A16" t="s">
        <v>453</v>
      </c>
      <c r="B16" t="s">
        <v>454</v>
      </c>
      <c r="C16" t="s">
        <v>449</v>
      </c>
      <c r="D16" t="s">
        <v>415</v>
      </c>
      <c r="E16" s="64">
        <f t="shared" si="1"/>
        <v>79340.765761205694</v>
      </c>
      <c r="F16" s="65">
        <f t="shared" si="2"/>
        <v>80132.509108148486</v>
      </c>
      <c r="G16" s="65">
        <f t="shared" si="3"/>
        <v>80861.964125408878</v>
      </c>
      <c r="H16" s="65">
        <f t="shared" si="4"/>
        <v>81592.479444781784</v>
      </c>
      <c r="I16" s="65">
        <f t="shared" si="5"/>
        <v>82324.055066267218</v>
      </c>
      <c r="J16" s="65">
        <f t="shared" si="6"/>
        <v>83125.012897509441</v>
      </c>
      <c r="K16" s="65">
        <f t="shared" si="7"/>
        <v>84330.439607898617</v>
      </c>
      <c r="L16" s="65">
        <f t="shared" si="12"/>
        <v>86350.12402794954</v>
      </c>
      <c r="M16" s="65">
        <f t="shared" si="8"/>
        <v>88199.232503691368</v>
      </c>
      <c r="N16" s="65">
        <f t="shared" si="9"/>
        <v>90060.195800340647</v>
      </c>
      <c r="O16" s="65">
        <f t="shared" si="10"/>
        <v>90810.510913021833</v>
      </c>
      <c r="P16" s="65">
        <f t="shared" si="11"/>
        <v>91563.928020715204</v>
      </c>
      <c r="S16" s="61" t="s">
        <v>414</v>
      </c>
      <c r="T16" s="26">
        <v>9.1776527297480801E-2</v>
      </c>
      <c r="U16" s="26">
        <v>9.1776527297480801E-2</v>
      </c>
      <c r="V16" s="26">
        <v>0.111861510944939</v>
      </c>
      <c r="W16" s="26">
        <v>0.110357510513573</v>
      </c>
      <c r="X16" s="26">
        <v>4.7016385299403697E-2</v>
      </c>
      <c r="Y16" s="26">
        <v>4.6732080914573898E-2</v>
      </c>
      <c r="Z16" s="26">
        <v>0.17216395961550801</v>
      </c>
      <c r="AA16" s="26">
        <v>0.17184681910519201</v>
      </c>
      <c r="AB16" s="26">
        <v>0.149109340806654</v>
      </c>
      <c r="AC16" s="26">
        <v>0.12977446126081399</v>
      </c>
      <c r="AD16" s="26">
        <v>8.7852235504431705E-2</v>
      </c>
      <c r="AE16" s="26">
        <v>8.7183961618378394E-2</v>
      </c>
      <c r="AF16" s="26">
        <v>0.187682655741434</v>
      </c>
      <c r="AG16" s="26">
        <v>0.18694452763269101</v>
      </c>
      <c r="AH16" s="26">
        <v>0.376221215702149</v>
      </c>
      <c r="AI16" s="26">
        <v>0.375302648695995</v>
      </c>
    </row>
    <row r="17" spans="1:35" x14ac:dyDescent="0.3">
      <c r="A17" t="s">
        <v>453</v>
      </c>
      <c r="B17" t="s">
        <v>454</v>
      </c>
      <c r="C17" t="s">
        <v>449</v>
      </c>
      <c r="D17" t="s">
        <v>416</v>
      </c>
      <c r="E17" s="64">
        <f t="shared" si="1"/>
        <v>93457.506123958941</v>
      </c>
      <c r="F17" s="65">
        <f t="shared" si="2"/>
        <v>94390.120751327326</v>
      </c>
      <c r="G17" s="65">
        <f t="shared" si="3"/>
        <v>95249.364370779513</v>
      </c>
      <c r="H17" s="65">
        <f t="shared" si="4"/>
        <v>96109.856947060136</v>
      </c>
      <c r="I17" s="65">
        <f t="shared" si="5"/>
        <v>96971.598480169283</v>
      </c>
      <c r="J17" s="65">
        <f t="shared" si="6"/>
        <v>97915.06708297618</v>
      </c>
      <c r="K17" s="65">
        <f t="shared" si="7"/>
        <v>99334.969866713422</v>
      </c>
      <c r="L17" s="65">
        <f t="shared" si="12"/>
        <v>101714.00751834729</v>
      </c>
      <c r="M17" s="65">
        <f t="shared" si="8"/>
        <v>103892.11942636225</v>
      </c>
      <c r="N17" s="65">
        <f t="shared" si="9"/>
        <v>106084.19542946659</v>
      </c>
      <c r="O17" s="65">
        <f t="shared" si="10"/>
        <v>106968.01068591813</v>
      </c>
      <c r="P17" s="65">
        <f t="shared" si="11"/>
        <v>107855.47986119773</v>
      </c>
      <c r="S17" s="61" t="s">
        <v>415</v>
      </c>
      <c r="T17" s="26">
        <v>6.0660443577866697E-3</v>
      </c>
      <c r="U17" s="26">
        <v>6.0660443577866697E-3</v>
      </c>
      <c r="V17" s="26">
        <v>9.9626097225678292E-3</v>
      </c>
      <c r="W17" s="26">
        <v>1.1276583536481401E-2</v>
      </c>
      <c r="X17" s="26">
        <v>7.9468549553641805E-4</v>
      </c>
      <c r="Y17" s="26">
        <v>9.0624240495952796E-4</v>
      </c>
      <c r="Z17" s="26">
        <v>2.8713068816615698E-3</v>
      </c>
      <c r="AA17" s="26">
        <v>3.2882291671827799E-3</v>
      </c>
      <c r="AB17" s="26">
        <v>4.47884536231773E-3</v>
      </c>
      <c r="AC17" s="26">
        <v>5.9438585628224403E-3</v>
      </c>
      <c r="AD17" s="26">
        <v>7.3609681731225301E-3</v>
      </c>
      <c r="AE17" s="26">
        <v>8.3811175597917498E-3</v>
      </c>
      <c r="AF17" s="26">
        <v>3.1563385018001898E-3</v>
      </c>
      <c r="AG17" s="26">
        <v>3.9237455739457999E-3</v>
      </c>
      <c r="AH17" s="26">
        <v>3.1215323832785901E-3</v>
      </c>
      <c r="AI17" s="26">
        <v>3.8862867420285099E-3</v>
      </c>
    </row>
    <row r="18" spans="1:35" x14ac:dyDescent="0.3">
      <c r="A18" t="s">
        <v>453</v>
      </c>
      <c r="B18" t="s">
        <v>454</v>
      </c>
      <c r="C18" t="s">
        <v>449</v>
      </c>
      <c r="D18" t="s">
        <v>417</v>
      </c>
      <c r="E18" s="64">
        <f t="shared" si="1"/>
        <v>29520.20139078896</v>
      </c>
      <c r="F18" s="65">
        <f t="shared" si="2"/>
        <v>29814.784167087251</v>
      </c>
      <c r="G18" s="65">
        <f t="shared" si="3"/>
        <v>30086.191416670124</v>
      </c>
      <c r="H18" s="65">
        <f t="shared" si="4"/>
        <v>30357.993171292077</v>
      </c>
      <c r="I18" s="65">
        <f t="shared" si="5"/>
        <v>30630.189430953105</v>
      </c>
      <c r="J18" s="65">
        <f t="shared" si="6"/>
        <v>30928.200626798673</v>
      </c>
      <c r="K18" s="65">
        <f t="shared" si="7"/>
        <v>31376.701960395883</v>
      </c>
      <c r="L18" s="65">
        <f t="shared" si="12"/>
        <v>32128.162955934877</v>
      </c>
      <c r="M18" s="65">
        <f t="shared" si="8"/>
        <v>32816.158012115746</v>
      </c>
      <c r="N18" s="65">
        <f t="shared" si="9"/>
        <v>33508.563873981206</v>
      </c>
      <c r="O18" s="65">
        <f t="shared" si="10"/>
        <v>33787.732508420217</v>
      </c>
      <c r="P18" s="65">
        <f t="shared" si="11"/>
        <v>34068.055297556304</v>
      </c>
      <c r="S18" s="61" t="s">
        <v>416</v>
      </c>
      <c r="T18" s="26">
        <v>7.1453479466321596E-3</v>
      </c>
      <c r="U18" s="26">
        <v>7.1453479466321596E-3</v>
      </c>
      <c r="V18" s="26">
        <v>1.2604163822385399E-2</v>
      </c>
      <c r="W18" s="26">
        <v>1.4266533589954901E-2</v>
      </c>
      <c r="X18" s="26">
        <v>3.5367777015818799E-3</v>
      </c>
      <c r="Y18" s="26">
        <v>4.0332659248112704E-3</v>
      </c>
      <c r="Z18" s="26">
        <v>1.41361062291295E-3</v>
      </c>
      <c r="AA18" s="26">
        <v>1.6188710830560499E-3</v>
      </c>
      <c r="AB18" s="26">
        <v>2.42202698196484E-3</v>
      </c>
      <c r="AC18" s="26">
        <v>5.0568080851424602E-3</v>
      </c>
      <c r="AD18" s="26">
        <v>6.8332169563831398E-3</v>
      </c>
      <c r="AE18" s="26">
        <v>7.7802258175931598E-3</v>
      </c>
      <c r="AF18" s="26">
        <v>6.6464102790245302E-3</v>
      </c>
      <c r="AG18" s="26">
        <v>8.2623656810182303E-3</v>
      </c>
      <c r="AH18" s="26">
        <v>3.2884936211025899E-3</v>
      </c>
      <c r="AI18" s="26">
        <v>4.0941523558737803E-3</v>
      </c>
    </row>
    <row r="19" spans="1:35" x14ac:dyDescent="0.3">
      <c r="A19" t="s">
        <v>453</v>
      </c>
      <c r="B19" t="s">
        <v>454</v>
      </c>
      <c r="C19" t="s">
        <v>449</v>
      </c>
      <c r="D19" t="s">
        <v>418</v>
      </c>
      <c r="E19" s="64">
        <f t="shared" si="1"/>
        <v>28768.237138156815</v>
      </c>
      <c r="F19" s="65">
        <f t="shared" si="2"/>
        <v>29055.31604568792</v>
      </c>
      <c r="G19" s="65">
        <f t="shared" si="3"/>
        <v>29319.809773682991</v>
      </c>
      <c r="H19" s="65">
        <f t="shared" si="4"/>
        <v>29584.687957541555</v>
      </c>
      <c r="I19" s="65">
        <f t="shared" si="5"/>
        <v>29849.950597263625</v>
      </c>
      <c r="J19" s="65">
        <f t="shared" si="6"/>
        <v>30140.370592656545</v>
      </c>
      <c r="K19" s="65">
        <f t="shared" si="7"/>
        <v>30577.447310084703</v>
      </c>
      <c r="L19" s="65">
        <f t="shared" si="12"/>
        <v>31309.766437368387</v>
      </c>
      <c r="M19" s="65">
        <f t="shared" si="8"/>
        <v>31980.236284917137</v>
      </c>
      <c r="N19" s="65">
        <f t="shared" si="9"/>
        <v>32655.004582270645</v>
      </c>
      <c r="O19" s="65">
        <f t="shared" si="10"/>
        <v>32927.061990374328</v>
      </c>
      <c r="P19" s="65">
        <f t="shared" si="11"/>
        <v>33200.244153542531</v>
      </c>
      <c r="S19" s="61" t="s">
        <v>417</v>
      </c>
      <c r="T19" s="26">
        <v>2.25698415397548E-3</v>
      </c>
      <c r="U19" s="26">
        <v>2.25698415397548E-3</v>
      </c>
      <c r="V19" s="26">
        <v>6.6681699644304303E-3</v>
      </c>
      <c r="W19" s="26">
        <v>7.5476383932838297E-3</v>
      </c>
      <c r="X19" s="26">
        <v>4.53169134750314E-3</v>
      </c>
      <c r="Y19" s="26">
        <v>5.1678442457583898E-3</v>
      </c>
      <c r="Z19" s="26">
        <v>6.5184529591322E-4</v>
      </c>
      <c r="AA19" s="26">
        <v>7.4649516852492699E-4</v>
      </c>
      <c r="AB19" s="26">
        <v>2.64007323148183E-3</v>
      </c>
      <c r="AC19" s="26">
        <v>3.6966704205782701E-3</v>
      </c>
      <c r="AD19" s="26">
        <v>2.5310247590065401E-3</v>
      </c>
      <c r="AE19" s="26">
        <v>2.8817970072785798E-3</v>
      </c>
      <c r="AF19" s="26">
        <v>4.1492256881403599E-4</v>
      </c>
      <c r="AG19" s="26">
        <v>5.1580354641485803E-4</v>
      </c>
      <c r="AH19" s="26">
        <v>7.3989127689115696E-5</v>
      </c>
      <c r="AI19" s="26">
        <v>9.2115964432332506E-5</v>
      </c>
    </row>
    <row r="20" spans="1:35" x14ac:dyDescent="0.3">
      <c r="A20" t="s">
        <v>453</v>
      </c>
      <c r="B20" t="s">
        <v>454</v>
      </c>
      <c r="C20" t="s">
        <v>449</v>
      </c>
      <c r="D20" t="s">
        <v>419</v>
      </c>
      <c r="E20" s="64">
        <f t="shared" si="1"/>
        <v>152926.65831236262</v>
      </c>
      <c r="F20" s="65">
        <f t="shared" si="2"/>
        <v>154452.71699263071</v>
      </c>
      <c r="G20" s="65">
        <f t="shared" si="3"/>
        <v>155858.71701177047</v>
      </c>
      <c r="H20" s="65">
        <f t="shared" si="4"/>
        <v>157266.76072758131</v>
      </c>
      <c r="I20" s="65">
        <f t="shared" si="5"/>
        <v>158676.84814006332</v>
      </c>
      <c r="J20" s="65">
        <f t="shared" si="6"/>
        <v>160220.66742899793</v>
      </c>
      <c r="K20" s="65">
        <f t="shared" si="7"/>
        <v>162544.08688294044</v>
      </c>
      <c r="L20" s="65">
        <f t="shared" si="12"/>
        <v>166436.96069428633</v>
      </c>
      <c r="M20" s="65">
        <f t="shared" si="8"/>
        <v>170001.05510828973</v>
      </c>
      <c r="N20" s="65">
        <f t="shared" si="9"/>
        <v>173587.99929099489</v>
      </c>
      <c r="O20" s="65">
        <f t="shared" si="10"/>
        <v>175034.20644267459</v>
      </c>
      <c r="P20" s="65">
        <f t="shared" si="11"/>
        <v>176486.39258544118</v>
      </c>
      <c r="S20" s="61" t="s">
        <v>418</v>
      </c>
      <c r="T20" s="26">
        <v>2.1994922900115598E-3</v>
      </c>
      <c r="U20" s="26">
        <v>2.1994922900115598E-3</v>
      </c>
      <c r="V20" s="26">
        <v>4.3912263398986698E-3</v>
      </c>
      <c r="W20" s="26">
        <v>5.7882630780288803E-3</v>
      </c>
      <c r="X20" s="26">
        <v>2.2508215441106E-3</v>
      </c>
      <c r="Y20" s="26">
        <v>2.98915318412893E-3</v>
      </c>
      <c r="Z20" s="26">
        <v>5.2676790732747599E-4</v>
      </c>
      <c r="AA20" s="26">
        <v>7.0252177283001895E-4</v>
      </c>
      <c r="AB20" s="26">
        <v>1.7088213063178601E-3</v>
      </c>
      <c r="AC20" s="26">
        <v>2.9049465302154001E-3</v>
      </c>
      <c r="AD20" s="26">
        <v>2.4501734704029899E-3</v>
      </c>
      <c r="AE20" s="26">
        <v>3.2487915024180798E-3</v>
      </c>
      <c r="AF20" s="26">
        <v>4.9377484559187895E-4</v>
      </c>
      <c r="AG20" s="26">
        <v>7.1483242267640298E-4</v>
      </c>
      <c r="AH20" s="26">
        <v>2.93068928118425E-4</v>
      </c>
      <c r="AI20" s="26">
        <v>4.2490788181229699E-4</v>
      </c>
    </row>
    <row r="21" spans="1:35" x14ac:dyDescent="0.3">
      <c r="A21" t="s">
        <v>453</v>
      </c>
      <c r="B21" t="s">
        <v>454</v>
      </c>
      <c r="C21" t="s">
        <v>451</v>
      </c>
      <c r="D21" t="s">
        <v>407</v>
      </c>
      <c r="E21" s="64">
        <f t="shared" ref="E21:E33" si="13">E$7*T$28*X9</f>
        <v>959107.45560951706</v>
      </c>
      <c r="F21" s="65">
        <f t="shared" ref="F21:F33" si="14">F$7*($V9+($W9-$V9)*15/35)*($T$28+($U$28-$T$28)*2/35)</f>
        <v>518795.0042954422</v>
      </c>
      <c r="G21" s="65">
        <f t="shared" ref="G21:G33" si="15">G$7*($V9+($W9-$V9)*15/35)*($T$28+($U$28-$T$28)*3/35)</f>
        <v>521238.36322410865</v>
      </c>
      <c r="H21" s="65">
        <f t="shared" ref="H21:H33" si="16">H$7*($V9+($W9-$V9)*15/35)*($T$28+($U$28-$T$28)*4/35)</f>
        <v>523651.0650424934</v>
      </c>
      <c r="I21" s="65">
        <f t="shared" ref="I21:I33" si="17">I$7*($V9+($W9-$V9)*15/35)*($T$28+($U$28-$T$28)*5/35)</f>
        <v>526033.10975059669</v>
      </c>
      <c r="J21" s="65">
        <f t="shared" ref="J21:J33" si="18">J$7*($V9+($W9-$V9)*15/35)*($T$28+($U$28-$T$28)*7/35)</f>
        <v>526490.93022020638</v>
      </c>
      <c r="K21" s="65">
        <f t="shared" ref="K21:K33" si="19">K$7*($V9+($W9-$V9)*15/35)*($T$28+($U$28-$T$28)*10/35)</f>
        <v>527062.29686904931</v>
      </c>
      <c r="L21" s="65">
        <f t="shared" ref="L21:L33" si="20">L$7*($V9+($W9-$V9)*15/35)*($T$28+($U$28-$T$28)*15/35)</f>
        <v>527706.93713559734</v>
      </c>
      <c r="M21" s="65">
        <f t="shared" ref="M21:M33" si="21">M$7*($V9+($W9-$V9)*15/35)*($T$28+($U$28-$T$28)*20/35)</f>
        <v>526868.62640996696</v>
      </c>
      <c r="N21" s="65">
        <f t="shared" ref="N21:N33" si="22">N$7*($V9+($W9-$V9)*15/35)*($T$28+($U$28-$T$28)*25/35)</f>
        <v>525687.5505915992</v>
      </c>
      <c r="O21" s="65">
        <f t="shared" ref="O21:O33" si="23">O$7*($V9+($W9-$V9)*15/35)*($T$28+($U$28-$T$28)*30/35)</f>
        <v>517763.66562571604</v>
      </c>
      <c r="P21" s="65">
        <f t="shared" ref="P21:P33" si="24">P$7*U$28*W9</f>
        <v>505810.99747888767</v>
      </c>
      <c r="S21" s="61" t="s">
        <v>419</v>
      </c>
      <c r="T21" s="26">
        <v>1.1692096539663899E-2</v>
      </c>
      <c r="U21" s="26">
        <v>1.1692096539663899E-2</v>
      </c>
      <c r="V21" s="26">
        <v>2.3342951701522299E-2</v>
      </c>
      <c r="W21" s="26">
        <v>3.0769342094365999E-2</v>
      </c>
      <c r="X21" s="26">
        <v>1.19649534152986E-2</v>
      </c>
      <c r="Y21" s="26">
        <v>1.5889788638675201E-2</v>
      </c>
      <c r="Z21" s="26">
        <v>2.8002013257510598E-3</v>
      </c>
      <c r="AA21" s="26">
        <v>3.7344765546331099E-3</v>
      </c>
      <c r="AB21" s="26">
        <v>9.0837798219325101E-3</v>
      </c>
      <c r="AC21" s="26">
        <v>1.54421615515924E-2</v>
      </c>
      <c r="AD21" s="26">
        <v>1.3024671595791199E-2</v>
      </c>
      <c r="AE21" s="26">
        <v>1.7269978192700298E-2</v>
      </c>
      <c r="AF21" s="26">
        <v>2.6248162767997601E-3</v>
      </c>
      <c r="AG21" s="26">
        <v>3.7999177053584699E-3</v>
      </c>
      <c r="AH21" s="26">
        <v>1.55790052817983E-3</v>
      </c>
      <c r="AI21" s="26">
        <v>2.2587321615877998E-3</v>
      </c>
    </row>
    <row r="22" spans="1:35" x14ac:dyDescent="0.3">
      <c r="A22" t="s">
        <v>453</v>
      </c>
      <c r="B22" t="s">
        <v>454</v>
      </c>
      <c r="C22" t="s">
        <v>451</v>
      </c>
      <c r="D22" t="s">
        <v>408</v>
      </c>
      <c r="E22" s="64">
        <f t="shared" si="13"/>
        <v>225371.708090798</v>
      </c>
      <c r="F22" s="65">
        <f t="shared" si="14"/>
        <v>211705.90733891728</v>
      </c>
      <c r="G22" s="65">
        <f t="shared" si="15"/>
        <v>212702.97460954465</v>
      </c>
      <c r="H22" s="65">
        <f t="shared" si="16"/>
        <v>213687.5315604989</v>
      </c>
      <c r="I22" s="65">
        <f t="shared" si="17"/>
        <v>214659.57819178002</v>
      </c>
      <c r="J22" s="65">
        <f t="shared" si="18"/>
        <v>214846.40207619403</v>
      </c>
      <c r="K22" s="65">
        <f t="shared" si="19"/>
        <v>215079.56101915796</v>
      </c>
      <c r="L22" s="65">
        <f t="shared" si="20"/>
        <v>215342.62090101262</v>
      </c>
      <c r="M22" s="65">
        <f t="shared" si="21"/>
        <v>215000.52945577487</v>
      </c>
      <c r="N22" s="65">
        <f t="shared" si="22"/>
        <v>214518.56504653164</v>
      </c>
      <c r="O22" s="65">
        <f t="shared" si="23"/>
        <v>211285.04652291042</v>
      </c>
      <c r="P22" s="65">
        <f t="shared" si="24"/>
        <v>206407.49289538147</v>
      </c>
    </row>
    <row r="23" spans="1:35" x14ac:dyDescent="0.3">
      <c r="A23" t="s">
        <v>453</v>
      </c>
      <c r="B23" t="s">
        <v>454</v>
      </c>
      <c r="C23" t="s">
        <v>451</v>
      </c>
      <c r="D23" t="s">
        <v>409</v>
      </c>
      <c r="E23" s="64">
        <f t="shared" si="13"/>
        <v>195919.68197613457</v>
      </c>
      <c r="F23" s="65">
        <f t="shared" si="14"/>
        <v>264951.67877193546</v>
      </c>
      <c r="G23" s="65">
        <f t="shared" si="15"/>
        <v>266199.51663589437</v>
      </c>
      <c r="H23" s="65">
        <f t="shared" si="16"/>
        <v>267431.69773221255</v>
      </c>
      <c r="I23" s="65">
        <f t="shared" si="17"/>
        <v>268648.22206089005</v>
      </c>
      <c r="J23" s="65">
        <f t="shared" si="18"/>
        <v>268882.03368396836</v>
      </c>
      <c r="K23" s="65">
        <f t="shared" si="19"/>
        <v>269173.83401271445</v>
      </c>
      <c r="L23" s="65">
        <f t="shared" si="20"/>
        <v>269503.05561163445</v>
      </c>
      <c r="M23" s="65">
        <f t="shared" si="21"/>
        <v>269074.92536317551</v>
      </c>
      <c r="N23" s="65">
        <f t="shared" si="22"/>
        <v>268471.7429534712</v>
      </c>
      <c r="O23" s="65">
        <f t="shared" si="23"/>
        <v>264424.96801014344</v>
      </c>
      <c r="P23" s="65">
        <f t="shared" si="24"/>
        <v>258320.66965513822</v>
      </c>
      <c r="T23" s="19">
        <f t="shared" ref="T23:AI23" si="25">SUM(T9:T21)</f>
        <v>0.99999999999999933</v>
      </c>
      <c r="U23" s="19">
        <f t="shared" si="25"/>
        <v>0.99999999999999933</v>
      </c>
      <c r="V23" s="19">
        <f t="shared" si="25"/>
        <v>1.0000000000000007</v>
      </c>
      <c r="W23" s="19">
        <f t="shared" si="25"/>
        <v>1.0000000000000013</v>
      </c>
      <c r="X23" s="19">
        <f t="shared" si="25"/>
        <v>0.99999999999999956</v>
      </c>
      <c r="Y23" s="19">
        <f t="shared" si="25"/>
        <v>0.99999999999999911</v>
      </c>
      <c r="Z23" s="19">
        <f t="shared" si="25"/>
        <v>1.0000000000000009</v>
      </c>
      <c r="AA23" s="19">
        <f t="shared" si="25"/>
        <v>1.0000000000000009</v>
      </c>
      <c r="AB23" s="19">
        <f t="shared" si="25"/>
        <v>1</v>
      </c>
      <c r="AC23" s="19">
        <f t="shared" si="25"/>
        <v>1.0000000000000002</v>
      </c>
      <c r="AD23" s="19">
        <f t="shared" si="25"/>
        <v>1</v>
      </c>
      <c r="AE23" s="19">
        <f t="shared" si="25"/>
        <v>1.0000000000000007</v>
      </c>
      <c r="AF23" s="19">
        <f t="shared" si="25"/>
        <v>0.99999999999999967</v>
      </c>
      <c r="AG23" s="19">
        <f t="shared" si="25"/>
        <v>1.0000000000000011</v>
      </c>
      <c r="AH23" s="19">
        <f t="shared" si="25"/>
        <v>1.0000000000000002</v>
      </c>
      <c r="AI23" s="19">
        <f t="shared" si="25"/>
        <v>1.0000000000000011</v>
      </c>
    </row>
    <row r="24" spans="1:35" x14ac:dyDescent="0.3">
      <c r="A24" t="s">
        <v>453</v>
      </c>
      <c r="B24" t="s">
        <v>454</v>
      </c>
      <c r="C24" t="s">
        <v>451</v>
      </c>
      <c r="D24" t="s">
        <v>410</v>
      </c>
      <c r="E24" s="64">
        <f t="shared" si="13"/>
        <v>172689.53888777623</v>
      </c>
      <c r="F24" s="65">
        <f t="shared" si="14"/>
        <v>163637.09236798275</v>
      </c>
      <c r="G24" s="65">
        <f t="shared" si="15"/>
        <v>164407.77085830728</v>
      </c>
      <c r="H24" s="65">
        <f t="shared" si="16"/>
        <v>165168.7795554662</v>
      </c>
      <c r="I24" s="65">
        <f t="shared" si="17"/>
        <v>165920.11845945954</v>
      </c>
      <c r="J24" s="65">
        <f t="shared" si="18"/>
        <v>166064.52310841181</v>
      </c>
      <c r="K24" s="65">
        <f t="shared" si="19"/>
        <v>166244.74222447613</v>
      </c>
      <c r="L24" s="65">
        <f t="shared" si="20"/>
        <v>166448.07313161253</v>
      </c>
      <c r="M24" s="65">
        <f t="shared" si="21"/>
        <v>166183.65514665266</v>
      </c>
      <c r="N24" s="65">
        <f t="shared" si="22"/>
        <v>165811.12300739987</v>
      </c>
      <c r="O24" s="65">
        <f t="shared" si="23"/>
        <v>163311.7899657558</v>
      </c>
      <c r="P24" s="65">
        <f t="shared" si="24"/>
        <v>159541.70766852447</v>
      </c>
    </row>
    <row r="25" spans="1:35" x14ac:dyDescent="0.3">
      <c r="A25" t="s">
        <v>453</v>
      </c>
      <c r="B25" t="s">
        <v>454</v>
      </c>
      <c r="C25" t="s">
        <v>451</v>
      </c>
      <c r="D25" t="s">
        <v>411</v>
      </c>
      <c r="E25" s="64">
        <f t="shared" si="13"/>
        <v>351342.73829098535</v>
      </c>
      <c r="F25" s="65">
        <f t="shared" si="14"/>
        <v>346407.06030543987</v>
      </c>
      <c r="G25" s="65">
        <f t="shared" si="15"/>
        <v>348038.52702493896</v>
      </c>
      <c r="H25" s="65">
        <f t="shared" si="16"/>
        <v>349649.52354067314</v>
      </c>
      <c r="I25" s="65">
        <f t="shared" si="17"/>
        <v>351240.04985264252</v>
      </c>
      <c r="J25" s="65">
        <f t="shared" si="18"/>
        <v>351545.7433186784</v>
      </c>
      <c r="K25" s="65">
        <f t="shared" si="19"/>
        <v>351927.25323982933</v>
      </c>
      <c r="L25" s="65">
        <f t="shared" si="20"/>
        <v>352357.68903400714</v>
      </c>
      <c r="M25" s="65">
        <f t="shared" si="21"/>
        <v>351797.93662374147</v>
      </c>
      <c r="N25" s="65">
        <f t="shared" si="22"/>
        <v>351009.31491603202</v>
      </c>
      <c r="O25" s="65">
        <f t="shared" si="23"/>
        <v>345718.42029579997</v>
      </c>
      <c r="P25" s="65">
        <f t="shared" si="24"/>
        <v>337737.44784759334</v>
      </c>
      <c r="T25" t="s">
        <v>63</v>
      </c>
      <c r="V25" t="s">
        <v>67</v>
      </c>
    </row>
    <row r="26" spans="1:35" x14ac:dyDescent="0.3">
      <c r="A26" t="s">
        <v>453</v>
      </c>
      <c r="B26" t="s">
        <v>454</v>
      </c>
      <c r="C26" t="s">
        <v>451</v>
      </c>
      <c r="D26" t="s">
        <v>412</v>
      </c>
      <c r="E26" s="64">
        <f t="shared" si="13"/>
        <v>185800.33103287531</v>
      </c>
      <c r="F26" s="65">
        <f t="shared" si="14"/>
        <v>314084.21202733857</v>
      </c>
      <c r="G26" s="65">
        <f t="shared" si="15"/>
        <v>315563.44844529981</v>
      </c>
      <c r="H26" s="65">
        <f t="shared" si="16"/>
        <v>317024.12471089617</v>
      </c>
      <c r="I26" s="65">
        <f t="shared" si="17"/>
        <v>318466.24082412769</v>
      </c>
      <c r="J26" s="65">
        <f t="shared" si="18"/>
        <v>318743.41038099857</v>
      </c>
      <c r="K26" s="65">
        <f t="shared" si="19"/>
        <v>319089.32204590406</v>
      </c>
      <c r="L26" s="65">
        <f t="shared" si="20"/>
        <v>319479.59436634555</v>
      </c>
      <c r="M26" s="65">
        <f t="shared" si="21"/>
        <v>318972.07181598624</v>
      </c>
      <c r="N26" s="65">
        <f t="shared" si="22"/>
        <v>318257.03550167097</v>
      </c>
      <c r="O26" s="65">
        <f t="shared" si="23"/>
        <v>313459.82823271398</v>
      </c>
      <c r="P26" s="65">
        <f t="shared" si="24"/>
        <v>306223.55123421276</v>
      </c>
      <c r="T26">
        <v>2015</v>
      </c>
      <c r="U26">
        <v>2050</v>
      </c>
      <c r="V26">
        <v>2015</v>
      </c>
      <c r="W26">
        <v>2050</v>
      </c>
    </row>
    <row r="27" spans="1:35" x14ac:dyDescent="0.3">
      <c r="A27" t="s">
        <v>453</v>
      </c>
      <c r="B27" t="s">
        <v>454</v>
      </c>
      <c r="C27" t="s">
        <v>451</v>
      </c>
      <c r="D27" t="s">
        <v>413</v>
      </c>
      <c r="E27" s="64">
        <f t="shared" si="13"/>
        <v>45323.822981665995</v>
      </c>
      <c r="F27" s="65">
        <f t="shared" si="14"/>
        <v>80579.401323110389</v>
      </c>
      <c r="G27" s="65">
        <f t="shared" si="15"/>
        <v>80958.9045913749</v>
      </c>
      <c r="H27" s="65">
        <f t="shared" si="16"/>
        <v>81333.646187741353</v>
      </c>
      <c r="I27" s="65">
        <f t="shared" si="17"/>
        <v>81703.626112209837</v>
      </c>
      <c r="J27" s="65">
        <f t="shared" si="18"/>
        <v>81774.734929852973</v>
      </c>
      <c r="K27" s="65">
        <f t="shared" si="19"/>
        <v>81863.479775347936</v>
      </c>
      <c r="L27" s="65">
        <f t="shared" si="20"/>
        <v>81963.60550192032</v>
      </c>
      <c r="M27" s="65">
        <f t="shared" si="21"/>
        <v>81833.398819445065</v>
      </c>
      <c r="N27" s="65">
        <f t="shared" si="22"/>
        <v>81649.953756224917</v>
      </c>
      <c r="O27" s="65">
        <f t="shared" si="23"/>
        <v>80419.213480359744</v>
      </c>
      <c r="P27" s="65">
        <f t="shared" si="24"/>
        <v>78562.721348572086</v>
      </c>
      <c r="S27" t="s">
        <v>449</v>
      </c>
      <c r="T27" s="123">
        <v>0.8174260197705</v>
      </c>
      <c r="U27">
        <v>0.84026924141983605</v>
      </c>
      <c r="V27">
        <v>0.26144575976300299</v>
      </c>
      <c r="W27">
        <v>0.26564550606062998</v>
      </c>
    </row>
    <row r="28" spans="1:35" x14ac:dyDescent="0.3">
      <c r="A28" t="s">
        <v>453</v>
      </c>
      <c r="B28" t="s">
        <v>454</v>
      </c>
      <c r="C28" t="s">
        <v>451</v>
      </c>
      <c r="D28" t="s">
        <v>414</v>
      </c>
      <c r="E28" s="64">
        <f t="shared" si="13"/>
        <v>107974.60355225432</v>
      </c>
      <c r="F28" s="65">
        <f t="shared" si="14"/>
        <v>255729.83896914811</v>
      </c>
      <c r="G28" s="65">
        <f t="shared" si="15"/>
        <v>256934.24491021971</v>
      </c>
      <c r="H28" s="65">
        <f t="shared" si="16"/>
        <v>258123.53902906735</v>
      </c>
      <c r="I28" s="65">
        <f t="shared" si="17"/>
        <v>259297.72132569112</v>
      </c>
      <c r="J28" s="65">
        <f t="shared" si="18"/>
        <v>259523.39496171442</v>
      </c>
      <c r="K28" s="65">
        <f t="shared" si="19"/>
        <v>259805.03896347072</v>
      </c>
      <c r="L28" s="65">
        <f t="shared" si="20"/>
        <v>260122.80176032189</v>
      </c>
      <c r="M28" s="65">
        <f t="shared" si="21"/>
        <v>259709.57290288</v>
      </c>
      <c r="N28" s="65">
        <f t="shared" si="22"/>
        <v>259127.38470457282</v>
      </c>
      <c r="O28" s="65">
        <f t="shared" si="23"/>
        <v>255221.46076629727</v>
      </c>
      <c r="P28" s="65">
        <f t="shared" si="24"/>
        <v>249329.6270455948</v>
      </c>
      <c r="S28" t="s">
        <v>455</v>
      </c>
      <c r="T28" s="123">
        <v>0.143525818790324</v>
      </c>
      <c r="U28">
        <v>0.12576842582807299</v>
      </c>
      <c r="V28">
        <v>0.44641357385242803</v>
      </c>
      <c r="W28">
        <v>0.43579673699425597</v>
      </c>
    </row>
    <row r="29" spans="1:35" x14ac:dyDescent="0.3">
      <c r="A29" t="s">
        <v>453</v>
      </c>
      <c r="B29" t="s">
        <v>454</v>
      </c>
      <c r="C29" t="s">
        <v>451</v>
      </c>
      <c r="D29" t="s">
        <v>415</v>
      </c>
      <c r="E29" s="64">
        <f t="shared" si="13"/>
        <v>1825.0201665409566</v>
      </c>
      <c r="F29" s="65">
        <f t="shared" si="14"/>
        <v>24202.663357418565</v>
      </c>
      <c r="G29" s="65">
        <f t="shared" si="15"/>
        <v>24316.650179038348</v>
      </c>
      <c r="H29" s="65">
        <f t="shared" si="16"/>
        <v>24429.206794674035</v>
      </c>
      <c r="I29" s="65">
        <f t="shared" si="17"/>
        <v>24540.333204325645</v>
      </c>
      <c r="J29" s="65">
        <f t="shared" si="18"/>
        <v>24561.691302634914</v>
      </c>
      <c r="K29" s="65">
        <f t="shared" si="19"/>
        <v>24588.346522020427</v>
      </c>
      <c r="L29" s="65">
        <f t="shared" si="20"/>
        <v>24618.420079453936</v>
      </c>
      <c r="M29" s="65">
        <f t="shared" si="21"/>
        <v>24579.311467934243</v>
      </c>
      <c r="N29" s="65">
        <f t="shared" si="22"/>
        <v>24524.212285800906</v>
      </c>
      <c r="O29" s="65">
        <f t="shared" si="23"/>
        <v>24154.549666222239</v>
      </c>
      <c r="P29" s="65">
        <f t="shared" si="24"/>
        <v>25477.073145407732</v>
      </c>
      <c r="S29" t="s">
        <v>452</v>
      </c>
      <c r="T29">
        <v>3.90481614391762E-2</v>
      </c>
      <c r="U29">
        <v>3.3962332752091103E-2</v>
      </c>
      <c r="V29">
        <f>V30-V27-V28</f>
        <v>0.29214066638456898</v>
      </c>
      <c r="W29">
        <v>0.29855775694511399</v>
      </c>
    </row>
    <row r="30" spans="1:35" x14ac:dyDescent="0.3">
      <c r="A30" t="s">
        <v>453</v>
      </c>
      <c r="B30" t="s">
        <v>454</v>
      </c>
      <c r="C30" t="s">
        <v>451</v>
      </c>
      <c r="D30" t="s">
        <v>416</v>
      </c>
      <c r="E30" s="64">
        <f t="shared" si="13"/>
        <v>8122.3209259687628</v>
      </c>
      <c r="F30" s="65">
        <f t="shared" si="14"/>
        <v>30619.922127825826</v>
      </c>
      <c r="G30" s="65">
        <f t="shared" si="15"/>
        <v>30764.132190580189</v>
      </c>
      <c r="H30" s="65">
        <f t="shared" si="16"/>
        <v>30906.53283280868</v>
      </c>
      <c r="I30" s="65">
        <f t="shared" si="17"/>
        <v>31047.124054511321</v>
      </c>
      <c r="J30" s="65">
        <f t="shared" si="18"/>
        <v>31074.145184267592</v>
      </c>
      <c r="K30" s="65">
        <f t="shared" si="19"/>
        <v>31107.867949809191</v>
      </c>
      <c r="L30" s="65">
        <f t="shared" si="20"/>
        <v>31145.915414797732</v>
      </c>
      <c r="M30" s="65">
        <f t="shared" si="21"/>
        <v>31096.437280033144</v>
      </c>
      <c r="N30" s="65">
        <f t="shared" si="22"/>
        <v>31026.728726006892</v>
      </c>
      <c r="O30" s="65">
        <f t="shared" si="23"/>
        <v>30559.051245313538</v>
      </c>
      <c r="P30" s="65">
        <f t="shared" si="24"/>
        <v>32232.237594553368</v>
      </c>
      <c r="T30" s="19">
        <f>SUM(T27:T29)</f>
        <v>1.0000000000000002</v>
      </c>
      <c r="U30" s="19">
        <f>SUM(U27:U29)</f>
        <v>1.0000000000000002</v>
      </c>
      <c r="V30" s="192">
        <v>1</v>
      </c>
      <c r="W30" s="19">
        <f>SUM(W27:W29)</f>
        <v>0.99999999999999989</v>
      </c>
    </row>
    <row r="31" spans="1:35" x14ac:dyDescent="0.3">
      <c r="A31" t="s">
        <v>453</v>
      </c>
      <c r="B31" t="s">
        <v>454</v>
      </c>
      <c r="C31" t="s">
        <v>451</v>
      </c>
      <c r="D31" t="s">
        <v>417</v>
      </c>
      <c r="E31" s="64">
        <f t="shared" si="13"/>
        <v>10407.171320208628</v>
      </c>
      <c r="F31" s="65">
        <f t="shared" si="14"/>
        <v>16199.316981531032</v>
      </c>
      <c r="G31" s="65">
        <f t="shared" si="15"/>
        <v>16275.61059549687</v>
      </c>
      <c r="H31" s="65">
        <f t="shared" si="16"/>
        <v>16350.94694456409</v>
      </c>
      <c r="I31" s="65">
        <f t="shared" si="17"/>
        <v>16425.326028732696</v>
      </c>
      <c r="J31" s="65">
        <f t="shared" si="18"/>
        <v>16439.621422571181</v>
      </c>
      <c r="K31" s="65">
        <f t="shared" si="19"/>
        <v>16457.462283374865</v>
      </c>
      <c r="L31" s="65">
        <f t="shared" si="20"/>
        <v>16477.59110483692</v>
      </c>
      <c r="M31" s="65">
        <f t="shared" si="21"/>
        <v>16451.41494457889</v>
      </c>
      <c r="N31" s="65">
        <f t="shared" si="22"/>
        <v>16414.535981977962</v>
      </c>
      <c r="O31" s="65">
        <f t="shared" si="23"/>
        <v>16167.113544936856</v>
      </c>
      <c r="P31" s="65">
        <f t="shared" si="24"/>
        <v>17052.304432338737</v>
      </c>
      <c r="S31" t="s">
        <v>22</v>
      </c>
      <c r="T31">
        <v>0.59088685355293302</v>
      </c>
      <c r="U31">
        <v>0.59124846114652996</v>
      </c>
      <c r="V31">
        <f>1-T31</f>
        <v>0.40911314644706698</v>
      </c>
      <c r="W31">
        <f>1-U31</f>
        <v>0.40875153885347004</v>
      </c>
    </row>
    <row r="32" spans="1:35" x14ac:dyDescent="0.3">
      <c r="A32" t="s">
        <v>453</v>
      </c>
      <c r="B32" t="s">
        <v>454</v>
      </c>
      <c r="C32" t="s">
        <v>451</v>
      </c>
      <c r="D32" t="s">
        <v>418</v>
      </c>
      <c r="E32" s="64">
        <f t="shared" si="13"/>
        <v>5169.0822751381802</v>
      </c>
      <c r="F32" s="65">
        <f t="shared" si="14"/>
        <v>11473.798386899864</v>
      </c>
      <c r="G32" s="65">
        <f t="shared" si="15"/>
        <v>11527.836316144043</v>
      </c>
      <c r="H32" s="65">
        <f t="shared" si="16"/>
        <v>11581.196225169089</v>
      </c>
      <c r="I32" s="65">
        <f t="shared" si="17"/>
        <v>11633.878113975008</v>
      </c>
      <c r="J32" s="65">
        <f t="shared" si="18"/>
        <v>11644.003384500371</v>
      </c>
      <c r="K32" s="65">
        <f t="shared" si="19"/>
        <v>11656.639870356139</v>
      </c>
      <c r="L32" s="65">
        <f t="shared" si="20"/>
        <v>11670.896893629702</v>
      </c>
      <c r="M32" s="65">
        <f t="shared" si="21"/>
        <v>11652.356606672773</v>
      </c>
      <c r="N32" s="65">
        <f t="shared" si="22"/>
        <v>11626.235642308444</v>
      </c>
      <c r="O32" s="65">
        <f t="shared" si="23"/>
        <v>11450.98904627963</v>
      </c>
      <c r="P32" s="65">
        <f t="shared" si="24"/>
        <v>13077.365262867435</v>
      </c>
    </row>
    <row r="33" spans="1:16" x14ac:dyDescent="0.3">
      <c r="A33" t="s">
        <v>453</v>
      </c>
      <c r="B33" t="s">
        <v>454</v>
      </c>
      <c r="C33" t="s">
        <v>451</v>
      </c>
      <c r="D33" t="s">
        <v>419</v>
      </c>
      <c r="E33" s="64">
        <f t="shared" si="13"/>
        <v>27477.890810003271</v>
      </c>
      <c r="F33" s="65">
        <f t="shared" si="14"/>
        <v>60992.602258937157</v>
      </c>
      <c r="G33" s="65">
        <f t="shared" si="15"/>
        <v>61279.85795353345</v>
      </c>
      <c r="H33" s="65">
        <f t="shared" si="16"/>
        <v>61563.509417328874</v>
      </c>
      <c r="I33" s="65">
        <f t="shared" si="17"/>
        <v>61843.556650323451</v>
      </c>
      <c r="J33" s="65">
        <f t="shared" si="18"/>
        <v>61897.380726457006</v>
      </c>
      <c r="K33" s="65">
        <f t="shared" si="19"/>
        <v>61964.553961488877</v>
      </c>
      <c r="L33" s="65">
        <f t="shared" si="20"/>
        <v>62040.3416754262</v>
      </c>
      <c r="M33" s="65">
        <f t="shared" si="21"/>
        <v>61941.784919415768</v>
      </c>
      <c r="N33" s="65">
        <f t="shared" si="22"/>
        <v>61802.93067635077</v>
      </c>
      <c r="O33" s="65">
        <f t="shared" si="23"/>
        <v>60871.351998707112</v>
      </c>
      <c r="P33" s="65">
        <f t="shared" si="24"/>
        <v>69516.868884814539</v>
      </c>
    </row>
    <row r="34" spans="1:16" x14ac:dyDescent="0.3">
      <c r="A34" t="s">
        <v>453</v>
      </c>
      <c r="B34" t="s">
        <v>454</v>
      </c>
      <c r="C34" t="s">
        <v>456</v>
      </c>
      <c r="D34" t="s">
        <v>407</v>
      </c>
      <c r="E34" s="64">
        <f t="shared" ref="E34:E46" si="26">E$7*T$29*X9</f>
        <v>260938.29723326952</v>
      </c>
      <c r="F34" s="65">
        <f t="shared" ref="F34:F46" si="27">F$7*($X9+($Y9-$X9)*15/35)*($T$29+($U$29-$T$29)*2/35)</f>
        <v>260486.91311226939</v>
      </c>
      <c r="G34" s="65">
        <f t="shared" ref="G34:G46" si="28">G$7*($X9+($Y9-$X9)*15/35)*($T$29+($U$29-$T$29)*3/35)</f>
        <v>261664.05961436837</v>
      </c>
      <c r="H34" s="65">
        <f t="shared" ref="H34:H46" si="29">H$7*($X9+($Y9-$X9)*15/35)*($T$29+($U$29-$T$29)*4/35)</f>
        <v>262824.99561863317</v>
      </c>
      <c r="I34" s="65">
        <f t="shared" ref="I34:I46" si="30">I$7*($X9+($Y9-$X9)*15/35)*($T$29+($U$29-$T$29)*5/35)</f>
        <v>263969.72112506389</v>
      </c>
      <c r="J34" s="65">
        <f t="shared" ref="J34:J46" si="31">J$7*($X9+($Y9-$X9)*15/35)*($T$29+($U$29-$T$29)*7/35)</f>
        <v>264096.57909311034</v>
      </c>
      <c r="K34" s="65">
        <f t="shared" ref="K34:K46" si="32">K$7*($X9+($Y9-$X9)*15/35)*($T$29+($U$29-$T$29)*10/35)</f>
        <v>264225.86522821459</v>
      </c>
      <c r="L34" s="65">
        <f t="shared" ref="L34:L46" si="33">L$7*($X9+($Y9-$X9)*15/35)*($T$29+($U$29-$T$29)*15/35)</f>
        <v>264278.67327481398</v>
      </c>
      <c r="M34" s="65">
        <f t="shared" ref="M34:M46" si="34">M$7*($X9+($Y9-$X9)*15/35)*($T$29+($U$29-$T$29)*20/35)</f>
        <v>263578.64230059669</v>
      </c>
      <c r="N34" s="65">
        <f t="shared" ref="N34:N46" si="35">N$7*($X9+($Y9-$X9)*15/35)*($T$29+($U$29-$T$29)*25/35)</f>
        <v>262697.3681256214</v>
      </c>
      <c r="O34" s="65">
        <f t="shared" ref="O34:O46" si="36">O$7*($X9+($Y9-$X9)*15/35)*($T$29+($U$29-$T$29)*30/35)</f>
        <v>258440.28664684246</v>
      </c>
      <c r="P34" s="65">
        <f t="shared" ref="P34:P46" si="37">P$7*U$29*Y9</f>
        <v>253255.3618619699</v>
      </c>
    </row>
    <row r="35" spans="1:16" x14ac:dyDescent="0.3">
      <c r="A35" t="s">
        <v>453</v>
      </c>
      <c r="B35" t="s">
        <v>454</v>
      </c>
      <c r="C35" t="s">
        <v>456</v>
      </c>
      <c r="D35" t="s">
        <v>408</v>
      </c>
      <c r="E35" s="64">
        <f t="shared" si="26"/>
        <v>61315.454707203258</v>
      </c>
      <c r="F35" s="65">
        <f t="shared" si="27"/>
        <v>61209.388166108351</v>
      </c>
      <c r="G35" s="65">
        <f t="shared" si="28"/>
        <v>61485.994834422228</v>
      </c>
      <c r="H35" s="65">
        <f t="shared" si="29"/>
        <v>61758.792349168878</v>
      </c>
      <c r="I35" s="65">
        <f t="shared" si="30"/>
        <v>62027.780710348336</v>
      </c>
      <c r="J35" s="65">
        <f t="shared" si="31"/>
        <v>62057.589880088752</v>
      </c>
      <c r="K35" s="65">
        <f t="shared" si="32"/>
        <v>62087.969622140045</v>
      </c>
      <c r="L35" s="65">
        <f t="shared" si="33"/>
        <v>62100.37849206743</v>
      </c>
      <c r="M35" s="65">
        <f t="shared" si="34"/>
        <v>61935.884747958691</v>
      </c>
      <c r="N35" s="65">
        <f t="shared" si="35"/>
        <v>61728.802355940097</v>
      </c>
      <c r="O35" s="65">
        <f t="shared" si="36"/>
        <v>60728.470517476395</v>
      </c>
      <c r="P35" s="65">
        <f t="shared" si="37"/>
        <v>59510.11344157772</v>
      </c>
    </row>
    <row r="36" spans="1:16" x14ac:dyDescent="0.3">
      <c r="A36" t="s">
        <v>453</v>
      </c>
      <c r="B36" t="s">
        <v>454</v>
      </c>
      <c r="C36" t="s">
        <v>456</v>
      </c>
      <c r="D36" t="s">
        <v>409</v>
      </c>
      <c r="E36" s="64">
        <f t="shared" si="26"/>
        <v>53302.628303360834</v>
      </c>
      <c r="F36" s="65">
        <f t="shared" si="27"/>
        <v>53210.422750251855</v>
      </c>
      <c r="G36" s="65">
        <f t="shared" si="28"/>
        <v>53450.881905252354</v>
      </c>
      <c r="H36" s="65">
        <f t="shared" si="29"/>
        <v>53688.029694501536</v>
      </c>
      <c r="I36" s="65">
        <f t="shared" si="30"/>
        <v>53921.866117999416</v>
      </c>
      <c r="J36" s="65">
        <f t="shared" si="31"/>
        <v>53947.779765746018</v>
      </c>
      <c r="K36" s="65">
        <f t="shared" si="32"/>
        <v>53974.18942227136</v>
      </c>
      <c r="L36" s="65">
        <f t="shared" si="33"/>
        <v>53984.976676228172</v>
      </c>
      <c r="M36" s="65">
        <f t="shared" si="34"/>
        <v>53841.979303994282</v>
      </c>
      <c r="N36" s="65">
        <f t="shared" si="35"/>
        <v>53661.958853642122</v>
      </c>
      <c r="O36" s="65">
        <f t="shared" si="36"/>
        <v>52792.352382969009</v>
      </c>
      <c r="P36" s="65">
        <f t="shared" si="37"/>
        <v>51733.21264947913</v>
      </c>
    </row>
    <row r="37" spans="1:16" x14ac:dyDescent="0.3">
      <c r="A37" t="s">
        <v>453</v>
      </c>
      <c r="B37" t="s">
        <v>454</v>
      </c>
      <c r="C37" t="s">
        <v>456</v>
      </c>
      <c r="D37" t="s">
        <v>410</v>
      </c>
      <c r="E37" s="64">
        <f t="shared" si="26"/>
        <v>46982.550249010572</v>
      </c>
      <c r="F37" s="65">
        <f t="shared" si="27"/>
        <v>46901.277483106358</v>
      </c>
      <c r="G37" s="65">
        <f t="shared" si="28"/>
        <v>47113.225461887974</v>
      </c>
      <c r="H37" s="65">
        <f t="shared" si="29"/>
        <v>47322.254702649436</v>
      </c>
      <c r="I37" s="65">
        <f t="shared" si="30"/>
        <v>47528.365205390728</v>
      </c>
      <c r="J37" s="65">
        <f t="shared" si="31"/>
        <v>47551.206279013975</v>
      </c>
      <c r="K37" s="65">
        <f t="shared" si="32"/>
        <v>47574.484549790781</v>
      </c>
      <c r="L37" s="65">
        <f t="shared" si="33"/>
        <v>47583.992761997317</v>
      </c>
      <c r="M37" s="65">
        <f t="shared" si="34"/>
        <v>47457.950549065165</v>
      </c>
      <c r="N37" s="65">
        <f t="shared" si="35"/>
        <v>47299.275074257741</v>
      </c>
      <c r="O37" s="65">
        <f t="shared" si="36"/>
        <v>46532.777604888332</v>
      </c>
      <c r="P37" s="65">
        <f t="shared" si="37"/>
        <v>45599.219779818151</v>
      </c>
    </row>
    <row r="38" spans="1:16" x14ac:dyDescent="0.3">
      <c r="A38" t="s">
        <v>453</v>
      </c>
      <c r="B38" t="s">
        <v>454</v>
      </c>
      <c r="C38" t="s">
        <v>456</v>
      </c>
      <c r="D38" t="s">
        <v>411</v>
      </c>
      <c r="E38" s="64">
        <f t="shared" si="26"/>
        <v>95587.595882738373</v>
      </c>
      <c r="F38" s="65">
        <f t="shared" si="27"/>
        <v>95422.243677241728</v>
      </c>
      <c r="G38" s="65">
        <f t="shared" si="28"/>
        <v>95853.459046279037</v>
      </c>
      <c r="H38" s="65">
        <f t="shared" si="29"/>
        <v>96278.736143577553</v>
      </c>
      <c r="I38" s="65">
        <f t="shared" si="30"/>
        <v>96698.07496913732</v>
      </c>
      <c r="J38" s="65">
        <f t="shared" si="31"/>
        <v>96744.545910017623</v>
      </c>
      <c r="K38" s="65">
        <f t="shared" si="32"/>
        <v>96791.906343371476</v>
      </c>
      <c r="L38" s="65">
        <f t="shared" si="33"/>
        <v>96811.251124383751</v>
      </c>
      <c r="M38" s="65">
        <f t="shared" si="34"/>
        <v>96554.813956753045</v>
      </c>
      <c r="N38" s="65">
        <f t="shared" si="35"/>
        <v>96231.983308310024</v>
      </c>
      <c r="O38" s="65">
        <f t="shared" si="36"/>
        <v>94672.518146055081</v>
      </c>
      <c r="P38" s="65">
        <f t="shared" si="37"/>
        <v>92773.163010094504</v>
      </c>
    </row>
    <row r="39" spans="1:16" x14ac:dyDescent="0.3">
      <c r="A39" t="s">
        <v>453</v>
      </c>
      <c r="B39" t="s">
        <v>454</v>
      </c>
      <c r="C39" t="s">
        <v>456</v>
      </c>
      <c r="D39" t="s">
        <v>412</v>
      </c>
      <c r="E39" s="64">
        <f t="shared" si="26"/>
        <v>50549.520516744909</v>
      </c>
      <c r="F39" s="65">
        <f t="shared" si="27"/>
        <v>50462.07742722008</v>
      </c>
      <c r="G39" s="65">
        <f t="shared" si="28"/>
        <v>50690.116744905485</v>
      </c>
      <c r="H39" s="65">
        <f t="shared" si="29"/>
        <v>50915.015730560117</v>
      </c>
      <c r="I39" s="65">
        <f t="shared" si="30"/>
        <v>51136.77438418402</v>
      </c>
      <c r="J39" s="65">
        <f t="shared" si="31"/>
        <v>51161.349578881272</v>
      </c>
      <c r="K39" s="65">
        <f t="shared" si="32"/>
        <v>51186.395163252273</v>
      </c>
      <c r="L39" s="65">
        <f t="shared" si="33"/>
        <v>51196.625250070989</v>
      </c>
      <c r="M39" s="65">
        <f t="shared" si="34"/>
        <v>51061.013764640316</v>
      </c>
      <c r="N39" s="65">
        <f t="shared" si="35"/>
        <v>50890.291461854045</v>
      </c>
      <c r="O39" s="65">
        <f t="shared" si="36"/>
        <v>50065.60060644996</v>
      </c>
      <c r="P39" s="65">
        <f t="shared" si="37"/>
        <v>49061.165977383665</v>
      </c>
    </row>
    <row r="40" spans="1:16" x14ac:dyDescent="0.3">
      <c r="A40" t="s">
        <v>453</v>
      </c>
      <c r="B40" t="s">
        <v>454</v>
      </c>
      <c r="C40" t="s">
        <v>456</v>
      </c>
      <c r="D40" t="s">
        <v>413</v>
      </c>
      <c r="E40" s="64">
        <f t="shared" si="26"/>
        <v>12330.965757556456</v>
      </c>
      <c r="F40" s="65">
        <f t="shared" si="27"/>
        <v>12309.635036084857</v>
      </c>
      <c r="G40" s="65">
        <f t="shared" si="28"/>
        <v>12365.262567048749</v>
      </c>
      <c r="H40" s="65">
        <f t="shared" si="29"/>
        <v>12420.124050652692</v>
      </c>
      <c r="I40" s="65">
        <f t="shared" si="30"/>
        <v>12474.219486896687</v>
      </c>
      <c r="J40" s="65">
        <f t="shared" si="31"/>
        <v>12480.214318918815</v>
      </c>
      <c r="K40" s="65">
        <f t="shared" si="32"/>
        <v>12486.323897013717</v>
      </c>
      <c r="L40" s="65">
        <f t="shared" si="33"/>
        <v>12488.819407336443</v>
      </c>
      <c r="M40" s="65">
        <f t="shared" si="34"/>
        <v>12455.738567675007</v>
      </c>
      <c r="N40" s="65">
        <f t="shared" si="35"/>
        <v>12414.092853765391</v>
      </c>
      <c r="O40" s="65">
        <f t="shared" si="36"/>
        <v>12212.919141441273</v>
      </c>
      <c r="P40" s="65">
        <f t="shared" si="37"/>
        <v>11967.899032642859</v>
      </c>
    </row>
    <row r="41" spans="1:16" x14ac:dyDescent="0.3">
      <c r="A41" t="s">
        <v>453</v>
      </c>
      <c r="B41" t="s">
        <v>454</v>
      </c>
      <c r="C41" t="s">
        <v>456</v>
      </c>
      <c r="D41" t="s">
        <v>414</v>
      </c>
      <c r="E41" s="64">
        <f t="shared" si="26"/>
        <v>29375.967239726466</v>
      </c>
      <c r="F41" s="65">
        <f t="shared" si="27"/>
        <v>29325.151221949018</v>
      </c>
      <c r="G41" s="65">
        <f t="shared" si="28"/>
        <v>29457.672271747637</v>
      </c>
      <c r="H41" s="65">
        <f t="shared" si="29"/>
        <v>29588.368372666137</v>
      </c>
      <c r="I41" s="65">
        <f t="shared" si="30"/>
        <v>29717.239524704535</v>
      </c>
      <c r="J41" s="65">
        <f t="shared" si="31"/>
        <v>29731.520968068518</v>
      </c>
      <c r="K41" s="65">
        <f t="shared" si="32"/>
        <v>29746.075770141048</v>
      </c>
      <c r="L41" s="65">
        <f t="shared" si="33"/>
        <v>29752.020805666089</v>
      </c>
      <c r="M41" s="65">
        <f t="shared" si="34"/>
        <v>29673.212569453</v>
      </c>
      <c r="N41" s="65">
        <f t="shared" si="35"/>
        <v>29574.000297556602</v>
      </c>
      <c r="O41" s="65">
        <f t="shared" si="36"/>
        <v>29094.745671526522</v>
      </c>
      <c r="P41" s="65">
        <f t="shared" si="37"/>
        <v>28511.036104031751</v>
      </c>
    </row>
    <row r="42" spans="1:16" x14ac:dyDescent="0.3">
      <c r="A42" t="s">
        <v>453</v>
      </c>
      <c r="B42" t="s">
        <v>454</v>
      </c>
      <c r="C42" t="s">
        <v>456</v>
      </c>
      <c r="D42" t="s">
        <v>415</v>
      </c>
      <c r="E42" s="64">
        <f t="shared" si="26"/>
        <v>496.52168991944359</v>
      </c>
      <c r="F42" s="65">
        <f t="shared" si="27"/>
        <v>526.84834022722941</v>
      </c>
      <c r="G42" s="65">
        <f t="shared" si="28"/>
        <v>529.22918029871437</v>
      </c>
      <c r="H42" s="65">
        <f t="shared" si="29"/>
        <v>531.57723379456638</v>
      </c>
      <c r="I42" s="65">
        <f t="shared" si="30"/>
        <v>533.89250071478546</v>
      </c>
      <c r="J42" s="65">
        <f t="shared" si="31"/>
        <v>534.14907755817205</v>
      </c>
      <c r="K42" s="65">
        <f t="shared" si="32"/>
        <v>534.41056549582015</v>
      </c>
      <c r="L42" s="65">
        <f t="shared" si="33"/>
        <v>534.51737251874931</v>
      </c>
      <c r="M42" s="65">
        <f t="shared" si="34"/>
        <v>533.10152343647678</v>
      </c>
      <c r="N42" s="65">
        <f t="shared" si="35"/>
        <v>531.31910054688331</v>
      </c>
      <c r="O42" s="65">
        <f t="shared" si="36"/>
        <v>522.70893167310146</v>
      </c>
      <c r="P42" s="65">
        <f t="shared" si="37"/>
        <v>552.89448749430369</v>
      </c>
    </row>
    <row r="43" spans="1:16" x14ac:dyDescent="0.3">
      <c r="A43" t="s">
        <v>453</v>
      </c>
      <c r="B43" t="s">
        <v>454</v>
      </c>
      <c r="C43" t="s">
        <v>456</v>
      </c>
      <c r="D43" t="s">
        <v>416</v>
      </c>
      <c r="E43" s="64">
        <f t="shared" si="26"/>
        <v>2209.788464898897</v>
      </c>
      <c r="F43" s="65">
        <f t="shared" si="27"/>
        <v>2344.7583632734081</v>
      </c>
      <c r="G43" s="65">
        <f t="shared" si="28"/>
        <v>2355.3543816016104</v>
      </c>
      <c r="H43" s="65">
        <f t="shared" si="29"/>
        <v>2365.8044820412124</v>
      </c>
      <c r="I43" s="65">
        <f t="shared" si="30"/>
        <v>2376.1086645922146</v>
      </c>
      <c r="J43" s="65">
        <f t="shared" si="31"/>
        <v>2377.2505694885908</v>
      </c>
      <c r="K43" s="65">
        <f t="shared" si="32"/>
        <v>2378.4143313947807</v>
      </c>
      <c r="L43" s="65">
        <f t="shared" si="33"/>
        <v>2378.889680069432</v>
      </c>
      <c r="M43" s="65">
        <f t="shared" si="34"/>
        <v>2372.5883904509437</v>
      </c>
      <c r="N43" s="65">
        <f t="shared" si="35"/>
        <v>2364.6556503089482</v>
      </c>
      <c r="O43" s="65">
        <f t="shared" si="36"/>
        <v>2326.3357697389752</v>
      </c>
      <c r="P43" s="65">
        <f t="shared" si="37"/>
        <v>2460.6777217916156</v>
      </c>
    </row>
    <row r="44" spans="1:16" x14ac:dyDescent="0.3">
      <c r="A44" t="s">
        <v>453</v>
      </c>
      <c r="B44" t="s">
        <v>454</v>
      </c>
      <c r="C44" t="s">
        <v>456</v>
      </c>
      <c r="D44" t="s">
        <v>417</v>
      </c>
      <c r="E44" s="64">
        <f t="shared" si="26"/>
        <v>2831.4132555505603</v>
      </c>
      <c r="F44" s="65">
        <f t="shared" si="27"/>
        <v>3004.3508762451224</v>
      </c>
      <c r="G44" s="65">
        <f t="shared" si="28"/>
        <v>3017.9276086912769</v>
      </c>
      <c r="H44" s="65">
        <f t="shared" si="29"/>
        <v>3031.3173758008979</v>
      </c>
      <c r="I44" s="65">
        <f t="shared" si="30"/>
        <v>3044.5201775739879</v>
      </c>
      <c r="J44" s="65">
        <f t="shared" si="31"/>
        <v>3045.9833061546346</v>
      </c>
      <c r="K44" s="65">
        <f t="shared" si="32"/>
        <v>3047.4744402336787</v>
      </c>
      <c r="L44" s="65">
        <f t="shared" si="33"/>
        <v>3048.0835069202849</v>
      </c>
      <c r="M44" s="65">
        <f t="shared" si="34"/>
        <v>3040.0096323226699</v>
      </c>
      <c r="N44" s="65">
        <f t="shared" si="35"/>
        <v>3029.8453718300202</v>
      </c>
      <c r="O44" s="65">
        <f t="shared" si="36"/>
        <v>2980.7459129811837</v>
      </c>
      <c r="P44" s="65">
        <f t="shared" si="37"/>
        <v>3152.8789428437467</v>
      </c>
    </row>
    <row r="45" spans="1:16" x14ac:dyDescent="0.3">
      <c r="A45" t="s">
        <v>453</v>
      </c>
      <c r="B45" t="s">
        <v>454</v>
      </c>
      <c r="C45" t="s">
        <v>456</v>
      </c>
      <c r="D45" t="s">
        <v>418</v>
      </c>
      <c r="E45" s="64">
        <f t="shared" si="26"/>
        <v>1406.3195101283577</v>
      </c>
      <c r="F45" s="65">
        <f t="shared" si="27"/>
        <v>1605.410260498948</v>
      </c>
      <c r="G45" s="65">
        <f t="shared" si="28"/>
        <v>1612.6651473184079</v>
      </c>
      <c r="H45" s="65">
        <f t="shared" si="29"/>
        <v>1619.820127009177</v>
      </c>
      <c r="I45" s="65">
        <f t="shared" si="30"/>
        <v>1626.8751995712548</v>
      </c>
      <c r="J45" s="65">
        <f t="shared" si="31"/>
        <v>1627.6570395535196</v>
      </c>
      <c r="K45" s="65">
        <f t="shared" si="32"/>
        <v>1628.4538446035572</v>
      </c>
      <c r="L45" s="65">
        <f t="shared" si="33"/>
        <v>1628.779306557997</v>
      </c>
      <c r="M45" s="65">
        <f t="shared" si="34"/>
        <v>1624.4649366142326</v>
      </c>
      <c r="N45" s="65">
        <f t="shared" si="35"/>
        <v>1619.0335443576541</v>
      </c>
      <c r="O45" s="65">
        <f t="shared" si="36"/>
        <v>1592.7966704811299</v>
      </c>
      <c r="P45" s="65">
        <f t="shared" si="37"/>
        <v>1823.6691515828354</v>
      </c>
    </row>
    <row r="46" spans="1:16" x14ac:dyDescent="0.3">
      <c r="A46" t="s">
        <v>453</v>
      </c>
      <c r="B46" t="s">
        <v>454</v>
      </c>
      <c r="C46" t="s">
        <v>456</v>
      </c>
      <c r="D46" t="s">
        <v>419</v>
      </c>
      <c r="E46" s="64">
        <f t="shared" si="26"/>
        <v>7475.7359017372773</v>
      </c>
      <c r="F46" s="65">
        <f t="shared" si="27"/>
        <v>8534.0657190583552</v>
      </c>
      <c r="G46" s="65">
        <f t="shared" si="28"/>
        <v>8572.6313632584606</v>
      </c>
      <c r="H46" s="65">
        <f t="shared" si="29"/>
        <v>8610.6659195347947</v>
      </c>
      <c r="I46" s="65">
        <f t="shared" si="30"/>
        <v>8648.1693878873557</v>
      </c>
      <c r="J46" s="65">
        <f t="shared" si="31"/>
        <v>8652.3255054571782</v>
      </c>
      <c r="K46" s="65">
        <f t="shared" si="32"/>
        <v>8656.5611745752922</v>
      </c>
      <c r="L46" s="65">
        <f t="shared" si="33"/>
        <v>8658.2912704745049</v>
      </c>
      <c r="M46" s="65">
        <f t="shared" si="34"/>
        <v>8635.3568732413823</v>
      </c>
      <c r="N46" s="65">
        <f t="shared" si="35"/>
        <v>8606.4845908073439</v>
      </c>
      <c r="O46" s="65">
        <f t="shared" si="36"/>
        <v>8467.0141940906105</v>
      </c>
      <c r="P46" s="65">
        <f t="shared" si="37"/>
        <v>9694.2898475000002</v>
      </c>
    </row>
    <row r="47" spans="1:16" x14ac:dyDescent="0.3">
      <c r="A47" s="260" t="s">
        <v>474</v>
      </c>
      <c r="B47" s="260"/>
      <c r="C47" s="260"/>
      <c r="D47" t="s">
        <v>457</v>
      </c>
      <c r="E47" s="193">
        <f t="shared" ref="E47:P47" si="38">SUM(E49:E87)-E48</f>
        <v>0</v>
      </c>
      <c r="F47" s="193">
        <f t="shared" si="38"/>
        <v>0</v>
      </c>
      <c r="G47" s="193">
        <f t="shared" si="38"/>
        <v>0</v>
      </c>
      <c r="H47" s="193">
        <f t="shared" si="38"/>
        <v>0</v>
      </c>
      <c r="I47" s="193">
        <f t="shared" si="38"/>
        <v>-7766.8585320264101</v>
      </c>
      <c r="J47" s="193">
        <f t="shared" si="38"/>
        <v>0</v>
      </c>
      <c r="K47" s="193">
        <f t="shared" si="38"/>
        <v>0</v>
      </c>
      <c r="L47" s="193">
        <f t="shared" si="38"/>
        <v>0</v>
      </c>
      <c r="M47" s="193">
        <f t="shared" si="38"/>
        <v>0</v>
      </c>
      <c r="N47" s="193">
        <f t="shared" si="38"/>
        <v>0</v>
      </c>
      <c r="O47" s="193">
        <f t="shared" si="38"/>
        <v>0</v>
      </c>
      <c r="P47" s="193">
        <f t="shared" si="38"/>
        <v>0</v>
      </c>
    </row>
    <row r="48" spans="1:16" x14ac:dyDescent="0.3">
      <c r="D48" t="s">
        <v>458</v>
      </c>
      <c r="E48" s="64">
        <f>'parc résidentiel'!D11</f>
        <v>12279176</v>
      </c>
      <c r="F48" s="64">
        <f>E48+($I48-$E48)/4</f>
        <v>12445768.550000001</v>
      </c>
      <c r="G48" s="64">
        <f>F48+($I48-$E48)/4</f>
        <v>12612361.100000001</v>
      </c>
      <c r="H48" s="64">
        <f>G48+($I48-$E48)/4</f>
        <v>12778953.650000002</v>
      </c>
      <c r="I48" s="64">
        <f>'parc résidentiel'!E11</f>
        <v>12945546.199999999</v>
      </c>
      <c r="J48" s="64">
        <f>I48+(L48-I48)*2/10</f>
        <v>13074649.895847123</v>
      </c>
      <c r="K48" s="64">
        <f>(I48+L48)/2</f>
        <v>13268305.439617807</v>
      </c>
      <c r="L48" s="64">
        <f>'parc résidentiel'!F11</f>
        <v>13591064.679235615</v>
      </c>
      <c r="M48" s="64">
        <f>(L48+N48)/2</f>
        <v>13878755.503257208</v>
      </c>
      <c r="N48" s="64">
        <f>'parc résidentiel'!G11</f>
        <v>14166446.327278802</v>
      </c>
      <c r="O48" s="64">
        <f>(N48+P48)/2</f>
        <v>14241725.026817359</v>
      </c>
      <c r="P48" s="64">
        <f>'parc résidentiel'!H11</f>
        <v>14317003.726355918</v>
      </c>
    </row>
    <row r="49" spans="1:16" x14ac:dyDescent="0.3">
      <c r="A49" t="s">
        <v>453</v>
      </c>
      <c r="B49" t="s">
        <v>459</v>
      </c>
      <c r="C49" t="s">
        <v>449</v>
      </c>
      <c r="D49" t="s">
        <v>407</v>
      </c>
      <c r="E49" s="64">
        <f t="shared" ref="E49:E61" si="39">E$48*V$27*Z9</f>
        <v>1319867.9207582825</v>
      </c>
      <c r="F49" s="65">
        <f t="shared" ref="F49:F61" si="40">F$48*($Z9+($AA9-$Z9)*2/35)*($V$27+($W$27-$V$27)*2/35)</f>
        <v>1338861.6930732001</v>
      </c>
      <c r="G49" s="65">
        <f t="shared" ref="G49:G61" si="41">G$48*($Z9+($AA9-$Z9)*3/35)*($V$27+($W$27-$V$27)*3/35)</f>
        <v>1357333.68254227</v>
      </c>
      <c r="H49" s="65">
        <f t="shared" ref="H49:H61" si="42">H$48*($Z9+($AA9-$Z9)*4/35)*($V$27+($W$27-$V$27)*4/35)</f>
        <v>1375820.1533388982</v>
      </c>
      <c r="I49" s="65">
        <f t="shared" ref="I49:I61" si="43">I$48 *($Z9+($AA9-$Z9)*5/35)*($V$27+($W$27-$W$27)*5/35)</f>
        <v>1391128.7511063286</v>
      </c>
      <c r="J49" s="65">
        <f t="shared" ref="J49:J61" si="44">J$48*($Z9+($AA9-$Z9)*7/35)*($V$27+($W$27-$V$27)*7/35)</f>
        <v>1409367.6942908119</v>
      </c>
      <c r="K49" s="65">
        <f t="shared" ref="K49:K61" si="45">K$48*($Z9+($AA9-$Z9)*10/35)*($V$27+($W$27-$V$27)*10/35)</f>
        <v>1431979.3244778223</v>
      </c>
      <c r="L49" s="65">
        <f t="shared" ref="L49:L61" si="46">L$48*($Z9+($AA9-$Z9)*15/35)*($V$27+($W$27-$V$27)*15/35)</f>
        <v>1469776.6225545378</v>
      </c>
      <c r="M49" s="65">
        <f t="shared" ref="M49:M61" si="47">M$48*($Z9+($AA9-$Z9)*20/35)*($V$27+($W$27-$V$27)*20/35)</f>
        <v>1503912.8303793618</v>
      </c>
      <c r="N49" s="65">
        <f t="shared" ref="N49:N61" si="48">N$48*($Z9+($AA9-$Z9)*25/35)*($V$27+($W$27-$V$27)*25/35)</f>
        <v>1538172.5879467695</v>
      </c>
      <c r="O49" s="65">
        <f t="shared" ref="O49:O61" si="49">O$48*($Z9+($AA9-$Z9)*30/35)*($V$27+($W$27-$V$27)*30/35)</f>
        <v>1549446.1426094309</v>
      </c>
      <c r="P49" s="65">
        <f t="shared" ref="P49:P61" si="50">P$48*W$27*AA9</f>
        <v>1560750.6094365653</v>
      </c>
    </row>
    <row r="50" spans="1:16" x14ac:dyDescent="0.3">
      <c r="A50" t="s">
        <v>453</v>
      </c>
      <c r="B50" t="s">
        <v>459</v>
      </c>
      <c r="C50" t="s">
        <v>449</v>
      </c>
      <c r="D50" t="s">
        <v>408</v>
      </c>
      <c r="E50" s="64">
        <f t="shared" si="39"/>
        <v>256249.11990322047</v>
      </c>
      <c r="F50" s="65">
        <f t="shared" si="40"/>
        <v>259936.71421685719</v>
      </c>
      <c r="G50" s="65">
        <f t="shared" si="41"/>
        <v>263523.00567061978</v>
      </c>
      <c r="H50" s="65">
        <f t="shared" si="42"/>
        <v>267112.1086386129</v>
      </c>
      <c r="I50" s="65">
        <f t="shared" si="43"/>
        <v>270084.23535156669</v>
      </c>
      <c r="J50" s="65">
        <f t="shared" si="44"/>
        <v>273625.28144071146</v>
      </c>
      <c r="K50" s="65">
        <f t="shared" si="45"/>
        <v>278015.27398759424</v>
      </c>
      <c r="L50" s="65">
        <f t="shared" si="46"/>
        <v>285353.52671314991</v>
      </c>
      <c r="M50" s="65">
        <f t="shared" si="47"/>
        <v>291980.98774494702</v>
      </c>
      <c r="N50" s="65">
        <f t="shared" si="48"/>
        <v>298632.43565626699</v>
      </c>
      <c r="O50" s="65">
        <f t="shared" si="49"/>
        <v>300821.16864617722</v>
      </c>
      <c r="P50" s="65">
        <f t="shared" si="50"/>
        <v>303015.90315700922</v>
      </c>
    </row>
    <row r="51" spans="1:16" x14ac:dyDescent="0.3">
      <c r="A51" t="s">
        <v>453</v>
      </c>
      <c r="B51" t="s">
        <v>459</v>
      </c>
      <c r="C51" t="s">
        <v>449</v>
      </c>
      <c r="D51" t="s">
        <v>409</v>
      </c>
      <c r="E51" s="64">
        <f t="shared" si="39"/>
        <v>587047.69644032489</v>
      </c>
      <c r="F51" s="65">
        <f t="shared" si="40"/>
        <v>595495.70105413371</v>
      </c>
      <c r="G51" s="65">
        <f t="shared" si="41"/>
        <v>603711.62834196247</v>
      </c>
      <c r="H51" s="65">
        <f t="shared" si="42"/>
        <v>611933.99660002044</v>
      </c>
      <c r="I51" s="65">
        <f t="shared" si="43"/>
        <v>618742.91809417913</v>
      </c>
      <c r="J51" s="65">
        <f t="shared" si="44"/>
        <v>626855.19161303656</v>
      </c>
      <c r="K51" s="65">
        <f t="shared" si="45"/>
        <v>636912.33839664713</v>
      </c>
      <c r="L51" s="65">
        <f t="shared" si="46"/>
        <v>653723.7302174716</v>
      </c>
      <c r="M51" s="65">
        <f t="shared" si="47"/>
        <v>668906.75107402692</v>
      </c>
      <c r="N51" s="65">
        <f t="shared" si="48"/>
        <v>684144.72408953612</v>
      </c>
      <c r="O51" s="65">
        <f t="shared" si="49"/>
        <v>689158.94876408321</v>
      </c>
      <c r="P51" s="65">
        <f t="shared" si="50"/>
        <v>694186.9224771976</v>
      </c>
    </row>
    <row r="52" spans="1:16" x14ac:dyDescent="0.3">
      <c r="A52" t="s">
        <v>453</v>
      </c>
      <c r="B52" t="s">
        <v>459</v>
      </c>
      <c r="C52" t="s">
        <v>449</v>
      </c>
      <c r="D52" t="s">
        <v>410</v>
      </c>
      <c r="E52" s="64">
        <f t="shared" si="39"/>
        <v>97089.566504950315</v>
      </c>
      <c r="F52" s="65">
        <f t="shared" si="40"/>
        <v>98486.74958012467</v>
      </c>
      <c r="G52" s="65">
        <f t="shared" si="41"/>
        <v>99845.550276641079</v>
      </c>
      <c r="H52" s="65">
        <f t="shared" si="42"/>
        <v>101205.41622051512</v>
      </c>
      <c r="I52" s="65">
        <f t="shared" si="43"/>
        <v>102331.51762631683</v>
      </c>
      <c r="J52" s="65">
        <f t="shared" si="44"/>
        <v>103673.17542361563</v>
      </c>
      <c r="K52" s="65">
        <f t="shared" si="45"/>
        <v>105336.48834932547</v>
      </c>
      <c r="L52" s="65">
        <f t="shared" si="46"/>
        <v>108116.85995137061</v>
      </c>
      <c r="M52" s="65">
        <f t="shared" si="47"/>
        <v>110627.92152632801</v>
      </c>
      <c r="N52" s="65">
        <f t="shared" si="48"/>
        <v>113148.07142804946</v>
      </c>
      <c r="O52" s="65">
        <f t="shared" si="49"/>
        <v>113977.35481160101</v>
      </c>
      <c r="P52" s="65">
        <f t="shared" si="50"/>
        <v>114808.91209589769</v>
      </c>
    </row>
    <row r="53" spans="1:16" x14ac:dyDescent="0.3">
      <c r="A53" t="s">
        <v>453</v>
      </c>
      <c r="B53" t="s">
        <v>459</v>
      </c>
      <c r="C53" t="s">
        <v>449</v>
      </c>
      <c r="D53" t="s">
        <v>411</v>
      </c>
      <c r="E53" s="64">
        <f t="shared" si="39"/>
        <v>133422.91022031748</v>
      </c>
      <c r="F53" s="65">
        <f t="shared" si="40"/>
        <v>135342.95414172928</v>
      </c>
      <c r="G53" s="65">
        <f t="shared" si="41"/>
        <v>137210.25203855708</v>
      </c>
      <c r="H53" s="65">
        <f t="shared" si="42"/>
        <v>139079.01382494246</v>
      </c>
      <c r="I53" s="65">
        <f t="shared" si="43"/>
        <v>140626.53053733392</v>
      </c>
      <c r="J53" s="65">
        <f t="shared" si="44"/>
        <v>142470.27023336251</v>
      </c>
      <c r="K53" s="65">
        <f t="shared" si="45"/>
        <v>144756.03645051795</v>
      </c>
      <c r="L53" s="65">
        <f t="shared" si="46"/>
        <v>148576.89263509956</v>
      </c>
      <c r="M53" s="65">
        <f t="shared" si="47"/>
        <v>152027.65624579243</v>
      </c>
      <c r="N53" s="65">
        <f t="shared" si="48"/>
        <v>155490.90926239724</v>
      </c>
      <c r="O53" s="65">
        <f t="shared" si="49"/>
        <v>156630.53122605241</v>
      </c>
      <c r="P53" s="65">
        <f t="shared" si="50"/>
        <v>157773.27804097519</v>
      </c>
    </row>
    <row r="54" spans="1:16" x14ac:dyDescent="0.3">
      <c r="A54" t="s">
        <v>453</v>
      </c>
      <c r="B54" t="s">
        <v>459</v>
      </c>
      <c r="C54" t="s">
        <v>449</v>
      </c>
      <c r="D54" t="s">
        <v>412</v>
      </c>
      <c r="E54" s="64">
        <f t="shared" si="39"/>
        <v>190109.72288976199</v>
      </c>
      <c r="F54" s="65">
        <f t="shared" si="40"/>
        <v>192845.52753705252</v>
      </c>
      <c r="G54" s="65">
        <f t="shared" si="41"/>
        <v>195506.17618526725</v>
      </c>
      <c r="H54" s="65">
        <f t="shared" si="42"/>
        <v>198168.91067944112</v>
      </c>
      <c r="I54" s="65">
        <f t="shared" si="43"/>
        <v>200373.91409957502</v>
      </c>
      <c r="J54" s="65">
        <f t="shared" si="44"/>
        <v>203000.99547648442</v>
      </c>
      <c r="K54" s="65">
        <f t="shared" si="45"/>
        <v>206257.90526369147</v>
      </c>
      <c r="L54" s="65">
        <f t="shared" si="46"/>
        <v>211702.11202887888</v>
      </c>
      <c r="M54" s="65">
        <f t="shared" si="47"/>
        <v>216618.98659490072</v>
      </c>
      <c r="N54" s="65">
        <f t="shared" si="48"/>
        <v>221553.6568865072</v>
      </c>
      <c r="O54" s="65">
        <f t="shared" si="49"/>
        <v>223177.46508670173</v>
      </c>
      <c r="P54" s="65">
        <f t="shared" si="50"/>
        <v>224805.72578015682</v>
      </c>
    </row>
    <row r="55" spans="1:16" x14ac:dyDescent="0.3">
      <c r="A55" t="s">
        <v>453</v>
      </c>
      <c r="B55" t="s">
        <v>459</v>
      </c>
      <c r="C55" t="s">
        <v>449</v>
      </c>
      <c r="D55" t="s">
        <v>413</v>
      </c>
      <c r="E55" s="64">
        <f t="shared" si="39"/>
        <v>47317.597155177391</v>
      </c>
      <c r="F55" s="65">
        <f t="shared" si="40"/>
        <v>47998.528673187233</v>
      </c>
      <c r="G55" s="65">
        <f t="shared" si="41"/>
        <v>48660.754144846549</v>
      </c>
      <c r="H55" s="65">
        <f t="shared" si="42"/>
        <v>49323.498775743588</v>
      </c>
      <c r="I55" s="65">
        <f t="shared" si="43"/>
        <v>49872.315858708804</v>
      </c>
      <c r="J55" s="65">
        <f t="shared" si="44"/>
        <v>50526.186562410549</v>
      </c>
      <c r="K55" s="65">
        <f t="shared" si="45"/>
        <v>51336.819195709279</v>
      </c>
      <c r="L55" s="65">
        <f t="shared" si="46"/>
        <v>52691.861844916704</v>
      </c>
      <c r="M55" s="65">
        <f t="shared" si="47"/>
        <v>53915.65348713837</v>
      </c>
      <c r="N55" s="65">
        <f t="shared" si="48"/>
        <v>55143.874418727741</v>
      </c>
      <c r="O55" s="65">
        <f t="shared" si="49"/>
        <v>55548.03419081177</v>
      </c>
      <c r="P55" s="65">
        <f t="shared" si="50"/>
        <v>55953.302171772419</v>
      </c>
    </row>
    <row r="56" spans="1:16" x14ac:dyDescent="0.3">
      <c r="A56" t="s">
        <v>453</v>
      </c>
      <c r="B56" t="s">
        <v>459</v>
      </c>
      <c r="C56" t="s">
        <v>449</v>
      </c>
      <c r="D56" t="s">
        <v>414</v>
      </c>
      <c r="E56" s="64">
        <f t="shared" si="39"/>
        <v>552704.587622263</v>
      </c>
      <c r="F56" s="65">
        <f t="shared" si="40"/>
        <v>560658.37218630966</v>
      </c>
      <c r="G56" s="65">
        <f t="shared" si="41"/>
        <v>568393.65627155337</v>
      </c>
      <c r="H56" s="65">
        <f t="shared" si="42"/>
        <v>576135.00452128658</v>
      </c>
      <c r="I56" s="65">
        <f t="shared" si="43"/>
        <v>582545.59461371158</v>
      </c>
      <c r="J56" s="65">
        <f t="shared" si="44"/>
        <v>590183.28882000339</v>
      </c>
      <c r="K56" s="65">
        <f t="shared" si="45"/>
        <v>599652.07849313866</v>
      </c>
      <c r="L56" s="65">
        <f t="shared" si="46"/>
        <v>615479.98045072588</v>
      </c>
      <c r="M56" s="65">
        <f t="shared" si="47"/>
        <v>629774.77341604594</v>
      </c>
      <c r="N56" s="65">
        <f t="shared" si="48"/>
        <v>644121.3037623961</v>
      </c>
      <c r="O56" s="65">
        <f t="shared" si="49"/>
        <v>648842.18930167274</v>
      </c>
      <c r="P56" s="65">
        <f t="shared" si="50"/>
        <v>653576.01954158884</v>
      </c>
    </row>
    <row r="57" spans="1:16" x14ac:dyDescent="0.3">
      <c r="A57" t="s">
        <v>453</v>
      </c>
      <c r="B57" t="s">
        <v>459</v>
      </c>
      <c r="C57" t="s">
        <v>449</v>
      </c>
      <c r="D57" t="s">
        <v>415</v>
      </c>
      <c r="E57" s="64">
        <f t="shared" si="39"/>
        <v>9217.8670234462552</v>
      </c>
      <c r="F57" s="65">
        <f t="shared" si="40"/>
        <v>9429.0949235482185</v>
      </c>
      <c r="G57" s="65">
        <f t="shared" si="41"/>
        <v>9599.0228283387205</v>
      </c>
      <c r="H57" s="65">
        <f t="shared" si="42"/>
        <v>9770.1420980957646</v>
      </c>
      <c r="I57" s="65">
        <f t="shared" si="43"/>
        <v>9919.6905305632263</v>
      </c>
      <c r="J57" s="65">
        <f t="shared" si="44"/>
        <v>10132.504742581554</v>
      </c>
      <c r="K57" s="65">
        <f t="shared" si="45"/>
        <v>10421.230871371843</v>
      </c>
      <c r="L57" s="65">
        <f t="shared" si="46"/>
        <v>10912.212012487931</v>
      </c>
      <c r="M57" s="65">
        <f t="shared" si="47"/>
        <v>11386.695232035767</v>
      </c>
      <c r="N57" s="65">
        <f t="shared" si="48"/>
        <v>11872.285748647011</v>
      </c>
      <c r="O57" s="65">
        <f t="shared" si="49"/>
        <v>12187.274783113753</v>
      </c>
      <c r="P57" s="65">
        <f t="shared" si="50"/>
        <v>12505.950017686095</v>
      </c>
    </row>
    <row r="58" spans="1:16" x14ac:dyDescent="0.3">
      <c r="A58" t="s">
        <v>453</v>
      </c>
      <c r="B58" t="s">
        <v>459</v>
      </c>
      <c r="C58" t="s">
        <v>449</v>
      </c>
      <c r="D58" t="s">
        <v>416</v>
      </c>
      <c r="E58" s="64">
        <f t="shared" si="39"/>
        <v>4538.1686047442327</v>
      </c>
      <c r="F58" s="65">
        <f t="shared" si="40"/>
        <v>4642.1609732879024</v>
      </c>
      <c r="G58" s="65">
        <f t="shared" si="41"/>
        <v>4725.8204012910101</v>
      </c>
      <c r="H58" s="65">
        <f t="shared" si="42"/>
        <v>4810.0663657536043</v>
      </c>
      <c r="I58" s="65">
        <f t="shared" si="43"/>
        <v>4883.6925093491109</v>
      </c>
      <c r="J58" s="65">
        <f t="shared" si="44"/>
        <v>4988.465855847644</v>
      </c>
      <c r="K58" s="65">
        <f t="shared" si="45"/>
        <v>5130.612390367246</v>
      </c>
      <c r="L58" s="65">
        <f t="shared" si="46"/>
        <v>5372.3337337612247</v>
      </c>
      <c r="M58" s="65">
        <f t="shared" si="47"/>
        <v>5605.9327697369972</v>
      </c>
      <c r="N58" s="65">
        <f t="shared" si="48"/>
        <v>5845.0001843179843</v>
      </c>
      <c r="O58" s="65">
        <f t="shared" si="49"/>
        <v>6000.0765532241157</v>
      </c>
      <c r="P58" s="65">
        <f t="shared" si="50"/>
        <v>6156.9677234880337</v>
      </c>
    </row>
    <row r="59" spans="1:16" x14ac:dyDescent="0.3">
      <c r="A59" t="s">
        <v>453</v>
      </c>
      <c r="B59" t="s">
        <v>459</v>
      </c>
      <c r="C59" t="s">
        <v>449</v>
      </c>
      <c r="D59" t="s">
        <v>417</v>
      </c>
      <c r="E59" s="64">
        <f t="shared" si="39"/>
        <v>2092.6440485908502</v>
      </c>
      <c r="F59" s="65">
        <f t="shared" si="40"/>
        <v>2140.597095312005</v>
      </c>
      <c r="G59" s="65">
        <f t="shared" si="41"/>
        <v>2179.1741997272534</v>
      </c>
      <c r="H59" s="65">
        <f t="shared" si="42"/>
        <v>2218.02176831828</v>
      </c>
      <c r="I59" s="65">
        <f t="shared" si="43"/>
        <v>2251.9723163553804</v>
      </c>
      <c r="J59" s="65">
        <f t="shared" si="44"/>
        <v>2300.285488274973</v>
      </c>
      <c r="K59" s="65">
        <f t="shared" si="45"/>
        <v>2365.8322154678094</v>
      </c>
      <c r="L59" s="65">
        <f t="shared" si="46"/>
        <v>2477.2949606249631</v>
      </c>
      <c r="M59" s="65">
        <f t="shared" si="47"/>
        <v>2585.012340688857</v>
      </c>
      <c r="N59" s="65">
        <f t="shared" si="48"/>
        <v>2695.2513040036865</v>
      </c>
      <c r="O59" s="65">
        <f t="shared" si="49"/>
        <v>2766.7602470890643</v>
      </c>
      <c r="P59" s="65">
        <f t="shared" si="50"/>
        <v>2839.1060328727885</v>
      </c>
    </row>
    <row r="60" spans="1:16" x14ac:dyDescent="0.3">
      <c r="A60" t="s">
        <v>453</v>
      </c>
      <c r="B60" t="s">
        <v>459</v>
      </c>
      <c r="C60" t="s">
        <v>449</v>
      </c>
      <c r="D60" t="s">
        <v>418</v>
      </c>
      <c r="E60" s="64">
        <f t="shared" si="39"/>
        <v>1691.103292711731</v>
      </c>
      <c r="F60" s="65">
        <f t="shared" si="40"/>
        <v>1748.3290792325513</v>
      </c>
      <c r="G60" s="65">
        <f t="shared" si="41"/>
        <v>1789.1247676070625</v>
      </c>
      <c r="H60" s="65">
        <f t="shared" si="42"/>
        <v>1830.3953451471657</v>
      </c>
      <c r="I60" s="65">
        <f t="shared" si="43"/>
        <v>1867.8550744020758</v>
      </c>
      <c r="J60" s="65">
        <f t="shared" si="44"/>
        <v>1926.9842570967101</v>
      </c>
      <c r="K60" s="65">
        <f t="shared" si="45"/>
        <v>2010.7078610549345</v>
      </c>
      <c r="L60" s="65">
        <f t="shared" si="46"/>
        <v>2154.1543312618637</v>
      </c>
      <c r="M60" s="65">
        <f t="shared" si="47"/>
        <v>2296.7067479805169</v>
      </c>
      <c r="N60" s="65">
        <f t="shared" si="48"/>
        <v>2443.7054573158098</v>
      </c>
      <c r="O60" s="65">
        <f t="shared" si="49"/>
        <v>2557.0388029795445</v>
      </c>
      <c r="P60" s="65">
        <f t="shared" si="50"/>
        <v>2671.864316827915</v>
      </c>
    </row>
    <row r="61" spans="1:16" x14ac:dyDescent="0.3">
      <c r="A61" t="s">
        <v>453</v>
      </c>
      <c r="B61" t="s">
        <v>459</v>
      </c>
      <c r="C61" t="s">
        <v>449</v>
      </c>
      <c r="D61" t="s">
        <v>419</v>
      </c>
      <c r="E61" s="64">
        <f t="shared" si="39"/>
        <v>8989.5941198435539</v>
      </c>
      <c r="F61" s="65">
        <f t="shared" si="40"/>
        <v>9293.7958774937761</v>
      </c>
      <c r="G61" s="65">
        <f t="shared" si="41"/>
        <v>9510.6582547991911</v>
      </c>
      <c r="H61" s="65">
        <f t="shared" si="42"/>
        <v>9730.0450555794905</v>
      </c>
      <c r="I61" s="65">
        <f t="shared" si="43"/>
        <v>9929.1740876688837</v>
      </c>
      <c r="J61" s="65">
        <f t="shared" si="44"/>
        <v>10243.493949355445</v>
      </c>
      <c r="K61" s="65">
        <f t="shared" si="45"/>
        <v>10688.553231706012</v>
      </c>
      <c r="L61" s="65">
        <f t="shared" si="46"/>
        <v>11451.088288341578</v>
      </c>
      <c r="M61" s="65">
        <f t="shared" si="47"/>
        <v>12208.870721044781</v>
      </c>
      <c r="N61" s="65">
        <f t="shared" si="48"/>
        <v>12990.288827650293</v>
      </c>
      <c r="O61" s="65">
        <f t="shared" si="49"/>
        <v>13592.748051845401</v>
      </c>
      <c r="P61" s="65">
        <f t="shared" si="50"/>
        <v>14203.139367708856</v>
      </c>
    </row>
    <row r="62" spans="1:16" x14ac:dyDescent="0.3">
      <c r="A62" t="s">
        <v>453</v>
      </c>
      <c r="B62" t="s">
        <v>459</v>
      </c>
      <c r="C62" t="s">
        <v>451</v>
      </c>
      <c r="D62" t="s">
        <v>407</v>
      </c>
      <c r="E62" s="64">
        <f t="shared" ref="E62:E74" si="51">E$48*V$28*AB9</f>
        <v>1841074.9306287281</v>
      </c>
      <c r="F62" s="65">
        <f t="shared" ref="F62:F74" si="52">F$48*($AB9+($AC9-$AB9)*2/35)*($V$28+($W$28-$V$28)*2/35)</f>
        <v>1843930.8150103691</v>
      </c>
      <c r="G62" s="65">
        <f t="shared" ref="G62:G74" si="53">G$48*($AB9+($AC9-$AB9)*3/35)*($V$28+($W$28-$V$28)*3/35)</f>
        <v>1857423.8468146722</v>
      </c>
      <c r="H62" s="65">
        <f t="shared" ref="H62:H74" si="54">H$48*($AB9+($AC9-$AB9)*4/35)*($V$28+($W$28-$V$28)*4/35)</f>
        <v>1870634.9822757076</v>
      </c>
      <c r="I62" s="65">
        <f t="shared" ref="I62:I74" si="55">I$48*($AB9+($AC9-$AB9)*5/35)*($V$28+($W$28-$V$28)*5/35)</f>
        <v>1883564.7565547242</v>
      </c>
      <c r="J62" s="65">
        <f t="shared" ref="J62:J74" si="56">J$48*($AB9+($AC9-$AB9)*7/35)*($V$28+($W$28-$V$28)*7/35)</f>
        <v>1879249.2761192508</v>
      </c>
      <c r="K62" s="65">
        <f t="shared" ref="K62:K74" si="57">K$48*($AB9+($AC9-$AB9)*10/35)*($V$28+($W$28-$V$28)*10/35)</f>
        <v>1872027.2493373998</v>
      </c>
      <c r="L62" s="65">
        <f t="shared" ref="L62:L74" si="58">L$48*($AB9+($AC9-$AB9)*15/35)*($V$28+($W$28-$V$28)*15/35)</f>
        <v>1858007.5460980779</v>
      </c>
      <c r="M62" s="65">
        <f t="shared" ref="M62:M74" si="59">M$48*($AB9+($AC9-$AB9)*20/35)*($V$28+($W$28-$V$28)*20/35)</f>
        <v>1836890.1696112435</v>
      </c>
      <c r="N62" s="65">
        <f t="shared" ref="N62:N74" si="60">N$48*($AB9+($AC9-$AB9)*25/35)*($V$28+($W$28-$V$28)*25/35)</f>
        <v>1813646.0324333026</v>
      </c>
      <c r="O62" s="65">
        <f t="shared" ref="O62:O74" si="61">O$48*($AB9+($AC9-$AB9)*30/35)*($V$28+($W$28-$V$28)*30/35)</f>
        <v>1762018.1349454762</v>
      </c>
      <c r="P62" s="65">
        <f t="shared" ref="P62:P74" si="62">P$48*W$28*AC9</f>
        <v>1710125.8318714683</v>
      </c>
    </row>
    <row r="63" spans="1:16" x14ac:dyDescent="0.3">
      <c r="A63" t="s">
        <v>453</v>
      </c>
      <c r="B63" t="s">
        <v>459</v>
      </c>
      <c r="C63" t="s">
        <v>451</v>
      </c>
      <c r="D63" t="s">
        <v>408</v>
      </c>
      <c r="E63" s="64">
        <f t="shared" si="51"/>
        <v>574758.01590247627</v>
      </c>
      <c r="F63" s="65">
        <f t="shared" si="52"/>
        <v>583611.01725328225</v>
      </c>
      <c r="G63" s="65">
        <f t="shared" si="53"/>
        <v>591955.68817109184</v>
      </c>
      <c r="H63" s="65">
        <f t="shared" si="54"/>
        <v>600313.14284266951</v>
      </c>
      <c r="I63" s="65">
        <f t="shared" si="55"/>
        <v>608683.33080413565</v>
      </c>
      <c r="J63" s="65">
        <f t="shared" si="56"/>
        <v>615848.95634955005</v>
      </c>
      <c r="K63" s="65">
        <f t="shared" si="57"/>
        <v>626627.90549252334</v>
      </c>
      <c r="L63" s="65">
        <f t="shared" si="58"/>
        <v>644672.87933603814</v>
      </c>
      <c r="M63" s="65">
        <f t="shared" si="59"/>
        <v>661145.24647552555</v>
      </c>
      <c r="N63" s="65">
        <f t="shared" si="60"/>
        <v>677699.01922475593</v>
      </c>
      <c r="O63" s="65">
        <f t="shared" si="61"/>
        <v>684128.3977868912</v>
      </c>
      <c r="P63" s="65">
        <f t="shared" si="62"/>
        <v>690551.53391817969</v>
      </c>
    </row>
    <row r="64" spans="1:16" x14ac:dyDescent="0.3">
      <c r="A64" t="s">
        <v>453</v>
      </c>
      <c r="B64" t="s">
        <v>459</v>
      </c>
      <c r="C64" t="s">
        <v>451</v>
      </c>
      <c r="D64" t="s">
        <v>409</v>
      </c>
      <c r="E64" s="64">
        <f t="shared" si="51"/>
        <v>877489.13622791111</v>
      </c>
      <c r="F64" s="65">
        <f t="shared" si="52"/>
        <v>884450.86543549539</v>
      </c>
      <c r="G64" s="65">
        <f t="shared" si="53"/>
        <v>893788.82352420921</v>
      </c>
      <c r="H64" s="65">
        <f t="shared" si="54"/>
        <v>903063.32519970578</v>
      </c>
      <c r="I64" s="65">
        <f t="shared" si="55"/>
        <v>912274.47250269167</v>
      </c>
      <c r="J64" s="65">
        <f t="shared" si="56"/>
        <v>916206.10750733479</v>
      </c>
      <c r="K64" s="65">
        <f t="shared" si="57"/>
        <v>921932.57489824737</v>
      </c>
      <c r="L64" s="65">
        <f t="shared" si="58"/>
        <v>931023.36284565041</v>
      </c>
      <c r="M64" s="65">
        <f t="shared" si="59"/>
        <v>937183.73149556143</v>
      </c>
      <c r="N64" s="65">
        <f t="shared" si="60"/>
        <v>942854.7737843747</v>
      </c>
      <c r="O64" s="65">
        <f t="shared" si="61"/>
        <v>934108.87144797645</v>
      </c>
      <c r="P64" s="65">
        <f t="shared" si="62"/>
        <v>925290.6237508757</v>
      </c>
    </row>
    <row r="65" spans="1:16" x14ac:dyDescent="0.3">
      <c r="A65" t="s">
        <v>453</v>
      </c>
      <c r="B65" t="s">
        <v>459</v>
      </c>
      <c r="C65" t="s">
        <v>451</v>
      </c>
      <c r="D65" t="s">
        <v>410</v>
      </c>
      <c r="E65" s="64">
        <f t="shared" si="51"/>
        <v>220026.18163616065</v>
      </c>
      <c r="F65" s="65">
        <f t="shared" si="52"/>
        <v>227919.33686619971</v>
      </c>
      <c r="G65" s="65">
        <f t="shared" si="53"/>
        <v>233451.62565369348</v>
      </c>
      <c r="H65" s="65">
        <f t="shared" si="54"/>
        <v>239045.8278509739</v>
      </c>
      <c r="I65" s="65">
        <f t="shared" si="55"/>
        <v>244701.80107243132</v>
      </c>
      <c r="J65" s="65">
        <f t="shared" si="56"/>
        <v>252260.96519201729</v>
      </c>
      <c r="K65" s="65">
        <f t="shared" si="57"/>
        <v>263760.90347908222</v>
      </c>
      <c r="L65" s="65">
        <f t="shared" si="58"/>
        <v>283353.63477400155</v>
      </c>
      <c r="M65" s="65">
        <f t="shared" si="59"/>
        <v>302708.22455152601</v>
      </c>
      <c r="N65" s="65">
        <f t="shared" si="60"/>
        <v>322515.65134288691</v>
      </c>
      <c r="O65" s="65">
        <f t="shared" si="61"/>
        <v>337732.56277321494</v>
      </c>
      <c r="P65" s="65">
        <f t="shared" si="62"/>
        <v>352990.25110796263</v>
      </c>
    </row>
    <row r="66" spans="1:16" x14ac:dyDescent="0.3">
      <c r="A66" t="s">
        <v>453</v>
      </c>
      <c r="B66" t="s">
        <v>459</v>
      </c>
      <c r="C66" t="s">
        <v>451</v>
      </c>
      <c r="D66" t="s">
        <v>411</v>
      </c>
      <c r="E66" s="64">
        <f t="shared" si="51"/>
        <v>363839.10338988178</v>
      </c>
      <c r="F66" s="65">
        <f t="shared" si="52"/>
        <v>379340.73571656557</v>
      </c>
      <c r="G66" s="65">
        <f t="shared" si="53"/>
        <v>389760.3570059081</v>
      </c>
      <c r="H66" s="65">
        <f t="shared" si="54"/>
        <v>400313.36726576224</v>
      </c>
      <c r="I66" s="65">
        <f t="shared" si="55"/>
        <v>410999.46411948261</v>
      </c>
      <c r="J66" s="65">
        <f t="shared" si="56"/>
        <v>426118.4514638714</v>
      </c>
      <c r="K66" s="65">
        <f t="shared" si="57"/>
        <v>449144.7888691941</v>
      </c>
      <c r="L66" s="65">
        <f t="shared" si="58"/>
        <v>488441.82385263691</v>
      </c>
      <c r="M66" s="65">
        <f t="shared" si="59"/>
        <v>527542.94392706535</v>
      </c>
      <c r="N66" s="65">
        <f t="shared" si="60"/>
        <v>567622.19394068897</v>
      </c>
      <c r="O66" s="65">
        <f t="shared" si="61"/>
        <v>599721.80367184617</v>
      </c>
      <c r="P66" s="65">
        <f t="shared" si="62"/>
        <v>631912.31727329083</v>
      </c>
    </row>
    <row r="67" spans="1:16" x14ac:dyDescent="0.3">
      <c r="A67" t="s">
        <v>453</v>
      </c>
      <c r="B67" t="s">
        <v>459</v>
      </c>
      <c r="C67" t="s">
        <v>451</v>
      </c>
      <c r="D67" t="s">
        <v>412</v>
      </c>
      <c r="E67" s="64">
        <f t="shared" si="51"/>
        <v>551798.12925808539</v>
      </c>
      <c r="F67" s="65">
        <f t="shared" si="52"/>
        <v>564307.8151787098</v>
      </c>
      <c r="G67" s="65">
        <f t="shared" si="53"/>
        <v>574400.68154291471</v>
      </c>
      <c r="H67" s="65">
        <f t="shared" si="54"/>
        <v>584556.58988626197</v>
      </c>
      <c r="I67" s="65">
        <f t="shared" si="55"/>
        <v>594775.38218457089</v>
      </c>
      <c r="J67" s="65">
        <f t="shared" si="56"/>
        <v>605942.86177714425</v>
      </c>
      <c r="K67" s="65">
        <f t="shared" si="57"/>
        <v>622856.49521223397</v>
      </c>
      <c r="L67" s="65">
        <f t="shared" si="58"/>
        <v>651474.90627754189</v>
      </c>
      <c r="M67" s="65">
        <f t="shared" si="59"/>
        <v>678907.5186255771</v>
      </c>
      <c r="N67" s="65">
        <f t="shared" si="60"/>
        <v>706793.73297014984</v>
      </c>
      <c r="O67" s="65">
        <f t="shared" si="61"/>
        <v>724323.60338480561</v>
      </c>
      <c r="P67" s="65">
        <f t="shared" si="62"/>
        <v>741885.91525869991</v>
      </c>
    </row>
    <row r="68" spans="1:16" x14ac:dyDescent="0.3">
      <c r="A68" t="s">
        <v>453</v>
      </c>
      <c r="B68" t="s">
        <v>459</v>
      </c>
      <c r="C68" t="s">
        <v>451</v>
      </c>
      <c r="D68" t="s">
        <v>413</v>
      </c>
      <c r="E68" s="64">
        <f t="shared" si="51"/>
        <v>123788.76463836606</v>
      </c>
      <c r="F68" s="65">
        <f t="shared" si="52"/>
        <v>126810.50394369254</v>
      </c>
      <c r="G68" s="65">
        <f t="shared" si="53"/>
        <v>129186.48561507322</v>
      </c>
      <c r="H68" s="65">
        <f t="shared" si="54"/>
        <v>131579.33620556281</v>
      </c>
      <c r="I68" s="65">
        <f t="shared" si="55"/>
        <v>133989.01438029014</v>
      </c>
      <c r="J68" s="65">
        <f t="shared" si="56"/>
        <v>136724.56287039979</v>
      </c>
      <c r="K68" s="65">
        <f t="shared" si="57"/>
        <v>140871.46968839076</v>
      </c>
      <c r="L68" s="65">
        <f t="shared" si="58"/>
        <v>147898.13750081434</v>
      </c>
      <c r="M68" s="65">
        <f t="shared" si="59"/>
        <v>154676.18468531597</v>
      </c>
      <c r="N68" s="65">
        <f t="shared" si="60"/>
        <v>161576.15301188131</v>
      </c>
      <c r="O68" s="65">
        <f t="shared" si="61"/>
        <v>166118.6358591828</v>
      </c>
      <c r="P68" s="65">
        <f t="shared" si="62"/>
        <v>170670.46044471257</v>
      </c>
    </row>
    <row r="69" spans="1:16" x14ac:dyDescent="0.3">
      <c r="A69" t="s">
        <v>453</v>
      </c>
      <c r="B69" t="s">
        <v>459</v>
      </c>
      <c r="C69" t="s">
        <v>451</v>
      </c>
      <c r="D69" t="s">
        <v>414</v>
      </c>
      <c r="E69" s="64">
        <f t="shared" si="51"/>
        <v>817356.39704074617</v>
      </c>
      <c r="F69" s="65">
        <f t="shared" si="52"/>
        <v>821189.51603340229</v>
      </c>
      <c r="G69" s="65">
        <f t="shared" si="53"/>
        <v>828511.29739904602</v>
      </c>
      <c r="H69" s="65">
        <f t="shared" si="54"/>
        <v>835740.40375592001</v>
      </c>
      <c r="I69" s="65">
        <f t="shared" si="55"/>
        <v>842877.00260114693</v>
      </c>
      <c r="J69" s="65">
        <f t="shared" si="56"/>
        <v>843704.02365550958</v>
      </c>
      <c r="K69" s="65">
        <f t="shared" si="57"/>
        <v>844697.27039941552</v>
      </c>
      <c r="L69" s="65">
        <f t="shared" si="58"/>
        <v>845697.58222922496</v>
      </c>
      <c r="M69" s="65">
        <f t="shared" si="59"/>
        <v>843754.07884387497</v>
      </c>
      <c r="N69" s="65">
        <f t="shared" si="60"/>
        <v>841106.54455316754</v>
      </c>
      <c r="O69" s="65">
        <f t="shared" si="61"/>
        <v>825450.79775304929</v>
      </c>
      <c r="P69" s="65">
        <f t="shared" si="62"/>
        <v>809702.25132599066</v>
      </c>
    </row>
    <row r="70" spans="1:16" x14ac:dyDescent="0.3">
      <c r="A70" t="s">
        <v>453</v>
      </c>
      <c r="B70" t="s">
        <v>459</v>
      </c>
      <c r="C70" t="s">
        <v>451</v>
      </c>
      <c r="D70" t="s">
        <v>415</v>
      </c>
      <c r="E70" s="64">
        <f t="shared" si="51"/>
        <v>24551.197721365766</v>
      </c>
      <c r="F70" s="65">
        <f t="shared" si="52"/>
        <v>25314.953315481223</v>
      </c>
      <c r="G70" s="65">
        <f t="shared" si="53"/>
        <v>25871.541750425935</v>
      </c>
      <c r="H70" s="65">
        <f t="shared" si="54"/>
        <v>26433.557676398592</v>
      </c>
      <c r="I70" s="65">
        <f t="shared" si="55"/>
        <v>27000.988402060932</v>
      </c>
      <c r="J70" s="65">
        <f t="shared" si="56"/>
        <v>27719.373495155935</v>
      </c>
      <c r="K70" s="65">
        <f t="shared" si="57"/>
        <v>28811.054095443615</v>
      </c>
      <c r="L70" s="65">
        <f t="shared" si="58"/>
        <v>30667.801812115755</v>
      </c>
      <c r="M70" s="65">
        <f t="shared" si="59"/>
        <v>32488.525826741461</v>
      </c>
      <c r="N70" s="65">
        <f t="shared" si="60"/>
        <v>34348.826451776731</v>
      </c>
      <c r="O70" s="65">
        <f t="shared" si="61"/>
        <v>35715.467602770579</v>
      </c>
      <c r="P70" s="65">
        <f t="shared" si="62"/>
        <v>37085.537578986128</v>
      </c>
    </row>
    <row r="71" spans="1:16" x14ac:dyDescent="0.3">
      <c r="A71" t="s">
        <v>453</v>
      </c>
      <c r="B71" t="s">
        <v>459</v>
      </c>
      <c r="C71" t="s">
        <v>451</v>
      </c>
      <c r="D71" t="s">
        <v>416</v>
      </c>
      <c r="E71" s="64">
        <f t="shared" si="51"/>
        <v>13276.560923713183</v>
      </c>
      <c r="F71" s="65">
        <f t="shared" si="52"/>
        <v>14273.759965875159</v>
      </c>
      <c r="G71" s="65">
        <f t="shared" si="53"/>
        <v>14877.962952915417</v>
      </c>
      <c r="H71" s="65">
        <f t="shared" si="54"/>
        <v>15492.496433959208</v>
      </c>
      <c r="I71" s="65">
        <f t="shared" si="55"/>
        <v>16117.337584025687</v>
      </c>
      <c r="J71" s="65">
        <f t="shared" si="56"/>
        <v>17130.463246605428</v>
      </c>
      <c r="K71" s="65">
        <f t="shared" si="57"/>
        <v>18677.169992022544</v>
      </c>
      <c r="L71" s="65">
        <f t="shared" si="58"/>
        <v>21326.473618430457</v>
      </c>
      <c r="M71" s="65">
        <f t="shared" si="59"/>
        <v>24003.491635916605</v>
      </c>
      <c r="N71" s="65">
        <f t="shared" si="60"/>
        <v>26756.602786145537</v>
      </c>
      <c r="O71" s="65">
        <f t="shared" si="61"/>
        <v>29150.055136474959</v>
      </c>
      <c r="P71" s="65">
        <f t="shared" si="62"/>
        <v>31550.960422285167</v>
      </c>
    </row>
    <row r="72" spans="1:16" x14ac:dyDescent="0.3">
      <c r="A72" t="s">
        <v>453</v>
      </c>
      <c r="B72" t="s">
        <v>459</v>
      </c>
      <c r="C72" t="s">
        <v>451</v>
      </c>
      <c r="D72" t="s">
        <v>417</v>
      </c>
      <c r="E72" s="64">
        <f t="shared" si="51"/>
        <v>14471.801248224774</v>
      </c>
      <c r="F72" s="65">
        <f t="shared" si="52"/>
        <v>14983.203522267995</v>
      </c>
      <c r="G72" s="65">
        <f t="shared" si="53"/>
        <v>15343.054094705185</v>
      </c>
      <c r="H72" s="65">
        <f t="shared" si="54"/>
        <v>15706.878729816261</v>
      </c>
      <c r="I72" s="65">
        <f t="shared" si="55"/>
        <v>16074.668274351034</v>
      </c>
      <c r="J72" s="65">
        <f t="shared" si="56"/>
        <v>16563.565801267247</v>
      </c>
      <c r="K72" s="65">
        <f t="shared" si="57"/>
        <v>17307.256771894477</v>
      </c>
      <c r="L72" s="65">
        <f t="shared" si="58"/>
        <v>18574.091088113579</v>
      </c>
      <c r="M72" s="65">
        <f t="shared" si="59"/>
        <v>19824.63559759262</v>
      </c>
      <c r="N72" s="65">
        <f t="shared" si="60"/>
        <v>21104.238579202</v>
      </c>
      <c r="O72" s="65">
        <f t="shared" si="61"/>
        <v>22083.139799740366</v>
      </c>
      <c r="P72" s="65">
        <f t="shared" si="62"/>
        <v>23064.648721113463</v>
      </c>
    </row>
    <row r="73" spans="1:16" x14ac:dyDescent="0.3">
      <c r="A73" t="s">
        <v>453</v>
      </c>
      <c r="B73" t="s">
        <v>459</v>
      </c>
      <c r="C73" t="s">
        <v>451</v>
      </c>
      <c r="D73" t="s">
        <v>418</v>
      </c>
      <c r="E73" s="64">
        <f t="shared" si="51"/>
        <v>9367.0592235365784</v>
      </c>
      <c r="F73" s="65">
        <f t="shared" si="52"/>
        <v>9860.4741657325339</v>
      </c>
      <c r="G73" s="65">
        <f t="shared" si="53"/>
        <v>10177.686490469414</v>
      </c>
      <c r="H73" s="65">
        <f t="shared" si="54"/>
        <v>10499.52702438676</v>
      </c>
      <c r="I73" s="65">
        <f t="shared" si="55"/>
        <v>10825.985405509797</v>
      </c>
      <c r="J73" s="65">
        <f t="shared" si="56"/>
        <v>11316.082231574375</v>
      </c>
      <c r="K73" s="65">
        <f t="shared" si="57"/>
        <v>12063.314130868375</v>
      </c>
      <c r="L73" s="65">
        <f t="shared" si="58"/>
        <v>13340.66405066886</v>
      </c>
      <c r="M73" s="65">
        <f t="shared" si="59"/>
        <v>14620.590416854953</v>
      </c>
      <c r="N73" s="65">
        <f t="shared" si="60"/>
        <v>15934.529471474792</v>
      </c>
      <c r="O73" s="65">
        <f t="shared" si="61"/>
        <v>17028.064113772925</v>
      </c>
      <c r="P73" s="65">
        <f t="shared" si="62"/>
        <v>18124.843075016292</v>
      </c>
    </row>
    <row r="74" spans="1:16" x14ac:dyDescent="0.3">
      <c r="A74" t="s">
        <v>453</v>
      </c>
      <c r="B74" t="s">
        <v>459</v>
      </c>
      <c r="C74" t="s">
        <v>451</v>
      </c>
      <c r="D74" t="s">
        <v>419</v>
      </c>
      <c r="E74" s="64">
        <f t="shared" si="51"/>
        <v>49793.564283766595</v>
      </c>
      <c r="F74" s="65">
        <f t="shared" si="52"/>
        <v>52416.467380297814</v>
      </c>
      <c r="G74" s="65">
        <f t="shared" si="53"/>
        <v>54102.709765068961</v>
      </c>
      <c r="H74" s="65">
        <f t="shared" si="54"/>
        <v>55813.554858742296</v>
      </c>
      <c r="I74" s="65">
        <f t="shared" si="55"/>
        <v>57548.947578965439</v>
      </c>
      <c r="J74" s="65">
        <f t="shared" si="56"/>
        <v>60154.212180324816</v>
      </c>
      <c r="K74" s="65">
        <f t="shared" si="57"/>
        <v>64126.359545304229</v>
      </c>
      <c r="L74" s="65">
        <f t="shared" si="58"/>
        <v>70916.516821627694</v>
      </c>
      <c r="M74" s="65">
        <f t="shared" si="59"/>
        <v>77720.370013143343</v>
      </c>
      <c r="N74" s="65">
        <f t="shared" si="60"/>
        <v>84705.028401634132</v>
      </c>
      <c r="O74" s="65">
        <f t="shared" si="61"/>
        <v>90518.057465332065</v>
      </c>
      <c r="P74" s="65">
        <f t="shared" si="62"/>
        <v>96348.332731931165</v>
      </c>
    </row>
    <row r="75" spans="1:16" x14ac:dyDescent="0.3">
      <c r="A75" t="s">
        <v>453</v>
      </c>
      <c r="B75" t="s">
        <v>459</v>
      </c>
      <c r="C75" t="s">
        <v>456</v>
      </c>
      <c r="D75" t="s">
        <v>407</v>
      </c>
      <c r="E75" s="64">
        <f t="shared" ref="E75:E87" si="63">E$48*V$29*AD9</f>
        <v>1576210.2625101185</v>
      </c>
      <c r="F75" s="65">
        <f t="shared" ref="F75:F87" si="64">F$48*($AD9+($AE9-$AD9)*2/35)*($V$29+($W$29-$V$29)*2/35)</f>
        <v>1598904.805783896</v>
      </c>
      <c r="G75" s="65">
        <f t="shared" ref="G75:G87" si="65">G$48*($AD9+($AE9-$AD9)*3/35)*($V$29+($W$29-$V$29)*3/35)</f>
        <v>1620970.0014052235</v>
      </c>
      <c r="H75" s="65">
        <f t="shared" ref="H75:H87" si="66">H$48*($AD9+($AE9-$AD9)*4/35)*($V$29+($W$29-$V$29)*4/35)</f>
        <v>1643052.2666670186</v>
      </c>
      <c r="I75" s="65">
        <f t="shared" ref="I75:I87" si="67">I$48*($AD9+($AE9-$AD9)*5/35)*($V$29+($W$29-$V$29)*5/35)</f>
        <v>1665151.5840682567</v>
      </c>
      <c r="J75" s="65">
        <f t="shared" ref="J75:J87" si="68">J$48*($AD9+($AE9-$AD9)*7/35)*($V$29+($W$29-$V$29)*7/35)</f>
        <v>1683129.4415984561</v>
      </c>
      <c r="K75" s="65">
        <f t="shared" ref="K75:K87" si="69">K$48*($AD9+($AE9-$AD9)*10/35)*($V$29+($W$29-$V$29)*10/35)</f>
        <v>1710143.5315117456</v>
      </c>
      <c r="L75" s="65">
        <f t="shared" ref="L75:L87" si="70">L$48*($AD9+($AE9-$AD9)*15/35)*($V$29+($W$29-$V$29)*15/35)</f>
        <v>1755292.7055914183</v>
      </c>
      <c r="M75" s="65">
        <f t="shared" ref="M75:M87" si="71">M$48*($AD9+($AE9-$AD9)*20/35)*($V$29+($W$29-$V$29)*20/35)</f>
        <v>1796060.0290018846</v>
      </c>
      <c r="N75" s="65">
        <f t="shared" ref="N75:N87" si="72">N$48*($AD9+($AE9-$AD9)*25/35)*($V$29+($W$29-$V$29)*25/35)</f>
        <v>1836964.6921740118</v>
      </c>
      <c r="O75" s="65">
        <f t="shared" ref="O75:O87" si="73">O$48*($AD9+($AE9-$AD9)*30/35)*($V$29+($W$29-$V$29)*30/35)</f>
        <v>1850407.5275942707</v>
      </c>
      <c r="P75" s="65">
        <f t="shared" ref="P75:P87" si="74">P$48*W$29*AE9</f>
        <v>1863876.7479093529</v>
      </c>
    </row>
    <row r="76" spans="1:16" x14ac:dyDescent="0.3">
      <c r="A76" t="s">
        <v>453</v>
      </c>
      <c r="B76" t="s">
        <v>459</v>
      </c>
      <c r="C76" t="s">
        <v>456</v>
      </c>
      <c r="D76" t="s">
        <v>408</v>
      </c>
      <c r="E76" s="64">
        <f t="shared" si="63"/>
        <v>376666.39089884004</v>
      </c>
      <c r="F76" s="65">
        <f t="shared" si="64"/>
        <v>382089.69761834975</v>
      </c>
      <c r="G76" s="65">
        <f t="shared" si="65"/>
        <v>387362.6093591518</v>
      </c>
      <c r="H76" s="65">
        <f t="shared" si="66"/>
        <v>392639.60022570373</v>
      </c>
      <c r="I76" s="65">
        <f t="shared" si="67"/>
        <v>397920.66603579186</v>
      </c>
      <c r="J76" s="65">
        <f t="shared" si="68"/>
        <v>402216.82808539679</v>
      </c>
      <c r="K76" s="65">
        <f t="shared" si="69"/>
        <v>408672.37528812303</v>
      </c>
      <c r="L76" s="65">
        <f t="shared" si="70"/>
        <v>419461.65693229361</v>
      </c>
      <c r="M76" s="65">
        <f t="shared" si="71"/>
        <v>429203.80932202132</v>
      </c>
      <c r="N76" s="65">
        <f t="shared" si="72"/>
        <v>438978.78174444521</v>
      </c>
      <c r="O76" s="65">
        <f t="shared" si="73"/>
        <v>442191.21121634351</v>
      </c>
      <c r="P76" s="65">
        <f t="shared" si="74"/>
        <v>445409.94587692368</v>
      </c>
    </row>
    <row r="77" spans="1:16" x14ac:dyDescent="0.3">
      <c r="A77" t="s">
        <v>453</v>
      </c>
      <c r="B77" t="s">
        <v>459</v>
      </c>
      <c r="C77" t="s">
        <v>456</v>
      </c>
      <c r="D77" t="s">
        <v>409</v>
      </c>
      <c r="E77" s="64">
        <f t="shared" si="63"/>
        <v>525742.3331901161</v>
      </c>
      <c r="F77" s="65">
        <f t="shared" si="64"/>
        <v>533312.06066571234</v>
      </c>
      <c r="G77" s="65">
        <f t="shared" si="65"/>
        <v>540671.87026990752</v>
      </c>
      <c r="H77" s="65">
        <f t="shared" si="66"/>
        <v>548037.37342452537</v>
      </c>
      <c r="I77" s="65">
        <f t="shared" si="67"/>
        <v>555408.56429212785</v>
      </c>
      <c r="J77" s="65">
        <f t="shared" si="68"/>
        <v>561405.0490178616</v>
      </c>
      <c r="K77" s="65">
        <f t="shared" si="69"/>
        <v>570415.55415021814</v>
      </c>
      <c r="L77" s="65">
        <f t="shared" si="70"/>
        <v>585474.98669347074</v>
      </c>
      <c r="M77" s="65">
        <f t="shared" si="71"/>
        <v>599072.86017362576</v>
      </c>
      <c r="N77" s="65">
        <f t="shared" si="72"/>
        <v>612716.54310474871</v>
      </c>
      <c r="O77" s="65">
        <f t="shared" si="73"/>
        <v>617200.37868597533</v>
      </c>
      <c r="P77" s="65">
        <f t="shared" si="74"/>
        <v>621693.01490535017</v>
      </c>
    </row>
    <row r="78" spans="1:16" x14ac:dyDescent="0.3">
      <c r="A78" t="s">
        <v>453</v>
      </c>
      <c r="B78" t="s">
        <v>459</v>
      </c>
      <c r="C78" t="s">
        <v>456</v>
      </c>
      <c r="D78" t="s">
        <v>410</v>
      </c>
      <c r="E78" s="64">
        <f t="shared" si="63"/>
        <v>138633.67208433981</v>
      </c>
      <c r="F78" s="65">
        <f t="shared" si="64"/>
        <v>140629.74325907655</v>
      </c>
      <c r="G78" s="65">
        <f t="shared" si="65"/>
        <v>142570.46092029297</v>
      </c>
      <c r="H78" s="65">
        <f t="shared" si="66"/>
        <v>144512.67992114375</v>
      </c>
      <c r="I78" s="65">
        <f t="shared" si="67"/>
        <v>146456.39872234734</v>
      </c>
      <c r="J78" s="65">
        <f t="shared" si="68"/>
        <v>148037.61949276133</v>
      </c>
      <c r="K78" s="65">
        <f t="shared" si="69"/>
        <v>150413.61118103514</v>
      </c>
      <c r="L78" s="65">
        <f t="shared" si="70"/>
        <v>154384.65231882874</v>
      </c>
      <c r="M78" s="65">
        <f t="shared" si="71"/>
        <v>157970.29306731775</v>
      </c>
      <c r="N78" s="65">
        <f t="shared" si="72"/>
        <v>161568.0133688557</v>
      </c>
      <c r="O78" s="65">
        <f t="shared" si="73"/>
        <v>162750.36174068277</v>
      </c>
      <c r="P78" s="65">
        <f t="shared" si="74"/>
        <v>163935.03076410305</v>
      </c>
    </row>
    <row r="79" spans="1:16" x14ac:dyDescent="0.3">
      <c r="A79" t="s">
        <v>453</v>
      </c>
      <c r="B79" t="s">
        <v>459</v>
      </c>
      <c r="C79" t="s">
        <v>456</v>
      </c>
      <c r="D79" t="s">
        <v>411</v>
      </c>
      <c r="E79" s="64">
        <f t="shared" si="63"/>
        <v>264165.64515617973</v>
      </c>
      <c r="F79" s="65">
        <f t="shared" si="64"/>
        <v>267969.14701632812</v>
      </c>
      <c r="G79" s="65">
        <f t="shared" si="65"/>
        <v>271667.17308267462</v>
      </c>
      <c r="H79" s="65">
        <f t="shared" si="66"/>
        <v>275368.05994284677</v>
      </c>
      <c r="I79" s="65">
        <f t="shared" si="67"/>
        <v>279071.80466375244</v>
      </c>
      <c r="J79" s="65">
        <f t="shared" si="68"/>
        <v>282084.81152327382</v>
      </c>
      <c r="K79" s="65">
        <f t="shared" si="69"/>
        <v>286612.24968300696</v>
      </c>
      <c r="L79" s="65">
        <f t="shared" si="70"/>
        <v>294179.04516880203</v>
      </c>
      <c r="M79" s="65">
        <f t="shared" si="71"/>
        <v>301011.46248403157</v>
      </c>
      <c r="N79" s="65">
        <f t="shared" si="72"/>
        <v>307866.89731640811</v>
      </c>
      <c r="O79" s="65">
        <f t="shared" si="73"/>
        <v>310119.8551710702</v>
      </c>
      <c r="P79" s="65">
        <f t="shared" si="74"/>
        <v>312377.23501366697</v>
      </c>
    </row>
    <row r="80" spans="1:16" x14ac:dyDescent="0.3">
      <c r="A80" t="s">
        <v>453</v>
      </c>
      <c r="B80" t="s">
        <v>459</v>
      </c>
      <c r="C80" t="s">
        <v>456</v>
      </c>
      <c r="D80" t="s">
        <v>412</v>
      </c>
      <c r="E80" s="64">
        <f t="shared" si="63"/>
        <v>215663.95312280479</v>
      </c>
      <c r="F80" s="65">
        <f t="shared" si="64"/>
        <v>218769.11937704874</v>
      </c>
      <c r="G80" s="65">
        <f t="shared" si="65"/>
        <v>221788.17554443167</v>
      </c>
      <c r="H80" s="65">
        <f t="shared" si="66"/>
        <v>224809.56725436833</v>
      </c>
      <c r="I80" s="65">
        <f t="shared" si="67"/>
        <v>227833.29211229223</v>
      </c>
      <c r="J80" s="65">
        <f t="shared" si="68"/>
        <v>230293.10088010665</v>
      </c>
      <c r="K80" s="65">
        <f t="shared" si="69"/>
        <v>233989.28631886726</v>
      </c>
      <c r="L80" s="65">
        <f t="shared" si="70"/>
        <v>240166.79295858779</v>
      </c>
      <c r="M80" s="65">
        <f t="shared" si="71"/>
        <v>245744.75570509073</v>
      </c>
      <c r="N80" s="65">
        <f t="shared" si="72"/>
        <v>251341.509875952</v>
      </c>
      <c r="O80" s="65">
        <f t="shared" si="73"/>
        <v>253180.81716690664</v>
      </c>
      <c r="P80" s="65">
        <f t="shared" si="74"/>
        <v>255023.73455408745</v>
      </c>
    </row>
    <row r="81" spans="1:16" x14ac:dyDescent="0.3">
      <c r="A81" t="s">
        <v>453</v>
      </c>
      <c r="B81" t="s">
        <v>459</v>
      </c>
      <c r="C81" t="s">
        <v>456</v>
      </c>
      <c r="D81" t="s">
        <v>413</v>
      </c>
      <c r="E81" s="64">
        <f t="shared" si="63"/>
        <v>59507.22444094238</v>
      </c>
      <c r="F81" s="65">
        <f t="shared" si="64"/>
        <v>60364.019573101134</v>
      </c>
      <c r="G81" s="65">
        <f t="shared" si="65"/>
        <v>61197.054720379412</v>
      </c>
      <c r="H81" s="65">
        <f t="shared" si="66"/>
        <v>62030.734303841484</v>
      </c>
      <c r="I81" s="65">
        <f t="shared" si="67"/>
        <v>62865.057662764957</v>
      </c>
      <c r="J81" s="65">
        <f t="shared" si="68"/>
        <v>63543.782087076986</v>
      </c>
      <c r="K81" s="65">
        <f t="shared" si="69"/>
        <v>64563.654593793151</v>
      </c>
      <c r="L81" s="65">
        <f t="shared" si="70"/>
        <v>66268.187357717485</v>
      </c>
      <c r="M81" s="65">
        <f t="shared" si="71"/>
        <v>67807.290560979091</v>
      </c>
      <c r="N81" s="65">
        <f t="shared" si="72"/>
        <v>69351.578800917719</v>
      </c>
      <c r="O81" s="65">
        <f t="shared" si="73"/>
        <v>69859.090928901278</v>
      </c>
      <c r="P81" s="65">
        <f t="shared" si="74"/>
        <v>70367.599175166426</v>
      </c>
    </row>
    <row r="82" spans="1:16" x14ac:dyDescent="0.3">
      <c r="A82" t="s">
        <v>453</v>
      </c>
      <c r="B82" t="s">
        <v>459</v>
      </c>
      <c r="C82" t="s">
        <v>456</v>
      </c>
      <c r="D82" t="s">
        <v>414</v>
      </c>
      <c r="E82" s="64">
        <f t="shared" si="63"/>
        <v>315147.63832473021</v>
      </c>
      <c r="F82" s="65">
        <f t="shared" si="64"/>
        <v>319685.18758811313</v>
      </c>
      <c r="G82" s="65">
        <f t="shared" si="65"/>
        <v>324096.90501860395</v>
      </c>
      <c r="H82" s="65">
        <f t="shared" si="66"/>
        <v>328512.03535472584</v>
      </c>
      <c r="I82" s="65">
        <f t="shared" si="67"/>
        <v>332930.57509732188</v>
      </c>
      <c r="J82" s="65">
        <f t="shared" si="68"/>
        <v>336525.06973901915</v>
      </c>
      <c r="K82" s="65">
        <f t="shared" si="69"/>
        <v>341926.26959170093</v>
      </c>
      <c r="L82" s="65">
        <f t="shared" si="70"/>
        <v>350953.39999552263</v>
      </c>
      <c r="M82" s="65">
        <f t="shared" si="71"/>
        <v>359104.42273608583</v>
      </c>
      <c r="N82" s="65">
        <f t="shared" si="72"/>
        <v>367282.90520240064</v>
      </c>
      <c r="O82" s="65">
        <f t="shared" si="73"/>
        <v>369970.6670675822</v>
      </c>
      <c r="P82" s="65">
        <f t="shared" si="74"/>
        <v>372663.70433128707</v>
      </c>
    </row>
    <row r="83" spans="1:16" x14ac:dyDescent="0.3">
      <c r="A83" t="s">
        <v>453</v>
      </c>
      <c r="B83" t="s">
        <v>459</v>
      </c>
      <c r="C83" t="s">
        <v>456</v>
      </c>
      <c r="D83" t="s">
        <v>415</v>
      </c>
      <c r="E83" s="64">
        <f t="shared" si="63"/>
        <v>26405.608488198883</v>
      </c>
      <c r="F83" s="65">
        <f t="shared" si="64"/>
        <v>27009.668068476349</v>
      </c>
      <c r="G83" s="65">
        <f t="shared" si="65"/>
        <v>27495.959025509947</v>
      </c>
      <c r="H83" s="65">
        <f t="shared" si="66"/>
        <v>27985.682224434615</v>
      </c>
      <c r="I83" s="65">
        <f t="shared" si="67"/>
        <v>28478.843006866526</v>
      </c>
      <c r="J83" s="65">
        <f t="shared" si="68"/>
        <v>29022.48845569104</v>
      </c>
      <c r="K83" s="65">
        <f t="shared" si="69"/>
        <v>29848.634039521141</v>
      </c>
      <c r="L83" s="65">
        <f t="shared" si="70"/>
        <v>31254.154426660611</v>
      </c>
      <c r="M83" s="65">
        <f t="shared" si="71"/>
        <v>32613.25671057601</v>
      </c>
      <c r="N83" s="65">
        <f t="shared" si="72"/>
        <v>34005.062083291414</v>
      </c>
      <c r="O83" s="65">
        <f t="shared" si="73"/>
        <v>34909.139200597929</v>
      </c>
      <c r="P83" s="65">
        <f t="shared" si="74"/>
        <v>35824.689063103899</v>
      </c>
    </row>
    <row r="84" spans="1:16" x14ac:dyDescent="0.3">
      <c r="A84" t="s">
        <v>453</v>
      </c>
      <c r="B84" t="s">
        <v>459</v>
      </c>
      <c r="C84" t="s">
        <v>456</v>
      </c>
      <c r="D84" t="s">
        <v>416</v>
      </c>
      <c r="E84" s="64">
        <f t="shared" si="63"/>
        <v>24512.434699012476</v>
      </c>
      <c r="F84" s="65">
        <f t="shared" si="64"/>
        <v>25073.185685776585</v>
      </c>
      <c r="G84" s="65">
        <f t="shared" si="65"/>
        <v>25524.611576391213</v>
      </c>
      <c r="H84" s="65">
        <f t="shared" si="66"/>
        <v>25979.223631235443</v>
      </c>
      <c r="I84" s="65">
        <f t="shared" si="67"/>
        <v>26437.026808953495</v>
      </c>
      <c r="J84" s="65">
        <f t="shared" si="68"/>
        <v>26941.695109617041</v>
      </c>
      <c r="K84" s="65">
        <f t="shared" si="69"/>
        <v>27708.609444674432</v>
      </c>
      <c r="L84" s="65">
        <f t="shared" si="70"/>
        <v>29013.359786757421</v>
      </c>
      <c r="M84" s="65">
        <f t="shared" si="71"/>
        <v>30275.020013168938</v>
      </c>
      <c r="N84" s="65">
        <f t="shared" si="72"/>
        <v>31567.038651090814</v>
      </c>
      <c r="O84" s="65">
        <f t="shared" si="73"/>
        <v>32406.297148419198</v>
      </c>
      <c r="P84" s="65">
        <f t="shared" si="74"/>
        <v>33256.205842187694</v>
      </c>
    </row>
    <row r="85" spans="1:16" x14ac:dyDescent="0.3">
      <c r="A85" t="s">
        <v>453</v>
      </c>
      <c r="B85" t="s">
        <v>459</v>
      </c>
      <c r="C85" t="s">
        <v>456</v>
      </c>
      <c r="D85" t="s">
        <v>417</v>
      </c>
      <c r="E85" s="64">
        <f t="shared" si="63"/>
        <v>9079.4101113351098</v>
      </c>
      <c r="F85" s="65">
        <f t="shared" si="64"/>
        <v>9287.1123751731575</v>
      </c>
      <c r="G85" s="65">
        <f t="shared" si="65"/>
        <v>9454.3206042247584</v>
      </c>
      <c r="H85" s="65">
        <f t="shared" si="66"/>
        <v>9622.7089890657735</v>
      </c>
      <c r="I85" s="65">
        <f t="shared" si="67"/>
        <v>9792.2793663788871</v>
      </c>
      <c r="J85" s="65">
        <f t="shared" si="68"/>
        <v>9979.2085934498919</v>
      </c>
      <c r="K85" s="65">
        <f t="shared" si="69"/>
        <v>10263.273797651271</v>
      </c>
      <c r="L85" s="65">
        <f t="shared" si="70"/>
        <v>10746.55355317688</v>
      </c>
      <c r="M85" s="65">
        <f t="shared" si="71"/>
        <v>11213.872722300926</v>
      </c>
      <c r="N85" s="65">
        <f t="shared" si="72"/>
        <v>11692.436652372462</v>
      </c>
      <c r="O85" s="65">
        <f t="shared" si="73"/>
        <v>12003.298146966234</v>
      </c>
      <c r="P85" s="65">
        <f t="shared" si="74"/>
        <v>12318.104476189179</v>
      </c>
    </row>
    <row r="86" spans="1:16" x14ac:dyDescent="0.3">
      <c r="A86" t="s">
        <v>453</v>
      </c>
      <c r="B86" t="s">
        <v>459</v>
      </c>
      <c r="C86" t="s">
        <v>456</v>
      </c>
      <c r="D86" t="s">
        <v>418</v>
      </c>
      <c r="E86" s="64">
        <f t="shared" si="63"/>
        <v>8789.3765963924579</v>
      </c>
      <c r="F86" s="65">
        <f t="shared" si="64"/>
        <v>9085.9391453917488</v>
      </c>
      <c r="G86" s="65">
        <f t="shared" si="65"/>
        <v>9297.561991442306</v>
      </c>
      <c r="H86" s="65">
        <f t="shared" si="66"/>
        <v>9511.6694053852025</v>
      </c>
      <c r="I86" s="65">
        <f t="shared" si="67"/>
        <v>9728.2655688736995</v>
      </c>
      <c r="J86" s="65">
        <f t="shared" si="68"/>
        <v>10012.65397253799</v>
      </c>
      <c r="K86" s="65">
        <f t="shared" si="69"/>
        <v>10447.007293518021</v>
      </c>
      <c r="L86" s="65">
        <f t="shared" si="70"/>
        <v>11191.759424522725</v>
      </c>
      <c r="M86" s="65">
        <f t="shared" si="71"/>
        <v>11932.573639348837</v>
      </c>
      <c r="N86" s="65">
        <f t="shared" si="72"/>
        <v>12697.242135910243</v>
      </c>
      <c r="O86" s="65">
        <f t="shared" si="73"/>
        <v>13287.761475234271</v>
      </c>
      <c r="P86" s="65">
        <f t="shared" si="74"/>
        <v>13886.805020292997</v>
      </c>
    </row>
    <row r="87" spans="1:16" x14ac:dyDescent="0.3">
      <c r="A87" t="s">
        <v>453</v>
      </c>
      <c r="B87" t="s">
        <v>459</v>
      </c>
      <c r="C87" t="s">
        <v>456</v>
      </c>
      <c r="D87" t="s">
        <v>419</v>
      </c>
      <c r="E87" s="64">
        <f t="shared" si="63"/>
        <v>46722.7096703957</v>
      </c>
      <c r="F87" s="65">
        <f t="shared" si="64"/>
        <v>48299.181644721328</v>
      </c>
      <c r="G87" s="65">
        <f t="shared" si="65"/>
        <v>49424.129778096467</v>
      </c>
      <c r="H87" s="65">
        <f t="shared" si="66"/>
        <v>50562.285417489511</v>
      </c>
      <c r="I87" s="65">
        <f t="shared" si="67"/>
        <v>51713.670791800134</v>
      </c>
      <c r="J87" s="65">
        <f t="shared" si="68"/>
        <v>53225.427248280525</v>
      </c>
      <c r="K87" s="65">
        <f t="shared" si="69"/>
        <v>55534.369627521817</v>
      </c>
      <c r="L87" s="65">
        <f t="shared" si="70"/>
        <v>59493.33500029047</v>
      </c>
      <c r="M87" s="65">
        <f t="shared" si="71"/>
        <v>63431.367134813969</v>
      </c>
      <c r="N87" s="65">
        <f t="shared" si="72"/>
        <v>67496.204244376466</v>
      </c>
      <c r="O87" s="65">
        <f t="shared" si="73"/>
        <v>70635.296459097866</v>
      </c>
      <c r="P87" s="65">
        <f t="shared" si="74"/>
        <v>73819.701783952332</v>
      </c>
    </row>
    <row r="88" spans="1:16" x14ac:dyDescent="0.3">
      <c r="A88" s="260" t="s">
        <v>22</v>
      </c>
      <c r="B88" s="260"/>
      <c r="C88" s="260"/>
      <c r="D88" t="s">
        <v>460</v>
      </c>
      <c r="E88" s="193">
        <f t="shared" ref="E88:P88" si="75">SUM(E90:E128)-E89</f>
        <v>0</v>
      </c>
      <c r="F88" s="193">
        <f t="shared" si="75"/>
        <v>0</v>
      </c>
      <c r="G88" s="193">
        <f t="shared" si="75"/>
        <v>0</v>
      </c>
      <c r="H88" s="193">
        <f t="shared" si="75"/>
        <v>0</v>
      </c>
      <c r="I88" s="193">
        <f t="shared" si="75"/>
        <v>0</v>
      </c>
      <c r="J88" s="193">
        <f t="shared" si="75"/>
        <v>0</v>
      </c>
      <c r="K88" s="193">
        <f t="shared" si="75"/>
        <v>0</v>
      </c>
      <c r="L88" s="193">
        <f t="shared" si="75"/>
        <v>0</v>
      </c>
      <c r="M88" s="193">
        <f t="shared" si="75"/>
        <v>0</v>
      </c>
      <c r="N88" s="193">
        <f t="shared" si="75"/>
        <v>0</v>
      </c>
      <c r="O88" s="193">
        <f t="shared" si="75"/>
        <v>0</v>
      </c>
      <c r="P88" s="193">
        <f t="shared" si="75"/>
        <v>0</v>
      </c>
    </row>
    <row r="89" spans="1:16" x14ac:dyDescent="0.3">
      <c r="D89" t="s">
        <v>461</v>
      </c>
      <c r="E89" s="64">
        <f>'parc résidentiel'!D13</f>
        <v>3308000</v>
      </c>
      <c r="F89" s="64">
        <f>E89+($I89-$E89)/4</f>
        <v>3374250</v>
      </c>
      <c r="G89" s="64">
        <f>F89+($I89-$E89)/4</f>
        <v>3440500</v>
      </c>
      <c r="H89" s="64">
        <f>G89+($I89-$E89)/4</f>
        <v>3506750</v>
      </c>
      <c r="I89" s="64">
        <f>'parc résidentiel'!E13</f>
        <v>3573000</v>
      </c>
      <c r="J89" s="64">
        <f>I89+(L89-I89)*2/10</f>
        <v>3701479.3109609638</v>
      </c>
      <c r="K89" s="64">
        <f>(I89+L89)/2</f>
        <v>3894198.2774024094</v>
      </c>
      <c r="L89" s="64">
        <f>'parc résidentiel'!F13</f>
        <v>4215396.5548048187</v>
      </c>
      <c r="M89" s="64">
        <f>(L89+N89)/2</f>
        <v>4425228.9882866172</v>
      </c>
      <c r="N89" s="64">
        <f>'parc résidentiel'!G13</f>
        <v>4635061.4217684157</v>
      </c>
      <c r="O89" s="64">
        <f>(N89+P89)/2</f>
        <v>4792023.0645083534</v>
      </c>
      <c r="P89" s="64">
        <f>'parc résidentiel'!H13</f>
        <v>4948984.707248291</v>
      </c>
    </row>
    <row r="90" spans="1:16" x14ac:dyDescent="0.3">
      <c r="A90" t="s">
        <v>462</v>
      </c>
      <c r="B90" t="s">
        <v>454</v>
      </c>
      <c r="C90" t="s">
        <v>449</v>
      </c>
      <c r="D90" t="s">
        <v>407</v>
      </c>
      <c r="E90" s="64">
        <f t="shared" ref="E90:E102" si="76">E$89*T$31*AF9</f>
        <v>182474.98835651082</v>
      </c>
      <c r="F90" s="65">
        <f t="shared" ref="F90:F102" si="77">F$89*($AF9+($AG9-$AF9)*2/35)*($T$31+($U$31-$T$31)*2/35)</f>
        <v>186094.13046521717</v>
      </c>
      <c r="G90" s="65">
        <f t="shared" ref="G90:G102" si="78">G$89*($AF9+($AG9-$AF9)*3/35)*($T$31+($U$31-$T$31)*3/35)</f>
        <v>189729.89228802931</v>
      </c>
      <c r="H90" s="65">
        <f t="shared" ref="H90:H102" si="79">H$89*($AF9+($AG9-$AF9)*4/35)*($T$31+($U$31-$T$31)*4/35)</f>
        <v>193364.95979156156</v>
      </c>
      <c r="I90" s="65">
        <f t="shared" ref="I90:I102" si="80">I$89*($AF9+($AG9-$AF9)*5/35)*($T$31+($U$31-$T$31)*5/35)</f>
        <v>196999.33293273349</v>
      </c>
      <c r="J90" s="65">
        <f t="shared" ref="J90:J102" si="81">J$89*($AF9+($AG9-$AF9)*7/35)*($T$31+($U$31-$T$31)*7/35)</f>
        <v>204044.35513770502</v>
      </c>
      <c r="K90" s="65">
        <f t="shared" ref="K90:K102" si="82">K$89*($AF9+($AG9-$AF9)*10/35)*($T$31+($U$31-$T$31)*10/35)</f>
        <v>214606.83753414411</v>
      </c>
      <c r="L90" s="65">
        <f t="shared" ref="L90:L102" si="83">L$89*($AF9+($AG9-$AF9)*15/35)*($T$31+($U$31-$T$31)*15/35)</f>
        <v>232197.50298061891</v>
      </c>
      <c r="M90" s="65">
        <f t="shared" ref="M90:M102" si="84">M$89*($AF9+($AG9-$AF9)*20/35)*($T$31+($U$31-$T$31)*20/35)</f>
        <v>243639.8542325426</v>
      </c>
      <c r="N90" s="65">
        <f t="shared" ref="N90:N102" si="85">N$89*($AF9+($AG9-$AF9)*25/35)*($T$31+($U$31-$T$31)*25/35)</f>
        <v>255071.19005766037</v>
      </c>
      <c r="O90" s="65">
        <f t="shared" ref="O90:O102" si="86">O$89*($AF9+($AG9-$AF9)*30/35)*($T$31+($U$31-$T$31)*30/35)</f>
        <v>263583.3697100085</v>
      </c>
      <c r="P90" s="65">
        <f t="shared" ref="P90:P102" si="87">P$89*U$31*AG9</f>
        <v>272087.29802452435</v>
      </c>
    </row>
    <row r="91" spans="1:16" x14ac:dyDescent="0.3">
      <c r="A91" t="s">
        <v>462</v>
      </c>
      <c r="B91" t="s">
        <v>454</v>
      </c>
      <c r="C91" t="s">
        <v>449</v>
      </c>
      <c r="D91" t="s">
        <v>408</v>
      </c>
      <c r="E91" s="64">
        <f t="shared" si="76"/>
        <v>124559.87176634243</v>
      </c>
      <c r="F91" s="65">
        <f t="shared" si="77"/>
        <v>127030.3466573115</v>
      </c>
      <c r="G91" s="65">
        <f t="shared" si="78"/>
        <v>129512.16638779231</v>
      </c>
      <c r="H91" s="65">
        <f t="shared" si="79"/>
        <v>131993.51216663053</v>
      </c>
      <c r="I91" s="65">
        <f t="shared" si="80"/>
        <v>134474.38396441881</v>
      </c>
      <c r="J91" s="65">
        <f t="shared" si="81"/>
        <v>139283.41050743096</v>
      </c>
      <c r="K91" s="65">
        <f t="shared" si="82"/>
        <v>146493.50250241841</v>
      </c>
      <c r="L91" s="65">
        <f t="shared" si="83"/>
        <v>158501.12640765568</v>
      </c>
      <c r="M91" s="65">
        <f t="shared" si="84"/>
        <v>166311.82867146659</v>
      </c>
      <c r="N91" s="65">
        <f t="shared" si="85"/>
        <v>174115.01165736027</v>
      </c>
      <c r="O91" s="65">
        <f t="shared" si="86"/>
        <v>179925.53953023805</v>
      </c>
      <c r="P91" s="65">
        <f t="shared" si="87"/>
        <v>185730.43492936401</v>
      </c>
    </row>
    <row r="92" spans="1:16" x14ac:dyDescent="0.3">
      <c r="A92" t="s">
        <v>462</v>
      </c>
      <c r="B92" t="s">
        <v>454</v>
      </c>
      <c r="C92" t="s">
        <v>449</v>
      </c>
      <c r="D92" t="s">
        <v>409</v>
      </c>
      <c r="E92" s="64">
        <f t="shared" si="76"/>
        <v>325052.55755101884</v>
      </c>
      <c r="F92" s="65">
        <f t="shared" si="77"/>
        <v>331499.53096458706</v>
      </c>
      <c r="G92" s="65">
        <f t="shared" si="78"/>
        <v>337976.109973007</v>
      </c>
      <c r="H92" s="65">
        <f t="shared" si="79"/>
        <v>344451.45215297322</v>
      </c>
      <c r="I92" s="65">
        <f t="shared" si="80"/>
        <v>350925.55742774421</v>
      </c>
      <c r="J92" s="65">
        <f t="shared" si="81"/>
        <v>363475.23618840612</v>
      </c>
      <c r="K92" s="65">
        <f t="shared" si="82"/>
        <v>382290.75686865539</v>
      </c>
      <c r="L92" s="65">
        <f t="shared" si="83"/>
        <v>413625.9598129057</v>
      </c>
      <c r="M92" s="65">
        <f t="shared" si="84"/>
        <v>434008.83843278664</v>
      </c>
      <c r="N92" s="65">
        <f t="shared" si="85"/>
        <v>454372.09467763384</v>
      </c>
      <c r="O92" s="65">
        <f t="shared" si="86"/>
        <v>469535.30028323561</v>
      </c>
      <c r="P92" s="65">
        <f t="shared" si="87"/>
        <v>484683.80733486137</v>
      </c>
    </row>
    <row r="93" spans="1:16" x14ac:dyDescent="0.3">
      <c r="A93" t="s">
        <v>462</v>
      </c>
      <c r="B93" t="s">
        <v>454</v>
      </c>
      <c r="C93" t="s">
        <v>449</v>
      </c>
      <c r="D93" t="s">
        <v>410</v>
      </c>
      <c r="E93" s="64">
        <f t="shared" si="76"/>
        <v>235912.48797817854</v>
      </c>
      <c r="F93" s="65">
        <f t="shared" si="77"/>
        <v>240591.48988907825</v>
      </c>
      <c r="G93" s="65">
        <f t="shared" si="78"/>
        <v>245291.97856997038</v>
      </c>
      <c r="H93" s="65">
        <f t="shared" si="79"/>
        <v>249991.56960132573</v>
      </c>
      <c r="I93" s="65">
        <f t="shared" si="80"/>
        <v>254690.26292744777</v>
      </c>
      <c r="J93" s="65">
        <f t="shared" si="81"/>
        <v>263798.40827495808</v>
      </c>
      <c r="K93" s="65">
        <f t="shared" si="82"/>
        <v>277454.09623423772</v>
      </c>
      <c r="L93" s="65">
        <f t="shared" si="83"/>
        <v>300196.15906731976</v>
      </c>
      <c r="M93" s="65">
        <f t="shared" si="84"/>
        <v>314989.38402638998</v>
      </c>
      <c r="N93" s="65">
        <f t="shared" si="85"/>
        <v>329768.36770906759</v>
      </c>
      <c r="O93" s="65">
        <f t="shared" si="86"/>
        <v>340773.32514454547</v>
      </c>
      <c r="P93" s="65">
        <f t="shared" si="87"/>
        <v>351767.61485150509</v>
      </c>
    </row>
    <row r="94" spans="1:16" x14ac:dyDescent="0.3">
      <c r="A94" t="s">
        <v>462</v>
      </c>
      <c r="B94" t="s">
        <v>454</v>
      </c>
      <c r="C94" t="s">
        <v>449</v>
      </c>
      <c r="D94" t="s">
        <v>411</v>
      </c>
      <c r="E94" s="64">
        <f t="shared" si="76"/>
        <v>304905.57441417896</v>
      </c>
      <c r="F94" s="65">
        <f t="shared" si="77"/>
        <v>310952.95994071307</v>
      </c>
      <c r="G94" s="65">
        <f t="shared" si="78"/>
        <v>317028.11608678079</v>
      </c>
      <c r="H94" s="65">
        <f t="shared" si="79"/>
        <v>323102.11206388078</v>
      </c>
      <c r="I94" s="65">
        <f t="shared" si="80"/>
        <v>329174.94780002814</v>
      </c>
      <c r="J94" s="65">
        <f t="shared" si="81"/>
        <v>340946.78876033938</v>
      </c>
      <c r="K94" s="65">
        <f t="shared" si="82"/>
        <v>358596.11040892475</v>
      </c>
      <c r="L94" s="65">
        <f t="shared" si="83"/>
        <v>387989.13572484424</v>
      </c>
      <c r="M94" s="65">
        <f t="shared" si="84"/>
        <v>407108.66938005568</v>
      </c>
      <c r="N94" s="65">
        <f t="shared" si="85"/>
        <v>426209.79686865781</v>
      </c>
      <c r="O94" s="65">
        <f t="shared" si="86"/>
        <v>440433.17646600364</v>
      </c>
      <c r="P94" s="65">
        <f t="shared" si="87"/>
        <v>454642.76853595133</v>
      </c>
    </row>
    <row r="95" spans="1:16" x14ac:dyDescent="0.3">
      <c r="A95" t="s">
        <v>462</v>
      </c>
      <c r="B95" t="s">
        <v>454</v>
      </c>
      <c r="C95" t="s">
        <v>449</v>
      </c>
      <c r="D95" t="s">
        <v>412</v>
      </c>
      <c r="E95" s="64">
        <f t="shared" si="76"/>
        <v>278840.98991527269</v>
      </c>
      <c r="F95" s="65">
        <f t="shared" si="77"/>
        <v>284371.42001599458</v>
      </c>
      <c r="G95" s="65">
        <f t="shared" si="78"/>
        <v>289927.24678929674</v>
      </c>
      <c r="H95" s="65">
        <f t="shared" si="79"/>
        <v>295482.01256965369</v>
      </c>
      <c r="I95" s="65">
        <f t="shared" si="80"/>
        <v>301035.71729123394</v>
      </c>
      <c r="J95" s="65">
        <f t="shared" si="81"/>
        <v>311801.25279449602</v>
      </c>
      <c r="K95" s="65">
        <f t="shared" si="82"/>
        <v>327941.83772568358</v>
      </c>
      <c r="L95" s="65">
        <f t="shared" si="83"/>
        <v>354822.22615886584</v>
      </c>
      <c r="M95" s="65">
        <f t="shared" si="84"/>
        <v>372307.34331810661</v>
      </c>
      <c r="N95" s="65">
        <f t="shared" si="85"/>
        <v>389775.62774568051</v>
      </c>
      <c r="O95" s="65">
        <f t="shared" si="86"/>
        <v>402783.13426465663</v>
      </c>
      <c r="P95" s="65">
        <f t="shared" si="87"/>
        <v>415778.03187087172</v>
      </c>
    </row>
    <row r="96" spans="1:16" x14ac:dyDescent="0.3">
      <c r="A96" t="s">
        <v>462</v>
      </c>
      <c r="B96" t="s">
        <v>454</v>
      </c>
      <c r="C96" t="s">
        <v>449</v>
      </c>
      <c r="D96" t="s">
        <v>413</v>
      </c>
      <c r="E96" s="64">
        <f t="shared" si="76"/>
        <v>109984.86699326141</v>
      </c>
      <c r="F96" s="65">
        <f t="shared" si="77"/>
        <v>112166.26657597073</v>
      </c>
      <c r="G96" s="65">
        <f t="shared" si="78"/>
        <v>114357.68351537017</v>
      </c>
      <c r="H96" s="65">
        <f t="shared" si="79"/>
        <v>116548.68196117584</v>
      </c>
      <c r="I96" s="65">
        <f t="shared" si="80"/>
        <v>118739.26188742148</v>
      </c>
      <c r="J96" s="65">
        <f t="shared" si="81"/>
        <v>122985.57442130428</v>
      </c>
      <c r="K96" s="65">
        <f t="shared" si="82"/>
        <v>129351.99883899669</v>
      </c>
      <c r="L96" s="65">
        <f t="shared" si="83"/>
        <v>139954.58616824512</v>
      </c>
      <c r="M96" s="65">
        <f t="shared" si="84"/>
        <v>146851.34222159666</v>
      </c>
      <c r="N96" s="65">
        <f t="shared" si="85"/>
        <v>153741.45884308391</v>
      </c>
      <c r="O96" s="65">
        <f t="shared" si="86"/>
        <v>158872.08499255456</v>
      </c>
      <c r="P96" s="65">
        <f t="shared" si="87"/>
        <v>163997.73773552076</v>
      </c>
    </row>
    <row r="97" spans="1:16" x14ac:dyDescent="0.3">
      <c r="A97" t="s">
        <v>462</v>
      </c>
      <c r="B97" t="s">
        <v>454</v>
      </c>
      <c r="C97" t="s">
        <v>449</v>
      </c>
      <c r="D97" t="s">
        <v>414</v>
      </c>
      <c r="E97" s="64">
        <f t="shared" si="76"/>
        <v>366854.59963913716</v>
      </c>
      <c r="F97" s="65">
        <f t="shared" si="77"/>
        <v>374130.65945031861</v>
      </c>
      <c r="G97" s="65">
        <f t="shared" si="78"/>
        <v>381440.13216164225</v>
      </c>
      <c r="H97" s="65">
        <f t="shared" si="79"/>
        <v>388748.20898729563</v>
      </c>
      <c r="I97" s="65">
        <f t="shared" si="80"/>
        <v>396054.88984066789</v>
      </c>
      <c r="J97" s="65">
        <f t="shared" si="81"/>
        <v>410218.4682232801</v>
      </c>
      <c r="K97" s="65">
        <f t="shared" si="82"/>
        <v>431453.68125516456</v>
      </c>
      <c r="L97" s="65">
        <f t="shared" si="83"/>
        <v>466818.61859739665</v>
      </c>
      <c r="M97" s="65">
        <f t="shared" si="84"/>
        <v>489822.75316543772</v>
      </c>
      <c r="N97" s="65">
        <f t="shared" si="85"/>
        <v>512804.74190392066</v>
      </c>
      <c r="O97" s="65">
        <f t="shared" si="86"/>
        <v>529917.94896064675</v>
      </c>
      <c r="P97" s="65">
        <f t="shared" si="87"/>
        <v>547014.56721655012</v>
      </c>
    </row>
    <row r="98" spans="1:16" x14ac:dyDescent="0.3">
      <c r="A98" t="s">
        <v>462</v>
      </c>
      <c r="B98" t="s">
        <v>454</v>
      </c>
      <c r="C98" t="s">
        <v>449</v>
      </c>
      <c r="D98" t="s">
        <v>415</v>
      </c>
      <c r="E98" s="64">
        <f t="shared" si="76"/>
        <v>6169.5487674616998</v>
      </c>
      <c r="F98" s="65">
        <f t="shared" si="77"/>
        <v>6380.7625060534783</v>
      </c>
      <c r="G98" s="65">
        <f t="shared" si="78"/>
        <v>6550.732651705317</v>
      </c>
      <c r="H98" s="65">
        <f t="shared" si="79"/>
        <v>6722.4254920382537</v>
      </c>
      <c r="I98" s="65">
        <f t="shared" si="80"/>
        <v>6895.8411170982736</v>
      </c>
      <c r="J98" s="65">
        <f t="shared" si="81"/>
        <v>7239.9767406866549</v>
      </c>
      <c r="K98" s="65">
        <f t="shared" si="82"/>
        <v>7768.7115307941649</v>
      </c>
      <c r="L98" s="65">
        <f t="shared" si="83"/>
        <v>8683.3589478106278</v>
      </c>
      <c r="M98" s="65">
        <f t="shared" si="84"/>
        <v>9403.1533952500504</v>
      </c>
      <c r="N98" s="65">
        <f t="shared" si="85"/>
        <v>10150.27074087939</v>
      </c>
      <c r="O98" s="65">
        <f t="shared" si="86"/>
        <v>10805.500129230399</v>
      </c>
      <c r="P98" s="65">
        <f t="shared" si="87"/>
        <v>11481.191849685811</v>
      </c>
    </row>
    <row r="99" spans="1:16" x14ac:dyDescent="0.3">
      <c r="A99" t="s">
        <v>462</v>
      </c>
      <c r="B99" t="s">
        <v>454</v>
      </c>
      <c r="C99" t="s">
        <v>449</v>
      </c>
      <c r="D99" t="s">
        <v>416</v>
      </c>
      <c r="E99" s="64">
        <f t="shared" si="76"/>
        <v>12991.430520399988</v>
      </c>
      <c r="F99" s="65">
        <f t="shared" si="77"/>
        <v>13436.190536617181</v>
      </c>
      <c r="G99" s="65">
        <f t="shared" si="78"/>
        <v>13794.10250408942</v>
      </c>
      <c r="H99" s="65">
        <f t="shared" si="79"/>
        <v>14155.642008858284</v>
      </c>
      <c r="I99" s="65">
        <f t="shared" si="80"/>
        <v>14520.809240536702</v>
      </c>
      <c r="J99" s="65">
        <f t="shared" si="81"/>
        <v>15245.467430617335</v>
      </c>
      <c r="K99" s="65">
        <f t="shared" si="82"/>
        <v>16358.84241934055</v>
      </c>
      <c r="L99" s="65">
        <f t="shared" si="83"/>
        <v>18284.846867429464</v>
      </c>
      <c r="M99" s="65">
        <f t="shared" si="84"/>
        <v>19800.542731962887</v>
      </c>
      <c r="N99" s="65">
        <f t="shared" si="85"/>
        <v>21373.773360679119</v>
      </c>
      <c r="O99" s="65">
        <f t="shared" si="86"/>
        <v>22753.512365025872</v>
      </c>
      <c r="P99" s="65">
        <f t="shared" si="87"/>
        <v>24176.339604159213</v>
      </c>
    </row>
    <row r="100" spans="1:16" x14ac:dyDescent="0.3">
      <c r="A100" t="s">
        <v>462</v>
      </c>
      <c r="B100" t="s">
        <v>454</v>
      </c>
      <c r="C100" t="s">
        <v>449</v>
      </c>
      <c r="D100" t="s">
        <v>417</v>
      </c>
      <c r="E100" s="64">
        <f t="shared" si="76"/>
        <v>811.02993913950297</v>
      </c>
      <c r="F100" s="65">
        <f t="shared" si="77"/>
        <v>838.79544874353758</v>
      </c>
      <c r="G100" s="65">
        <f t="shared" si="78"/>
        <v>861.13920224631761</v>
      </c>
      <c r="H100" s="65">
        <f t="shared" si="79"/>
        <v>883.70941590283417</v>
      </c>
      <c r="I100" s="65">
        <f t="shared" si="80"/>
        <v>906.50610155025663</v>
      </c>
      <c r="J100" s="65">
        <f t="shared" si="81"/>
        <v>951.74511405739838</v>
      </c>
      <c r="K100" s="65">
        <f t="shared" si="82"/>
        <v>1021.2509662363186</v>
      </c>
      <c r="L100" s="65">
        <f t="shared" si="83"/>
        <v>1141.4877075145896</v>
      </c>
      <c r="M100" s="65">
        <f t="shared" si="84"/>
        <v>1236.1096756524519</v>
      </c>
      <c r="N100" s="65">
        <f t="shared" si="85"/>
        <v>1334.323428099234</v>
      </c>
      <c r="O100" s="65">
        <f t="shared" si="86"/>
        <v>1420.4578717978397</v>
      </c>
      <c r="P100" s="65">
        <f t="shared" si="87"/>
        <v>1509.2822308511659</v>
      </c>
    </row>
    <row r="101" spans="1:16" x14ac:dyDescent="0.3">
      <c r="A101" t="s">
        <v>462</v>
      </c>
      <c r="B101" t="s">
        <v>454</v>
      </c>
      <c r="C101" t="s">
        <v>449</v>
      </c>
      <c r="D101" t="s">
        <v>418</v>
      </c>
      <c r="E101" s="64">
        <f t="shared" si="76"/>
        <v>965.15883460772625</v>
      </c>
      <c r="F101" s="65">
        <f t="shared" si="77"/>
        <v>1009.7089835254543</v>
      </c>
      <c r="G101" s="65">
        <f t="shared" si="78"/>
        <v>1042.3922242318074</v>
      </c>
      <c r="H101" s="65">
        <f t="shared" si="79"/>
        <v>1075.5711318384201</v>
      </c>
      <c r="I101" s="65">
        <f t="shared" si="80"/>
        <v>1109.2457322837404</v>
      </c>
      <c r="J101" s="65">
        <f t="shared" si="81"/>
        <v>1176.803825915583</v>
      </c>
      <c r="K101" s="65">
        <f t="shared" si="82"/>
        <v>1281.7465847262815</v>
      </c>
      <c r="L101" s="65">
        <f t="shared" si="83"/>
        <v>1466.2678418019846</v>
      </c>
      <c r="M101" s="65">
        <f t="shared" si="84"/>
        <v>1621.993367636788</v>
      </c>
      <c r="N101" s="65">
        <f t="shared" si="85"/>
        <v>1785.5804606186462</v>
      </c>
      <c r="O101" s="65">
        <f t="shared" si="86"/>
        <v>1935.6747138053993</v>
      </c>
      <c r="P101" s="65">
        <f t="shared" si="87"/>
        <v>2091.6565639780315</v>
      </c>
    </row>
    <row r="102" spans="1:16" x14ac:dyDescent="0.3">
      <c r="A102" t="s">
        <v>462</v>
      </c>
      <c r="B102" t="s">
        <v>454</v>
      </c>
      <c r="C102" t="s">
        <v>449</v>
      </c>
      <c r="D102" t="s">
        <v>419</v>
      </c>
      <c r="E102" s="64">
        <f t="shared" si="76"/>
        <v>5130.6068775916465</v>
      </c>
      <c r="F102" s="65">
        <f t="shared" si="77"/>
        <v>5367.4272767210032</v>
      </c>
      <c r="G102" s="65">
        <f t="shared" si="78"/>
        <v>5541.165374055161</v>
      </c>
      <c r="H102" s="65">
        <f t="shared" si="79"/>
        <v>5717.5383454807925</v>
      </c>
      <c r="I102" s="65">
        <f t="shared" si="80"/>
        <v>5896.5463288819201</v>
      </c>
      <c r="J102" s="65">
        <f t="shared" si="81"/>
        <v>6255.6727310822216</v>
      </c>
      <c r="K102" s="65">
        <f t="shared" si="82"/>
        <v>6813.5291385474693</v>
      </c>
      <c r="L102" s="65">
        <f t="shared" si="83"/>
        <v>7794.4102087593283</v>
      </c>
      <c r="M102" s="65">
        <f t="shared" si="84"/>
        <v>8622.2184670646457</v>
      </c>
      <c r="N102" s="65">
        <f t="shared" si="85"/>
        <v>9491.8173706265297</v>
      </c>
      <c r="O102" s="65">
        <f t="shared" si="86"/>
        <v>10289.69081909361</v>
      </c>
      <c r="P102" s="65">
        <f t="shared" si="87"/>
        <v>11118.861650442252</v>
      </c>
    </row>
    <row r="103" spans="1:16" x14ac:dyDescent="0.3">
      <c r="A103" t="s">
        <v>462</v>
      </c>
      <c r="B103" t="s">
        <v>459</v>
      </c>
      <c r="C103" t="s">
        <v>449</v>
      </c>
      <c r="D103" t="s">
        <v>407</v>
      </c>
      <c r="E103" s="64">
        <f t="shared" ref="E103:E115" si="88">E$89*V$31*AH9</f>
        <v>200665.8370182736</v>
      </c>
      <c r="F103" s="65">
        <f t="shared" ref="F103:F115" si="89">F$89*($AH9+($AI9-$AH9)*2/35)*($V$31+($W$31-$V$31)*2/35)</f>
        <v>204645.71941824909</v>
      </c>
      <c r="G103" s="65">
        <f t="shared" ref="G103:G115" si="90">G$89*($AH9+($AI9-$AH9)*3/35)*($V$31+($W$31-$V$31)*3/35)</f>
        <v>208643.90436503236</v>
      </c>
      <c r="H103" s="65">
        <f t="shared" ref="H103:H115" si="91">H$89*($AH9+($AI9-$AH9)*4/35)*($V$31+($W$31-$V$31)*4/35)</f>
        <v>212641.32646300623</v>
      </c>
      <c r="I103" s="65">
        <f t="shared" ref="I103:I115" si="92">I$89*($AH9+($AI9-$AH9)*5/35)*($V$31+($W$31-$V$31)*5/35)</f>
        <v>216637.98575464936</v>
      </c>
      <c r="J103" s="65">
        <f t="shared" ref="J103:J115" si="93">J$89*($AH9+($AI9-$AH9)*7/35)*($V$31+($W$31-$V$31)*7/35)</f>
        <v>224385.280176609</v>
      </c>
      <c r="K103" s="65">
        <f t="shared" ref="K103:K115" si="94">K$89*($AH9+($AI9-$AH9)*10/35)*($V$31+($W$31-$V$31)*10/35)</f>
        <v>236000.67556977869</v>
      </c>
      <c r="L103" s="65">
        <f t="shared" ref="L103:L115" si="95">L$89*($AH9+($AI9-$AH9)*15/35)*($V$31+($W$31-$V$31)*15/35)</f>
        <v>255344.88066498443</v>
      </c>
      <c r="M103" s="65">
        <f t="shared" ref="M103:M115" si="96">M$89*($AH9+($AI9-$AH9)*20/35)*($V$31+($W$31-$V$31)*20/35)</f>
        <v>267927.90048352524</v>
      </c>
      <c r="N103" s="65">
        <f t="shared" ref="N103:N115" si="97">N$89*($AH9+($AI9-$AH9)*25/35)*($V$31+($W$31-$V$31)*25/35)</f>
        <v>280498.85913946904</v>
      </c>
      <c r="O103" s="65">
        <f t="shared" ref="O103:O115" si="98">O$89*($AH9+($AI9-$AH9)*30/35)*($V$31+($W$31-$V$31)*30/35)</f>
        <v>289859.71356501325</v>
      </c>
      <c r="P103" s="65">
        <f t="shared" ref="P103:P115" si="99">P$89*W$31*AH9</f>
        <v>299943.88837890961</v>
      </c>
    </row>
    <row r="104" spans="1:16" x14ac:dyDescent="0.3">
      <c r="A104" t="s">
        <v>462</v>
      </c>
      <c r="B104" t="s">
        <v>459</v>
      </c>
      <c r="C104" t="s">
        <v>449</v>
      </c>
      <c r="D104" t="s">
        <v>408</v>
      </c>
      <c r="E104" s="64">
        <f t="shared" si="88"/>
        <v>25567.249860032167</v>
      </c>
      <c r="F104" s="65">
        <f t="shared" si="89"/>
        <v>26074.334918683442</v>
      </c>
      <c r="G104" s="65">
        <f t="shared" si="90"/>
        <v>26583.751942726834</v>
      </c>
      <c r="H104" s="65">
        <f t="shared" si="91"/>
        <v>27093.071770623621</v>
      </c>
      <c r="I104" s="65">
        <f t="shared" si="92"/>
        <v>27602.294407786081</v>
      </c>
      <c r="J104" s="65">
        <f t="shared" si="93"/>
        <v>28589.393234216801</v>
      </c>
      <c r="K104" s="65">
        <f t="shared" si="94"/>
        <v>30069.334815967901</v>
      </c>
      <c r="L104" s="65">
        <f t="shared" si="95"/>
        <v>32534.020047703638</v>
      </c>
      <c r="M104" s="65">
        <f t="shared" si="96"/>
        <v>34137.248661376769</v>
      </c>
      <c r="N104" s="65">
        <f t="shared" si="97"/>
        <v>35738.940537345559</v>
      </c>
      <c r="O104" s="65">
        <f t="shared" si="98"/>
        <v>36931.626385407872</v>
      </c>
      <c r="P104" s="65">
        <f t="shared" si="99"/>
        <v>38216.471982098425</v>
      </c>
    </row>
    <row r="105" spans="1:16" x14ac:dyDescent="0.3">
      <c r="A105" t="s">
        <v>462</v>
      </c>
      <c r="B105" t="s">
        <v>459</v>
      </c>
      <c r="C105" t="s">
        <v>449</v>
      </c>
      <c r="D105" t="s">
        <v>409</v>
      </c>
      <c r="E105" s="64">
        <f t="shared" si="88"/>
        <v>304178.62889115768</v>
      </c>
      <c r="F105" s="65">
        <f t="shared" si="89"/>
        <v>310211.5201374258</v>
      </c>
      <c r="G105" s="65">
        <f t="shared" si="90"/>
        <v>316272.15523723635</v>
      </c>
      <c r="H105" s="65">
        <f t="shared" si="91"/>
        <v>322331.63397526473</v>
      </c>
      <c r="I105" s="65">
        <f t="shared" si="92"/>
        <v>328389.95641590218</v>
      </c>
      <c r="J105" s="65">
        <f t="shared" si="93"/>
        <v>340133.66640612448</v>
      </c>
      <c r="K105" s="65">
        <f t="shared" si="94"/>
        <v>357740.82414270169</v>
      </c>
      <c r="L105" s="65">
        <f t="shared" si="95"/>
        <v>387063.67186945857</v>
      </c>
      <c r="M105" s="65">
        <f t="shared" si="96"/>
        <v>406137.59981149022</v>
      </c>
      <c r="N105" s="65">
        <f t="shared" si="97"/>
        <v>425193.24488108035</v>
      </c>
      <c r="O105" s="65">
        <f t="shared" si="98"/>
        <v>439382.8643336058</v>
      </c>
      <c r="P105" s="65">
        <f t="shared" si="99"/>
        <v>454668.92654513358</v>
      </c>
    </row>
    <row r="106" spans="1:16" x14ac:dyDescent="0.3">
      <c r="A106" t="s">
        <v>462</v>
      </c>
      <c r="B106" t="s">
        <v>459</v>
      </c>
      <c r="C106" t="s">
        <v>449</v>
      </c>
      <c r="D106" t="s">
        <v>410</v>
      </c>
      <c r="E106" s="64">
        <f t="shared" si="88"/>
        <v>57843.45289805247</v>
      </c>
      <c r="F106" s="65">
        <f t="shared" si="89"/>
        <v>58990.684253242289</v>
      </c>
      <c r="G106" s="65">
        <f t="shared" si="90"/>
        <v>60143.191456677705</v>
      </c>
      <c r="H106" s="65">
        <f t="shared" si="91"/>
        <v>61295.478763144965</v>
      </c>
      <c r="I106" s="65">
        <f t="shared" si="92"/>
        <v>62447.546184888852</v>
      </c>
      <c r="J106" s="65">
        <f t="shared" si="93"/>
        <v>64680.762693701763</v>
      </c>
      <c r="K106" s="65">
        <f t="shared" si="94"/>
        <v>68028.988711147293</v>
      </c>
      <c r="L106" s="65">
        <f t="shared" si="95"/>
        <v>73605.102876374658</v>
      </c>
      <c r="M106" s="65">
        <f t="shared" si="96"/>
        <v>77232.253989908451</v>
      </c>
      <c r="N106" s="65">
        <f t="shared" si="97"/>
        <v>80855.92838163978</v>
      </c>
      <c r="O106" s="65">
        <f t="shared" si="98"/>
        <v>83554.265827092386</v>
      </c>
      <c r="P106" s="65">
        <f t="shared" si="99"/>
        <v>86461.105872865708</v>
      </c>
    </row>
    <row r="107" spans="1:16" x14ac:dyDescent="0.3">
      <c r="A107" t="s">
        <v>462</v>
      </c>
      <c r="B107" t="s">
        <v>459</v>
      </c>
      <c r="C107" t="s">
        <v>449</v>
      </c>
      <c r="D107" t="s">
        <v>411</v>
      </c>
      <c r="E107" s="64">
        <f t="shared" si="88"/>
        <v>85215.907309292612</v>
      </c>
      <c r="F107" s="65">
        <f t="shared" si="89"/>
        <v>86906.027036385552</v>
      </c>
      <c r="G107" s="65">
        <f t="shared" si="90"/>
        <v>88603.919228166371</v>
      </c>
      <c r="H107" s="65">
        <f t="shared" si="91"/>
        <v>90301.487464188729</v>
      </c>
      <c r="I107" s="65">
        <f t="shared" si="92"/>
        <v>91998.731762491807</v>
      </c>
      <c r="J107" s="65">
        <f t="shared" si="93"/>
        <v>95288.742325173662</v>
      </c>
      <c r="K107" s="65">
        <f t="shared" si="94"/>
        <v>100221.40287114889</v>
      </c>
      <c r="L107" s="65">
        <f t="shared" si="95"/>
        <v>108436.22415243597</v>
      </c>
      <c r="M107" s="65">
        <f t="shared" si="96"/>
        <v>113779.80164654682</v>
      </c>
      <c r="N107" s="65">
        <f t="shared" si="97"/>
        <v>119118.25717804971</v>
      </c>
      <c r="O107" s="65">
        <f t="shared" si="98"/>
        <v>123093.49140284861</v>
      </c>
      <c r="P107" s="65">
        <f t="shared" si="99"/>
        <v>127375.89501973054</v>
      </c>
    </row>
    <row r="108" spans="1:16" x14ac:dyDescent="0.3">
      <c r="A108" t="s">
        <v>462</v>
      </c>
      <c r="B108" t="s">
        <v>459</v>
      </c>
      <c r="C108" t="s">
        <v>449</v>
      </c>
      <c r="D108" t="s">
        <v>412</v>
      </c>
      <c r="E108" s="64">
        <f t="shared" si="88"/>
        <v>127404.51533443024</v>
      </c>
      <c r="F108" s="65">
        <f t="shared" si="89"/>
        <v>129931.37788259151</v>
      </c>
      <c r="G108" s="65">
        <f t="shared" si="90"/>
        <v>132469.86087965468</v>
      </c>
      <c r="H108" s="65">
        <f t="shared" si="91"/>
        <v>135007.85953725936</v>
      </c>
      <c r="I108" s="65">
        <f t="shared" si="92"/>
        <v>137545.37388237566</v>
      </c>
      <c r="J108" s="65">
        <f t="shared" si="93"/>
        <v>142464.19965585807</v>
      </c>
      <c r="K108" s="65">
        <f t="shared" si="94"/>
        <v>149838.91695938091</v>
      </c>
      <c r="L108" s="65">
        <f t="shared" si="95"/>
        <v>162120.72392416123</v>
      </c>
      <c r="M108" s="65">
        <f t="shared" si="96"/>
        <v>170109.79453650827</v>
      </c>
      <c r="N108" s="65">
        <f t="shared" si="97"/>
        <v>178091.20741001013</v>
      </c>
      <c r="O108" s="65">
        <f t="shared" si="98"/>
        <v>184034.49670590562</v>
      </c>
      <c r="P108" s="65">
        <f t="shared" si="99"/>
        <v>190437.02851601719</v>
      </c>
    </row>
    <row r="109" spans="1:16" x14ac:dyDescent="0.3">
      <c r="A109" t="s">
        <v>462</v>
      </c>
      <c r="B109" t="s">
        <v>459</v>
      </c>
      <c r="C109" t="s">
        <v>449</v>
      </c>
      <c r="D109" t="s">
        <v>413</v>
      </c>
      <c r="E109" s="64">
        <f t="shared" si="88"/>
        <v>32032.990773245481</v>
      </c>
      <c r="F109" s="65">
        <f t="shared" si="89"/>
        <v>32668.3133477872</v>
      </c>
      <c r="G109" s="65">
        <f t="shared" si="90"/>
        <v>33306.557622014974</v>
      </c>
      <c r="H109" s="65">
        <f t="shared" si="91"/>
        <v>33944.680120013996</v>
      </c>
      <c r="I109" s="65">
        <f t="shared" si="92"/>
        <v>34582.680848565265</v>
      </c>
      <c r="J109" s="65">
        <f t="shared" si="93"/>
        <v>35819.408606632285</v>
      </c>
      <c r="K109" s="65">
        <f t="shared" si="94"/>
        <v>37673.614878042201</v>
      </c>
      <c r="L109" s="65">
        <f t="shared" si="95"/>
        <v>40761.598126900186</v>
      </c>
      <c r="M109" s="65">
        <f t="shared" si="96"/>
        <v>42770.269676259028</v>
      </c>
      <c r="N109" s="65">
        <f t="shared" si="97"/>
        <v>44777.015859965577</v>
      </c>
      <c r="O109" s="65">
        <f t="shared" si="98"/>
        <v>46271.321855937618</v>
      </c>
      <c r="P109" s="65">
        <f t="shared" si="99"/>
        <v>47881.094020294171</v>
      </c>
    </row>
    <row r="110" spans="1:16" x14ac:dyDescent="0.3">
      <c r="A110" t="s">
        <v>462</v>
      </c>
      <c r="B110" t="s">
        <v>459</v>
      </c>
      <c r="C110" t="s">
        <v>449</v>
      </c>
      <c r="D110" t="s">
        <v>414</v>
      </c>
      <c r="E110" s="64">
        <f t="shared" si="88"/>
        <v>509157.58590548305</v>
      </c>
      <c r="F110" s="65">
        <f t="shared" si="89"/>
        <v>519255.90331251989</v>
      </c>
      <c r="G110" s="65">
        <f t="shared" si="90"/>
        <v>529400.66051562282</v>
      </c>
      <c r="H110" s="65">
        <f t="shared" si="91"/>
        <v>539543.48211142968</v>
      </c>
      <c r="I110" s="65">
        <f t="shared" si="92"/>
        <v>549684.36820772314</v>
      </c>
      <c r="J110" s="65">
        <f t="shared" si="93"/>
        <v>569341.89329419204</v>
      </c>
      <c r="K110" s="65">
        <f t="shared" si="94"/>
        <v>598814.1082242569</v>
      </c>
      <c r="L110" s="65">
        <f t="shared" si="95"/>
        <v>647896.94620947191</v>
      </c>
      <c r="M110" s="65">
        <f t="shared" si="96"/>
        <v>679824.35393072548</v>
      </c>
      <c r="N110" s="65">
        <f t="shared" si="97"/>
        <v>711721.15837380115</v>
      </c>
      <c r="O110" s="65">
        <f t="shared" si="98"/>
        <v>735472.83485318476</v>
      </c>
      <c r="P110" s="65">
        <f t="shared" si="99"/>
        <v>761059.82155897317</v>
      </c>
    </row>
    <row r="111" spans="1:16" x14ac:dyDescent="0.3">
      <c r="A111" t="s">
        <v>462</v>
      </c>
      <c r="B111" t="s">
        <v>459</v>
      </c>
      <c r="C111" t="s">
        <v>449</v>
      </c>
      <c r="D111" t="s">
        <v>415</v>
      </c>
      <c r="E111" s="64">
        <f t="shared" si="88"/>
        <v>4224.5142651768783</v>
      </c>
      <c r="F111" s="65">
        <f t="shared" si="89"/>
        <v>4369.2248063458792</v>
      </c>
      <c r="G111" s="65">
        <f t="shared" si="90"/>
        <v>4485.6505183624877</v>
      </c>
      <c r="H111" s="65">
        <f t="shared" si="91"/>
        <v>4603.2546647883009</v>
      </c>
      <c r="I111" s="65">
        <f t="shared" si="92"/>
        <v>4722.0371558885909</v>
      </c>
      <c r="J111" s="65">
        <f t="shared" si="93"/>
        <v>4957.7515130026031</v>
      </c>
      <c r="K111" s="65">
        <f t="shared" si="94"/>
        <v>5319.8899163443411</v>
      </c>
      <c r="L111" s="65">
        <f t="shared" si="95"/>
        <v>5946.2931015862987</v>
      </c>
      <c r="M111" s="65">
        <f t="shared" si="96"/>
        <v>6439.1864948614839</v>
      </c>
      <c r="N111" s="65">
        <f t="shared" si="97"/>
        <v>6950.700603694092</v>
      </c>
      <c r="O111" s="65">
        <f t="shared" si="98"/>
        <v>7399.1924147480795</v>
      </c>
      <c r="P111" s="65">
        <f t="shared" si="99"/>
        <v>6314.5638243042604</v>
      </c>
    </row>
    <row r="112" spans="1:16" x14ac:dyDescent="0.3">
      <c r="A112" t="s">
        <v>462</v>
      </c>
      <c r="B112" t="s">
        <v>459</v>
      </c>
      <c r="C112" t="s">
        <v>449</v>
      </c>
      <c r="D112" t="s">
        <v>416</v>
      </c>
      <c r="E112" s="64">
        <f t="shared" si="88"/>
        <v>4450.4706367004883</v>
      </c>
      <c r="F112" s="65">
        <f t="shared" si="89"/>
        <v>4602.9213029468992</v>
      </c>
      <c r="G112" s="65">
        <f t="shared" si="90"/>
        <v>4725.5742708769685</v>
      </c>
      <c r="H112" s="65">
        <f t="shared" si="91"/>
        <v>4849.4687040752879</v>
      </c>
      <c r="I112" s="65">
        <f t="shared" si="92"/>
        <v>4974.6045080074928</v>
      </c>
      <c r="J112" s="65">
        <f t="shared" si="93"/>
        <v>5222.9265064990113</v>
      </c>
      <c r="K112" s="65">
        <f t="shared" si="94"/>
        <v>5604.4345875059353</v>
      </c>
      <c r="L112" s="65">
        <f t="shared" si="95"/>
        <v>6264.3421668541778</v>
      </c>
      <c r="M112" s="65">
        <f t="shared" si="96"/>
        <v>6783.5989230396226</v>
      </c>
      <c r="N112" s="65">
        <f t="shared" si="97"/>
        <v>7322.4723600126736</v>
      </c>
      <c r="O112" s="65">
        <f t="shared" si="98"/>
        <v>7794.9526288922534</v>
      </c>
      <c r="P112" s="65">
        <f t="shared" si="99"/>
        <v>6652.3105662801217</v>
      </c>
    </row>
    <row r="113" spans="1:16" x14ac:dyDescent="0.3">
      <c r="A113" t="s">
        <v>462</v>
      </c>
      <c r="B113" t="s">
        <v>459</v>
      </c>
      <c r="C113" t="s">
        <v>449</v>
      </c>
      <c r="D113" t="s">
        <v>417</v>
      </c>
      <c r="E113" s="64">
        <f t="shared" si="88"/>
        <v>100.13291134348832</v>
      </c>
      <c r="F113" s="65">
        <f t="shared" si="89"/>
        <v>103.56295959987339</v>
      </c>
      <c r="G113" s="65">
        <f t="shared" si="90"/>
        <v>106.32257757431367</v>
      </c>
      <c r="H113" s="65">
        <f t="shared" si="91"/>
        <v>109.11012777026251</v>
      </c>
      <c r="I113" s="65">
        <f t="shared" si="92"/>
        <v>111.92560806075362</v>
      </c>
      <c r="J113" s="65">
        <f t="shared" si="93"/>
        <v>117.51270360398443</v>
      </c>
      <c r="K113" s="65">
        <f t="shared" si="94"/>
        <v>126.09640586173319</v>
      </c>
      <c r="L113" s="65">
        <f t="shared" si="95"/>
        <v>140.94392931079543</v>
      </c>
      <c r="M113" s="65">
        <f t="shared" si="96"/>
        <v>152.62689387253272</v>
      </c>
      <c r="N113" s="65">
        <f t="shared" si="97"/>
        <v>164.75122194804331</v>
      </c>
      <c r="O113" s="65">
        <f t="shared" si="98"/>
        <v>175.38174369222043</v>
      </c>
      <c r="P113" s="65">
        <f t="shared" si="99"/>
        <v>149.67298484560405</v>
      </c>
    </row>
    <row r="114" spans="1:16" x14ac:dyDescent="0.3">
      <c r="A114" t="s">
        <v>462</v>
      </c>
      <c r="B114" t="s">
        <v>459</v>
      </c>
      <c r="C114" t="s">
        <v>449</v>
      </c>
      <c r="D114" t="s">
        <v>418</v>
      </c>
      <c r="E114" s="64">
        <f t="shared" si="88"/>
        <v>396.6237461281811</v>
      </c>
      <c r="F114" s="65">
        <f t="shared" si="89"/>
        <v>414.94588656471586</v>
      </c>
      <c r="G114" s="65">
        <f t="shared" si="90"/>
        <v>428.38385610749242</v>
      </c>
      <c r="H114" s="65">
        <f t="shared" si="91"/>
        <v>442.02531598226017</v>
      </c>
      <c r="I114" s="65">
        <f t="shared" si="92"/>
        <v>455.87025071930344</v>
      </c>
      <c r="J114" s="65">
        <f t="shared" si="93"/>
        <v>483.64512898052601</v>
      </c>
      <c r="K114" s="65">
        <f t="shared" si="94"/>
        <v>526.78676147440217</v>
      </c>
      <c r="L114" s="65">
        <f t="shared" si="95"/>
        <v>602.63332255031037</v>
      </c>
      <c r="M114" s="65">
        <f t="shared" si="96"/>
        <v>666.63152980961115</v>
      </c>
      <c r="N114" s="65">
        <f t="shared" si="97"/>
        <v>733.84514682644249</v>
      </c>
      <c r="O114" s="65">
        <f t="shared" si="98"/>
        <v>795.49617295408086</v>
      </c>
      <c r="P114" s="65">
        <f t="shared" si="99"/>
        <v>592.85063369437739</v>
      </c>
    </row>
    <row r="115" spans="1:16" x14ac:dyDescent="0.3">
      <c r="A115" t="s">
        <v>462</v>
      </c>
      <c r="B115" t="s">
        <v>459</v>
      </c>
      <c r="C115" t="s">
        <v>449</v>
      </c>
      <c r="D115" t="s">
        <v>419</v>
      </c>
      <c r="E115" s="64">
        <f t="shared" si="88"/>
        <v>2108.3788975816346</v>
      </c>
      <c r="F115" s="65">
        <f t="shared" si="89"/>
        <v>2205.7760268055426</v>
      </c>
      <c r="G115" s="65">
        <f t="shared" si="90"/>
        <v>2277.2098017292915</v>
      </c>
      <c r="H115" s="65">
        <f t="shared" si="91"/>
        <v>2349.7252938371994</v>
      </c>
      <c r="I115" s="65">
        <f t="shared" si="92"/>
        <v>2423.3224208951019</v>
      </c>
      <c r="J115" s="65">
        <f t="shared" si="93"/>
        <v>2570.9685660906925</v>
      </c>
      <c r="K115" s="65">
        <f t="shared" si="94"/>
        <v>2800.3015509289585</v>
      </c>
      <c r="L115" s="65">
        <f t="shared" si="95"/>
        <v>3203.487921860215</v>
      </c>
      <c r="M115" s="65">
        <f t="shared" si="96"/>
        <v>3543.6906227468071</v>
      </c>
      <c r="N115" s="65">
        <f t="shared" si="97"/>
        <v>3900.985850608989</v>
      </c>
      <c r="O115" s="65">
        <f t="shared" si="98"/>
        <v>4228.7113682328336</v>
      </c>
      <c r="P115" s="65">
        <f t="shared" si="99"/>
        <v>3151.4849468825396</v>
      </c>
    </row>
  </sheetData>
  <mergeCells count="16">
    <mergeCell ref="A6:C6"/>
    <mergeCell ref="A47:C47"/>
    <mergeCell ref="A88:C88"/>
    <mergeCell ref="T5:AE5"/>
    <mergeCell ref="AF5:AI5"/>
    <mergeCell ref="T6:Y6"/>
    <mergeCell ref="Z6:AE6"/>
    <mergeCell ref="AF6:AI6"/>
    <mergeCell ref="AD7:AE7"/>
    <mergeCell ref="AF7:AG7"/>
    <mergeCell ref="AH7:AI7"/>
    <mergeCell ref="T7:U7"/>
    <mergeCell ref="V7:W7"/>
    <mergeCell ref="X7:Y7"/>
    <mergeCell ref="Z7:AA7"/>
    <mergeCell ref="AB7:AC7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P111"/>
  <sheetViews>
    <sheetView tabSelected="1" zoomScale="55" zoomScaleNormal="55" workbookViewId="0">
      <selection activeCell="AI23" sqref="AI23"/>
    </sheetView>
  </sheetViews>
  <sheetFormatPr baseColWidth="10" defaultColWidth="9.21875" defaultRowHeight="14.4" x14ac:dyDescent="0.3"/>
  <cols>
    <col min="1" max="1" width="17.21875" customWidth="1"/>
    <col min="2" max="2" width="29.5546875" customWidth="1"/>
    <col min="3" max="3" width="13.21875" customWidth="1"/>
    <col min="4" max="7" width="11.5546875" hidden="1" customWidth="1"/>
    <col min="8" max="8" width="8.44140625" customWidth="1"/>
    <col min="9" max="12" width="11.5546875" hidden="1" customWidth="1"/>
    <col min="13" max="13" width="8.44140625" customWidth="1"/>
    <col min="14" max="17" width="11.5546875" hidden="1" customWidth="1"/>
    <col min="18" max="18" width="8.44140625" customWidth="1"/>
    <col min="19" max="22" width="11.5546875" hidden="1" customWidth="1"/>
    <col min="23" max="23" width="8.44140625" customWidth="1"/>
    <col min="24" max="27" width="11.5546875" hidden="1" customWidth="1"/>
    <col min="28" max="28" width="8.44140625" customWidth="1"/>
    <col min="29" max="32" width="11.5546875" hidden="1" customWidth="1"/>
    <col min="33" max="34" width="8.44140625" customWidth="1"/>
    <col min="35" max="35" width="14.5546875" customWidth="1"/>
    <col min="36" max="36" width="17.44140625" customWidth="1"/>
    <col min="37" max="37" width="16.77734375" customWidth="1"/>
    <col min="38" max="38" width="9.77734375" customWidth="1"/>
    <col min="39" max="46" width="8.44140625" customWidth="1"/>
    <col min="47" max="47" width="13.21875" customWidth="1"/>
    <col min="48" max="1025" width="8.44140625" customWidth="1"/>
  </cols>
  <sheetData>
    <row r="3" spans="1:38" x14ac:dyDescent="0.3">
      <c r="AH3" s="195"/>
      <c r="AJ3" s="195"/>
      <c r="AK3" s="195"/>
      <c r="AL3" s="195"/>
    </row>
    <row r="4" spans="1:38" ht="26.1" customHeight="1" x14ac:dyDescent="0.3">
      <c r="B4" s="219" t="s">
        <v>0</v>
      </c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</row>
    <row r="7" spans="1:38" x14ac:dyDescent="0.3">
      <c r="A7" s="1" t="s">
        <v>1</v>
      </c>
      <c r="AK7" s="220" t="s">
        <v>2</v>
      </c>
      <c r="AL7" s="220"/>
    </row>
    <row r="8" spans="1:38" x14ac:dyDescent="0.3">
      <c r="B8" s="3"/>
      <c r="C8" s="4">
        <v>2020</v>
      </c>
      <c r="D8" s="4">
        <f t="shared" ref="D8:AG8" si="0">C8+1</f>
        <v>2021</v>
      </c>
      <c r="E8" s="4">
        <f t="shared" si="0"/>
        <v>2022</v>
      </c>
      <c r="F8" s="4">
        <f t="shared" si="0"/>
        <v>2023</v>
      </c>
      <c r="G8" s="4">
        <f t="shared" si="0"/>
        <v>2024</v>
      </c>
      <c r="H8" s="4">
        <f t="shared" si="0"/>
        <v>2025</v>
      </c>
      <c r="I8" s="4">
        <f t="shared" si="0"/>
        <v>2026</v>
      </c>
      <c r="J8" s="4">
        <f t="shared" si="0"/>
        <v>2027</v>
      </c>
      <c r="K8" s="4">
        <f t="shared" si="0"/>
        <v>2028</v>
      </c>
      <c r="L8" s="4">
        <f t="shared" si="0"/>
        <v>2029</v>
      </c>
      <c r="M8" s="4">
        <f t="shared" si="0"/>
        <v>2030</v>
      </c>
      <c r="N8" s="4">
        <f t="shared" si="0"/>
        <v>2031</v>
      </c>
      <c r="O8" s="4">
        <f t="shared" si="0"/>
        <v>2032</v>
      </c>
      <c r="P8" s="4">
        <f t="shared" si="0"/>
        <v>2033</v>
      </c>
      <c r="Q8" s="4">
        <f t="shared" si="0"/>
        <v>2034</v>
      </c>
      <c r="R8" s="4">
        <f t="shared" si="0"/>
        <v>2035</v>
      </c>
      <c r="S8" s="4">
        <f t="shared" si="0"/>
        <v>2036</v>
      </c>
      <c r="T8" s="4">
        <f t="shared" si="0"/>
        <v>2037</v>
      </c>
      <c r="U8" s="4">
        <f t="shared" si="0"/>
        <v>2038</v>
      </c>
      <c r="V8" s="4">
        <f t="shared" si="0"/>
        <v>2039</v>
      </c>
      <c r="W8" s="4">
        <f t="shared" si="0"/>
        <v>2040</v>
      </c>
      <c r="X8" s="4">
        <f t="shared" si="0"/>
        <v>2041</v>
      </c>
      <c r="Y8" s="4">
        <f t="shared" si="0"/>
        <v>2042</v>
      </c>
      <c r="Z8" s="4">
        <f t="shared" si="0"/>
        <v>2043</v>
      </c>
      <c r="AA8" s="4">
        <f t="shared" si="0"/>
        <v>2044</v>
      </c>
      <c r="AB8" s="4">
        <f t="shared" si="0"/>
        <v>2045</v>
      </c>
      <c r="AC8" s="4">
        <f t="shared" si="0"/>
        <v>2046</v>
      </c>
      <c r="AD8" s="4">
        <f t="shared" si="0"/>
        <v>2047</v>
      </c>
      <c r="AE8" s="4">
        <f t="shared" si="0"/>
        <v>2048</v>
      </c>
      <c r="AF8" s="4">
        <f t="shared" si="0"/>
        <v>2049</v>
      </c>
      <c r="AG8" s="4">
        <f t="shared" si="0"/>
        <v>2050</v>
      </c>
      <c r="AI8" s="221" t="s">
        <v>3</v>
      </c>
      <c r="AJ8" s="221"/>
      <c r="AK8" s="6" t="s">
        <v>4</v>
      </c>
      <c r="AL8" s="6" t="s">
        <v>5</v>
      </c>
    </row>
    <row r="9" spans="1:38" ht="12.75" customHeight="1" x14ac:dyDescent="0.3">
      <c r="A9" s="222" t="s">
        <v>6</v>
      </c>
      <c r="B9" s="5" t="s">
        <v>7</v>
      </c>
      <c r="C9" s="125">
        <v>65.150087834546284</v>
      </c>
      <c r="D9" s="8">
        <v>65.247469351111903</v>
      </c>
      <c r="E9" s="8">
        <v>65.342741639642554</v>
      </c>
      <c r="F9" s="8">
        <v>65.534661867556267</v>
      </c>
      <c r="G9" s="8">
        <v>65.627741060095417</v>
      </c>
      <c r="H9" s="125">
        <v>65.818451644818211</v>
      </c>
      <c r="I9" s="8">
        <v>65.913171297975765</v>
      </c>
      <c r="J9" s="8">
        <v>66.006080689974539</v>
      </c>
      <c r="K9" s="8">
        <v>66.098745760265572</v>
      </c>
      <c r="L9" s="8">
        <v>66.191547430545569</v>
      </c>
      <c r="M9" s="125">
        <v>66.381694954194302</v>
      </c>
      <c r="N9" s="8">
        <v>66.474444683136412</v>
      </c>
      <c r="O9" s="8">
        <v>66.470130575159288</v>
      </c>
      <c r="P9" s="8">
        <v>66.562171099518224</v>
      </c>
      <c r="Q9" s="8">
        <v>66.655709898484375</v>
      </c>
      <c r="R9" s="8">
        <v>66.745840130505712</v>
      </c>
      <c r="S9" s="8">
        <v>66.739353797817685</v>
      </c>
      <c r="T9" s="8">
        <v>66.83121081172682</v>
      </c>
      <c r="U9" s="8">
        <v>66.921092384871201</v>
      </c>
      <c r="V9" s="8">
        <v>66.915975698936833</v>
      </c>
      <c r="W9" s="8">
        <v>66.908551375631674</v>
      </c>
      <c r="X9" s="8">
        <v>66.997703452527745</v>
      </c>
      <c r="Y9" s="8">
        <v>66.991066258235065</v>
      </c>
      <c r="Z9" s="8">
        <v>66.983870111731846</v>
      </c>
      <c r="AA9" s="8">
        <v>66.976598237197365</v>
      </c>
      <c r="AB9" s="8">
        <v>66.968284938374765</v>
      </c>
      <c r="AC9" s="8">
        <v>66.960275439938783</v>
      </c>
      <c r="AD9" s="8">
        <v>66.953181496046582</v>
      </c>
      <c r="AE9" s="8">
        <v>66.943053473263362</v>
      </c>
      <c r="AF9" s="8">
        <v>66.837920608061253</v>
      </c>
      <c r="AG9" s="8">
        <v>66.828310881977941</v>
      </c>
      <c r="AI9" s="223" t="s">
        <v>8</v>
      </c>
      <c r="AJ9" s="223"/>
      <c r="AK9" s="6">
        <v>66.95</v>
      </c>
      <c r="AL9" s="6">
        <v>69.489999999999995</v>
      </c>
    </row>
    <row r="10" spans="1:38" ht="24" customHeight="1" x14ac:dyDescent="0.3">
      <c r="A10" s="222"/>
      <c r="B10" s="5" t="s">
        <v>9</v>
      </c>
      <c r="C10" s="210">
        <v>2.1922005110737532</v>
      </c>
      <c r="D10" s="210"/>
      <c r="E10" s="210"/>
      <c r="F10" s="210"/>
      <c r="G10" s="210"/>
      <c r="H10" s="210">
        <v>2.1575263196338552</v>
      </c>
      <c r="I10" s="210"/>
      <c r="J10" s="210"/>
      <c r="K10" s="210"/>
      <c r="L10" s="210"/>
      <c r="M10" s="210">
        <v>2.1214315243375026</v>
      </c>
      <c r="N10" s="210"/>
      <c r="O10" s="210"/>
      <c r="P10" s="210"/>
      <c r="Q10" s="210"/>
      <c r="R10" s="210">
        <v>2.0881640517181976</v>
      </c>
      <c r="S10" s="210"/>
      <c r="T10" s="210"/>
      <c r="U10" s="210"/>
      <c r="V10" s="210"/>
      <c r="W10" s="210">
        <v>2.0653741165546875</v>
      </c>
      <c r="X10" s="210"/>
      <c r="Y10" s="210"/>
      <c r="Z10" s="210"/>
      <c r="AA10" s="210"/>
      <c r="AB10" s="210">
        <v>2.0569565672386507</v>
      </c>
      <c r="AC10" s="210"/>
      <c r="AD10" s="210"/>
      <c r="AE10" s="210"/>
      <c r="AF10" s="210"/>
      <c r="AG10" s="210">
        <v>2.0556381317774282</v>
      </c>
      <c r="AI10" s="224" t="s">
        <v>476</v>
      </c>
      <c r="AJ10" s="224"/>
      <c r="AK10" s="6">
        <v>2.1</v>
      </c>
      <c r="AL10" s="6">
        <v>2</v>
      </c>
    </row>
    <row r="11" spans="1:38" ht="25.05" customHeight="1" x14ac:dyDescent="0.3">
      <c r="A11" s="7" t="s">
        <v>10</v>
      </c>
      <c r="B11" s="5" t="s">
        <v>11</v>
      </c>
      <c r="C11" s="209">
        <v>56</v>
      </c>
      <c r="D11" s="209">
        <v>80</v>
      </c>
      <c r="E11" s="209">
        <v>80</v>
      </c>
      <c r="F11" s="209">
        <v>80</v>
      </c>
      <c r="G11" s="209">
        <v>80</v>
      </c>
      <c r="H11" s="209">
        <v>57</v>
      </c>
      <c r="I11" s="209">
        <v>80</v>
      </c>
      <c r="J11" s="209">
        <v>80</v>
      </c>
      <c r="K11" s="209">
        <v>80</v>
      </c>
      <c r="L11" s="209">
        <v>80</v>
      </c>
      <c r="M11" s="209">
        <v>58</v>
      </c>
      <c r="N11" s="209">
        <v>80</v>
      </c>
      <c r="O11" s="209">
        <v>80</v>
      </c>
      <c r="P11" s="209">
        <v>80</v>
      </c>
      <c r="Q11" s="209">
        <v>80</v>
      </c>
      <c r="R11" s="209">
        <v>60</v>
      </c>
      <c r="S11" s="209">
        <v>80</v>
      </c>
      <c r="T11" s="209">
        <v>80</v>
      </c>
      <c r="U11" s="209">
        <v>80</v>
      </c>
      <c r="V11" s="209">
        <v>80</v>
      </c>
      <c r="W11" s="209">
        <v>61</v>
      </c>
      <c r="X11" s="209">
        <v>80</v>
      </c>
      <c r="Y11" s="209">
        <v>80</v>
      </c>
      <c r="Z11" s="209">
        <v>80</v>
      </c>
      <c r="AA11" s="209">
        <v>80</v>
      </c>
      <c r="AB11" s="209">
        <v>62</v>
      </c>
      <c r="AC11" s="209">
        <v>80</v>
      </c>
      <c r="AD11" s="209">
        <v>80</v>
      </c>
      <c r="AE11" s="209">
        <v>80</v>
      </c>
      <c r="AF11" s="209">
        <v>80</v>
      </c>
      <c r="AG11" s="209">
        <v>63</v>
      </c>
      <c r="AI11" s="224" t="s">
        <v>477</v>
      </c>
      <c r="AJ11" s="224"/>
      <c r="AK11" s="6">
        <v>126.7</v>
      </c>
      <c r="AL11" s="6">
        <v>126.7</v>
      </c>
    </row>
    <row r="12" spans="1:38" ht="23.55" customHeight="1" x14ac:dyDescent="0.3">
      <c r="A12" s="222" t="s">
        <v>12</v>
      </c>
      <c r="B12" s="5" t="s">
        <v>13</v>
      </c>
      <c r="C12" s="10">
        <v>0.46</v>
      </c>
      <c r="D12" s="10">
        <v>0.46500000000000002</v>
      </c>
      <c r="E12" s="10">
        <v>0.47</v>
      </c>
      <c r="F12" s="10">
        <v>0.47499999999999998</v>
      </c>
      <c r="G12" s="10">
        <v>0.48</v>
      </c>
      <c r="H12" s="10">
        <v>0.48499999999999999</v>
      </c>
      <c r="I12" s="10">
        <v>0.49</v>
      </c>
      <c r="J12" s="10">
        <v>0.495</v>
      </c>
      <c r="K12" s="10">
        <v>0.5</v>
      </c>
      <c r="L12" s="10">
        <v>0.505</v>
      </c>
      <c r="M12" s="10">
        <v>0.51</v>
      </c>
      <c r="N12" s="10">
        <v>0.51</v>
      </c>
      <c r="O12" s="10">
        <v>0.51</v>
      </c>
      <c r="P12" s="10">
        <v>0.51</v>
      </c>
      <c r="Q12" s="10">
        <v>0.51</v>
      </c>
      <c r="R12" s="10">
        <v>0.51</v>
      </c>
      <c r="S12" s="10">
        <v>0.51</v>
      </c>
      <c r="T12" s="10">
        <v>0.51</v>
      </c>
      <c r="U12" s="10">
        <v>0.51</v>
      </c>
      <c r="V12" s="10">
        <v>0.51</v>
      </c>
      <c r="W12" s="10">
        <v>0.51</v>
      </c>
      <c r="X12" s="10">
        <v>0.51</v>
      </c>
      <c r="Y12" s="10">
        <v>0.51</v>
      </c>
      <c r="Z12" s="10">
        <v>0.51</v>
      </c>
      <c r="AA12" s="10">
        <v>0.51</v>
      </c>
      <c r="AB12" s="10">
        <v>0.51</v>
      </c>
      <c r="AC12" s="10">
        <v>0.51</v>
      </c>
      <c r="AD12" s="10">
        <v>0.51</v>
      </c>
      <c r="AE12" s="10">
        <v>0.51</v>
      </c>
      <c r="AF12" s="10">
        <v>0.51</v>
      </c>
      <c r="AG12" s="10">
        <v>0.51</v>
      </c>
      <c r="AI12" s="225" t="s">
        <v>14</v>
      </c>
      <c r="AJ12" s="225"/>
      <c r="AK12" s="12">
        <v>0.41499999999999998</v>
      </c>
      <c r="AL12" s="12">
        <v>0.41499999999999998</v>
      </c>
    </row>
    <row r="13" spans="1:38" ht="23.55" customHeight="1" x14ac:dyDescent="0.3">
      <c r="A13" s="222"/>
      <c r="B13" s="5" t="s">
        <v>15</v>
      </c>
      <c r="C13" s="13">
        <v>115.4</v>
      </c>
      <c r="D13" s="13"/>
      <c r="E13" s="13"/>
      <c r="F13" s="13"/>
      <c r="G13" s="13"/>
      <c r="H13" s="13">
        <f>(C13+M13)/2</f>
        <v>117.7</v>
      </c>
      <c r="I13" s="13"/>
      <c r="J13" s="13"/>
      <c r="K13" s="13"/>
      <c r="L13" s="13"/>
      <c r="M13" s="13">
        <v>120</v>
      </c>
      <c r="N13" s="13"/>
      <c r="O13" s="13"/>
      <c r="P13" s="13"/>
      <c r="Q13" s="13"/>
      <c r="R13" s="13">
        <f>(M13+W13)/2</f>
        <v>120</v>
      </c>
      <c r="S13" s="13"/>
      <c r="T13" s="13"/>
      <c r="U13" s="13"/>
      <c r="V13" s="13"/>
      <c r="W13" s="13">
        <f>(M13+AG13)/2</f>
        <v>120</v>
      </c>
      <c r="X13" s="13"/>
      <c r="Y13" s="13"/>
      <c r="Z13" s="13"/>
      <c r="AA13" s="13"/>
      <c r="AB13" s="13">
        <f>(W13+AG13)/2</f>
        <v>120</v>
      </c>
      <c r="AC13" s="13"/>
      <c r="AD13" s="13"/>
      <c r="AE13" s="13"/>
      <c r="AF13" s="13"/>
      <c r="AG13" s="13">
        <f>M13</f>
        <v>120</v>
      </c>
      <c r="AI13" s="225" t="s">
        <v>16</v>
      </c>
      <c r="AJ13" s="225"/>
      <c r="AK13" s="6">
        <v>113.4</v>
      </c>
      <c r="AL13" s="6">
        <v>113.4</v>
      </c>
    </row>
    <row r="14" spans="1:38" ht="23.55" customHeight="1" x14ac:dyDescent="0.3">
      <c r="A14" s="222"/>
      <c r="B14" s="5" t="s">
        <v>17</v>
      </c>
      <c r="C14" s="13">
        <v>64.3</v>
      </c>
      <c r="D14" s="13"/>
      <c r="E14" s="13"/>
      <c r="F14" s="13"/>
      <c r="G14" s="13"/>
      <c r="H14" s="13">
        <f>(C14+M14)/2</f>
        <v>66.150000000000006</v>
      </c>
      <c r="I14" s="13"/>
      <c r="J14" s="13"/>
      <c r="K14" s="13"/>
      <c r="L14" s="13"/>
      <c r="M14" s="13">
        <v>68</v>
      </c>
      <c r="N14" s="13"/>
      <c r="O14" s="13"/>
      <c r="P14" s="13"/>
      <c r="Q14" s="13"/>
      <c r="R14" s="13">
        <f>(M14+W14)/2</f>
        <v>68</v>
      </c>
      <c r="S14" s="13"/>
      <c r="T14" s="13"/>
      <c r="U14" s="13"/>
      <c r="V14" s="13"/>
      <c r="W14" s="13">
        <f>(M14+AG14)/2</f>
        <v>68</v>
      </c>
      <c r="X14" s="13"/>
      <c r="Y14" s="13"/>
      <c r="Z14" s="13"/>
      <c r="AA14" s="13"/>
      <c r="AB14" s="13">
        <f>(W14+AG14)/2</f>
        <v>68</v>
      </c>
      <c r="AC14" s="13"/>
      <c r="AD14" s="13"/>
      <c r="AE14" s="13"/>
      <c r="AF14" s="13"/>
      <c r="AG14" s="13">
        <f>M14</f>
        <v>68</v>
      </c>
      <c r="AI14" s="225" t="s">
        <v>16</v>
      </c>
      <c r="AJ14" s="225"/>
      <c r="AK14" s="6">
        <v>63.6</v>
      </c>
      <c r="AL14" s="6">
        <v>63.6</v>
      </c>
    </row>
    <row r="15" spans="1:38" ht="25.05" customHeight="1" x14ac:dyDescent="0.3">
      <c r="A15" s="7" t="s">
        <v>18</v>
      </c>
      <c r="B15" s="14" t="s">
        <v>19</v>
      </c>
      <c r="C15" s="13">
        <v>0.5</v>
      </c>
      <c r="D15" s="13">
        <v>0</v>
      </c>
      <c r="E15" s="13">
        <v>0</v>
      </c>
      <c r="F15" s="13">
        <v>0</v>
      </c>
      <c r="G15" s="13">
        <v>0</v>
      </c>
      <c r="H15" s="13">
        <v>3.5</v>
      </c>
      <c r="I15" s="13">
        <v>0</v>
      </c>
      <c r="J15" s="13">
        <v>0</v>
      </c>
      <c r="K15" s="13">
        <v>0</v>
      </c>
      <c r="L15" s="13">
        <v>0</v>
      </c>
      <c r="M15" s="13">
        <v>7</v>
      </c>
      <c r="N15" s="13">
        <v>0</v>
      </c>
      <c r="O15" s="13">
        <v>0</v>
      </c>
      <c r="P15" s="13">
        <v>0</v>
      </c>
      <c r="Q15" s="13">
        <v>0</v>
      </c>
      <c r="R15" s="13">
        <v>3.5</v>
      </c>
      <c r="S15" s="13">
        <v>0</v>
      </c>
      <c r="T15" s="13">
        <v>0</v>
      </c>
      <c r="U15" s="13">
        <v>0</v>
      </c>
      <c r="V15" s="13">
        <v>0</v>
      </c>
      <c r="W15" s="13">
        <v>1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I15" s="223" t="s">
        <v>20</v>
      </c>
      <c r="AJ15" s="223"/>
      <c r="AK15" t="s">
        <v>21</v>
      </c>
    </row>
    <row r="16" spans="1:38" ht="35.1" customHeight="1" x14ac:dyDescent="0.3">
      <c r="A16" s="7" t="s">
        <v>22</v>
      </c>
      <c r="B16" s="5" t="s">
        <v>23</v>
      </c>
      <c r="C16" s="15">
        <v>0.1</v>
      </c>
      <c r="D16" s="16"/>
      <c r="E16" s="17"/>
      <c r="F16" s="17"/>
      <c r="G16" s="17"/>
      <c r="H16" s="17">
        <v>0.105</v>
      </c>
      <c r="I16" s="17"/>
      <c r="J16" s="17"/>
      <c r="K16" s="17"/>
      <c r="L16" s="17"/>
      <c r="M16" s="17">
        <v>0.11</v>
      </c>
      <c r="N16" s="17"/>
      <c r="O16" s="17"/>
      <c r="P16" s="17"/>
      <c r="Q16" s="17"/>
      <c r="R16" s="17">
        <v>0.1125</v>
      </c>
      <c r="S16" s="17"/>
      <c r="T16" s="17"/>
      <c r="U16" s="17"/>
      <c r="V16" s="17"/>
      <c r="W16" s="17">
        <v>0.115</v>
      </c>
      <c r="X16" s="17"/>
      <c r="Y16" s="17"/>
      <c r="Z16" s="17"/>
      <c r="AA16" s="17"/>
      <c r="AB16" s="17">
        <v>0.11749999999999999</v>
      </c>
      <c r="AC16" s="17"/>
      <c r="AD16" s="17"/>
      <c r="AE16" s="17"/>
      <c r="AF16" s="17"/>
      <c r="AG16" s="17">
        <v>0.12</v>
      </c>
      <c r="AI16" s="223" t="s">
        <v>24</v>
      </c>
      <c r="AJ16" s="223"/>
    </row>
    <row r="17" spans="1:36" ht="24" customHeight="1" x14ac:dyDescent="0.3">
      <c r="A17" s="7" t="s">
        <v>25</v>
      </c>
      <c r="B17" s="5" t="s">
        <v>26</v>
      </c>
      <c r="C17" s="15">
        <v>8.14E-2</v>
      </c>
      <c r="D17" s="15"/>
      <c r="E17" s="15"/>
      <c r="F17" s="15"/>
      <c r="G17" s="15"/>
      <c r="H17" s="15">
        <v>8.4500000000000006E-2</v>
      </c>
      <c r="I17" s="15"/>
      <c r="J17" s="15"/>
      <c r="K17" s="15"/>
      <c r="L17" s="15"/>
      <c r="M17" s="15">
        <v>8.7599999999999997E-2</v>
      </c>
      <c r="N17" s="15"/>
      <c r="O17" s="15"/>
      <c r="P17" s="15"/>
      <c r="Q17" s="15"/>
      <c r="R17" s="15">
        <v>9.0700000000000003E-2</v>
      </c>
      <c r="S17" s="15"/>
      <c r="T17" s="15"/>
      <c r="U17" s="15"/>
      <c r="V17" s="15"/>
      <c r="W17" s="15">
        <v>9.3799999999999994E-2</v>
      </c>
      <c r="X17" s="15"/>
      <c r="Y17" s="15"/>
      <c r="Z17" s="15"/>
      <c r="AA17" s="15"/>
      <c r="AB17" s="15">
        <v>9.69E-2</v>
      </c>
      <c r="AC17" s="15"/>
      <c r="AD17" s="15"/>
      <c r="AE17" s="15"/>
      <c r="AF17" s="15"/>
      <c r="AG17" s="16">
        <v>0.1</v>
      </c>
      <c r="AI17" s="223" t="s">
        <v>27</v>
      </c>
      <c r="AJ17" s="223"/>
    </row>
    <row r="18" spans="1:36" ht="43.8" x14ac:dyDescent="0.3">
      <c r="A18" s="204" t="s">
        <v>489</v>
      </c>
      <c r="B18" s="204" t="s">
        <v>490</v>
      </c>
      <c r="C18" s="211">
        <v>988000</v>
      </c>
      <c r="D18" s="211"/>
      <c r="E18" s="211"/>
      <c r="F18" s="211"/>
      <c r="G18" s="211"/>
      <c r="H18" s="211">
        <f>(C18+M18)/2</f>
        <v>905666.66666666663</v>
      </c>
      <c r="I18" s="211"/>
      <c r="J18" s="211"/>
      <c r="K18" s="211"/>
      <c r="L18" s="211"/>
      <c r="M18" s="211">
        <v>823333.33333333326</v>
      </c>
      <c r="N18" s="211"/>
      <c r="O18" s="211"/>
      <c r="P18" s="211"/>
      <c r="Q18" s="211"/>
      <c r="R18" s="211">
        <f>(M18+W18)/2</f>
        <v>741000</v>
      </c>
      <c r="S18" s="211"/>
      <c r="T18" s="211"/>
      <c r="U18" s="211"/>
      <c r="V18" s="211"/>
      <c r="W18" s="211">
        <v>658666.66666666663</v>
      </c>
      <c r="X18" s="211"/>
      <c r="Y18" s="211"/>
      <c r="Z18" s="211"/>
      <c r="AA18" s="211"/>
      <c r="AB18" s="211">
        <f>(W18+AG18)/2</f>
        <v>576333.33333333326</v>
      </c>
      <c r="AC18" s="211"/>
      <c r="AD18" s="211"/>
      <c r="AE18" s="211"/>
      <c r="AF18" s="211"/>
      <c r="AG18" s="211">
        <v>494000</v>
      </c>
      <c r="AI18" s="224" t="s">
        <v>491</v>
      </c>
      <c r="AJ18" s="224"/>
    </row>
    <row r="19" spans="1:36" x14ac:dyDescent="0.3">
      <c r="A19" s="204"/>
      <c r="B19" s="204"/>
      <c r="I19">
        <v>658666.66666666663</v>
      </c>
      <c r="J19">
        <v>494000</v>
      </c>
    </row>
    <row r="22" spans="1:36" x14ac:dyDescent="0.3">
      <c r="A22" s="220" t="s">
        <v>29</v>
      </c>
      <c r="B22" s="220"/>
      <c r="C22" s="220" t="s">
        <v>30</v>
      </c>
      <c r="D22" s="220"/>
      <c r="E22" s="220"/>
      <c r="F22" s="220"/>
      <c r="G22" s="220" t="s">
        <v>31</v>
      </c>
      <c r="H22" s="220"/>
      <c r="I22" s="220"/>
      <c r="J22" s="220"/>
    </row>
    <row r="23" spans="1:36" x14ac:dyDescent="0.3">
      <c r="A23" t="s">
        <v>32</v>
      </c>
      <c r="B23" t="s">
        <v>33</v>
      </c>
      <c r="C23" t="s">
        <v>34</v>
      </c>
      <c r="D23" t="s">
        <v>35</v>
      </c>
      <c r="E23" t="s">
        <v>36</v>
      </c>
      <c r="F23" t="s">
        <v>37</v>
      </c>
      <c r="G23" t="s">
        <v>34</v>
      </c>
      <c r="H23" t="s">
        <v>35</v>
      </c>
      <c r="I23" t="s">
        <v>36</v>
      </c>
      <c r="J23" t="s">
        <v>37</v>
      </c>
      <c r="K23" t="s">
        <v>38</v>
      </c>
      <c r="L23" t="s">
        <v>39</v>
      </c>
    </row>
    <row r="24" spans="1:36" ht="12.75" customHeight="1" x14ac:dyDescent="0.3">
      <c r="A24">
        <v>70.28</v>
      </c>
      <c r="B24">
        <v>74.03</v>
      </c>
      <c r="C24">
        <v>65.400000000000006</v>
      </c>
      <c r="D24">
        <v>66.400000000000006</v>
      </c>
      <c r="E24">
        <v>67.400000000000006</v>
      </c>
      <c r="F24">
        <v>68.400000000000006</v>
      </c>
      <c r="G24">
        <v>67.2</v>
      </c>
      <c r="H24">
        <v>68.2</v>
      </c>
      <c r="I24">
        <v>69.2</v>
      </c>
      <c r="J24">
        <v>70.2</v>
      </c>
    </row>
    <row r="25" spans="1:36" ht="24" customHeight="1" x14ac:dyDescent="0.3">
      <c r="A25">
        <v>2.1</v>
      </c>
      <c r="B25">
        <v>2</v>
      </c>
      <c r="C25">
        <v>2.15</v>
      </c>
      <c r="D25">
        <v>2.16</v>
      </c>
      <c r="E25">
        <v>2.11</v>
      </c>
      <c r="F25">
        <v>2.11</v>
      </c>
      <c r="G25">
        <v>2.12</v>
      </c>
      <c r="H25">
        <v>2.1</v>
      </c>
      <c r="I25">
        <v>2.02</v>
      </c>
      <c r="J25">
        <v>2.02</v>
      </c>
      <c r="K25">
        <v>2.15</v>
      </c>
      <c r="L25">
        <v>2.2000000000000002</v>
      </c>
    </row>
    <row r="26" spans="1:36" ht="25.05" customHeight="1" x14ac:dyDescent="0.3">
      <c r="A26">
        <v>96.5</v>
      </c>
      <c r="B26">
        <v>96.5</v>
      </c>
      <c r="C26">
        <v>73.099999999999994</v>
      </c>
      <c r="D26">
        <v>73.099999999999994</v>
      </c>
      <c r="E26">
        <v>172.1</v>
      </c>
      <c r="F26">
        <v>87.5</v>
      </c>
      <c r="G26" t="s">
        <v>40</v>
      </c>
      <c r="H26">
        <v>47.5</v>
      </c>
      <c r="I26">
        <v>193.2</v>
      </c>
      <c r="J26">
        <v>97.9</v>
      </c>
      <c r="K26">
        <v>41</v>
      </c>
      <c r="L26">
        <v>36</v>
      </c>
    </row>
    <row r="27" spans="1:36" ht="23.55" customHeight="1" x14ac:dyDescent="0.3">
      <c r="C27" s="18">
        <v>0.35</v>
      </c>
      <c r="D27" s="18">
        <v>0.35</v>
      </c>
      <c r="E27" s="18">
        <v>0.4</v>
      </c>
      <c r="F27" s="18">
        <v>0.45</v>
      </c>
      <c r="G27" s="18">
        <v>0.15</v>
      </c>
      <c r="H27" s="18">
        <v>0.15</v>
      </c>
      <c r="I27" s="18">
        <v>0.25</v>
      </c>
      <c r="J27" s="18">
        <v>0.45</v>
      </c>
      <c r="K27" s="19">
        <v>0.3</v>
      </c>
      <c r="L27" s="19">
        <v>0.2</v>
      </c>
    </row>
    <row r="28" spans="1:36" ht="23.55" customHeight="1" x14ac:dyDescent="0.3">
      <c r="K28" s="227" t="s">
        <v>41</v>
      </c>
      <c r="L28" s="227"/>
    </row>
    <row r="29" spans="1:36" ht="23.55" customHeight="1" x14ac:dyDescent="0.3">
      <c r="K29" s="227" t="s">
        <v>41</v>
      </c>
      <c r="L29" s="227"/>
    </row>
    <row r="30" spans="1:36" ht="40.200000000000003" customHeight="1" x14ac:dyDescent="0.3">
      <c r="C30">
        <v>0</v>
      </c>
      <c r="D30">
        <f t="shared" ref="D30:J30" si="1">C30</f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>
        <v>0</v>
      </c>
      <c r="L30">
        <v>0</v>
      </c>
    </row>
    <row r="31" spans="1:36" ht="25.05" customHeight="1" x14ac:dyDescent="0.3">
      <c r="C31" s="19">
        <v>7.4999999999999997E-2</v>
      </c>
      <c r="D31" s="19">
        <v>0.08</v>
      </c>
      <c r="E31" s="19">
        <v>9.7000000000000003E-2</v>
      </c>
      <c r="F31" s="19">
        <v>9.7000000000000003E-2</v>
      </c>
      <c r="G31" s="19">
        <v>2.5000000000000001E-2</v>
      </c>
      <c r="H31" s="19">
        <v>0.05</v>
      </c>
      <c r="I31" s="19">
        <v>9.0999999999999998E-2</v>
      </c>
      <c r="J31" s="19">
        <v>9.0999999999999998E-2</v>
      </c>
      <c r="K31" s="19">
        <v>8.5999999999999993E-2</v>
      </c>
      <c r="L31" s="19">
        <v>0.08</v>
      </c>
    </row>
    <row r="32" spans="1:36" ht="24" customHeight="1" x14ac:dyDescent="0.3">
      <c r="C32" s="19">
        <v>7.9000000000000001E-2</v>
      </c>
      <c r="D32" s="19">
        <v>7.9000000000000001E-2</v>
      </c>
      <c r="E32" s="19">
        <v>7.8E-2</v>
      </c>
      <c r="F32" s="19">
        <v>0.08</v>
      </c>
      <c r="G32" s="19">
        <v>7.0999999999999994E-2</v>
      </c>
      <c r="H32" s="19">
        <v>7.0999999999999994E-2</v>
      </c>
      <c r="I32" s="19">
        <v>6.9000000000000006E-2</v>
      </c>
      <c r="J32" s="19">
        <v>7.6999999999999999E-2</v>
      </c>
      <c r="K32" s="19">
        <v>6.4000000000000001E-2</v>
      </c>
      <c r="L32" s="19">
        <v>0.04</v>
      </c>
    </row>
    <row r="33" spans="1:54" ht="43.8" customHeight="1" x14ac:dyDescent="0.3"/>
    <row r="37" spans="1:54" ht="32.85" customHeight="1" x14ac:dyDescent="0.3">
      <c r="B37" s="219" t="s">
        <v>42</v>
      </c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</row>
    <row r="39" spans="1:54" x14ac:dyDescent="0.3">
      <c r="A39" s="1" t="s">
        <v>43</v>
      </c>
    </row>
    <row r="40" spans="1:54" x14ac:dyDescent="0.3">
      <c r="C40" s="4">
        <v>2015</v>
      </c>
      <c r="D40" s="4">
        <f>C40+1</f>
        <v>2016</v>
      </c>
      <c r="E40" s="4">
        <f>D40+1</f>
        <v>2017</v>
      </c>
      <c r="F40" s="4">
        <f>E40+1</f>
        <v>2018</v>
      </c>
      <c r="G40" s="4">
        <f>F40+1</f>
        <v>2019</v>
      </c>
      <c r="H40" s="4">
        <v>2016</v>
      </c>
      <c r="I40" s="4">
        <f>H40+1</f>
        <v>2017</v>
      </c>
      <c r="J40" s="4">
        <f>I40+1</f>
        <v>2018</v>
      </c>
      <c r="K40" s="4">
        <f>J40+1</f>
        <v>2019</v>
      </c>
      <c r="L40" s="4">
        <f>K40+1</f>
        <v>2020</v>
      </c>
      <c r="M40" s="4">
        <v>2017</v>
      </c>
      <c r="N40" s="4">
        <f>M40+1</f>
        <v>2018</v>
      </c>
      <c r="O40" s="4">
        <f>N40+1</f>
        <v>2019</v>
      </c>
      <c r="P40" s="4">
        <f>O40+1</f>
        <v>2020</v>
      </c>
      <c r="Q40" s="4">
        <f>P40+1</f>
        <v>2021</v>
      </c>
      <c r="R40" s="4">
        <v>2018</v>
      </c>
      <c r="S40" s="4">
        <f>R40+1</f>
        <v>2019</v>
      </c>
      <c r="T40" s="4">
        <f>S40+1</f>
        <v>2020</v>
      </c>
      <c r="U40" s="4">
        <f>T40+1</f>
        <v>2021</v>
      </c>
      <c r="V40" s="4">
        <f>U40+1</f>
        <v>2022</v>
      </c>
      <c r="W40" s="4">
        <v>2019</v>
      </c>
      <c r="X40" s="4">
        <f>W40+1</f>
        <v>2020</v>
      </c>
      <c r="Y40" s="4">
        <f>X40+1</f>
        <v>2021</v>
      </c>
      <c r="Z40" s="4">
        <f>Y40+1</f>
        <v>2022</v>
      </c>
      <c r="AA40" s="4">
        <f>Z40+1</f>
        <v>2023</v>
      </c>
      <c r="AB40" s="4">
        <v>2020</v>
      </c>
      <c r="AC40" s="4">
        <f>AB40+1</f>
        <v>2021</v>
      </c>
      <c r="AD40" s="4">
        <f>AC40+1</f>
        <v>2022</v>
      </c>
      <c r="AE40" s="4">
        <f>AD40+1</f>
        <v>2023</v>
      </c>
      <c r="AF40" s="4">
        <f>AE40+1</f>
        <v>2024</v>
      </c>
      <c r="AI40" t="s">
        <v>44</v>
      </c>
      <c r="AK40" s="228" t="s">
        <v>45</v>
      </c>
      <c r="AL40" s="228"/>
      <c r="AM40" s="228"/>
      <c r="AN40" s="228"/>
      <c r="AO40" s="228"/>
      <c r="AP40" s="228"/>
      <c r="AQ40" s="228"/>
      <c r="AR40" s="228"/>
      <c r="AU40" s="220" t="s">
        <v>30</v>
      </c>
      <c r="AV40" s="220"/>
      <c r="AW40" s="220"/>
      <c r="AX40" s="220"/>
      <c r="AY40" s="220" t="s">
        <v>31</v>
      </c>
      <c r="AZ40" s="220"/>
      <c r="BA40" s="220"/>
      <c r="BB40" s="220"/>
    </row>
    <row r="41" spans="1:54" x14ac:dyDescent="0.3">
      <c r="B41" t="s">
        <v>46</v>
      </c>
      <c r="AI41" t="s">
        <v>47</v>
      </c>
      <c r="AK41" s="229"/>
      <c r="AL41" s="229"/>
      <c r="AM41" s="22" t="s">
        <v>48</v>
      </c>
      <c r="AN41" s="22" t="s">
        <v>49</v>
      </c>
      <c r="AO41" s="22" t="s">
        <v>50</v>
      </c>
      <c r="AP41" s="22" t="s">
        <v>51</v>
      </c>
      <c r="AQ41" s="22" t="s">
        <v>52</v>
      </c>
      <c r="AR41" s="23" t="s">
        <v>53</v>
      </c>
      <c r="AU41" t="s">
        <v>34</v>
      </c>
      <c r="AV41" t="s">
        <v>35</v>
      </c>
      <c r="AW41" t="s">
        <v>36</v>
      </c>
      <c r="AX41" t="s">
        <v>37</v>
      </c>
      <c r="AY41" t="s">
        <v>34</v>
      </c>
      <c r="AZ41" t="s">
        <v>35</v>
      </c>
      <c r="BA41" t="s">
        <v>36</v>
      </c>
      <c r="BB41" t="s">
        <v>37</v>
      </c>
    </row>
    <row r="42" spans="1:54" x14ac:dyDescent="0.3">
      <c r="C42" s="24" t="s">
        <v>54</v>
      </c>
      <c r="D42" s="24"/>
      <c r="E42" s="24"/>
      <c r="F42" s="24"/>
      <c r="G42" s="24"/>
      <c r="H42" s="24" t="s">
        <v>55</v>
      </c>
      <c r="I42" s="24"/>
      <c r="J42" s="24"/>
      <c r="K42" s="24"/>
      <c r="L42" s="24"/>
      <c r="M42" s="24" t="s">
        <v>56</v>
      </c>
      <c r="N42" s="24"/>
      <c r="O42" s="24"/>
      <c r="P42" s="24"/>
      <c r="Q42" s="24"/>
      <c r="R42" s="24" t="s">
        <v>57</v>
      </c>
      <c r="S42" s="24"/>
      <c r="T42" s="24"/>
      <c r="U42" s="24"/>
      <c r="V42" s="24"/>
      <c r="W42" s="24" t="s">
        <v>58</v>
      </c>
      <c r="X42" s="24"/>
      <c r="Y42" s="24"/>
      <c r="Z42" s="24"/>
      <c r="AA42" s="24"/>
      <c r="AB42" s="24" t="s">
        <v>59</v>
      </c>
      <c r="AC42" s="24"/>
      <c r="AD42" s="24"/>
      <c r="AE42" s="24"/>
      <c r="AF42" s="24"/>
      <c r="AG42" s="24" t="s">
        <v>60</v>
      </c>
      <c r="AH42" s="24" t="s">
        <v>61</v>
      </c>
      <c r="AK42" s="229" t="s">
        <v>62</v>
      </c>
      <c r="AL42" s="229"/>
      <c r="AM42" s="22">
        <v>50</v>
      </c>
      <c r="AN42" s="22">
        <v>50</v>
      </c>
      <c r="AO42" s="22">
        <v>45</v>
      </c>
      <c r="AP42" s="22">
        <v>45</v>
      </c>
      <c r="AQ42" s="22">
        <v>40</v>
      </c>
      <c r="AR42" s="23">
        <v>40</v>
      </c>
      <c r="AT42" t="s">
        <v>63</v>
      </c>
      <c r="AU42">
        <v>13.5</v>
      </c>
      <c r="AV42">
        <v>22.4</v>
      </c>
      <c r="AW42">
        <v>22.4</v>
      </c>
      <c r="AX42">
        <v>28.5</v>
      </c>
      <c r="AY42">
        <v>9.6</v>
      </c>
      <c r="AZ42">
        <v>9.6999999999999993</v>
      </c>
      <c r="BA42">
        <v>9.6999999999999993</v>
      </c>
      <c r="BB42">
        <v>9.6</v>
      </c>
    </row>
    <row r="43" spans="1:54" ht="23.55" customHeight="1" x14ac:dyDescent="0.3">
      <c r="A43" s="230" t="s">
        <v>64</v>
      </c>
      <c r="B43" s="25" t="s">
        <v>65</v>
      </c>
      <c r="C43" s="26">
        <v>1.6799999999999999E-2</v>
      </c>
      <c r="D43" s="24"/>
      <c r="E43" s="24"/>
      <c r="F43" s="24"/>
      <c r="G43" s="24"/>
      <c r="H43" s="26">
        <v>0.1094</v>
      </c>
      <c r="I43" s="24"/>
      <c r="J43" s="24"/>
      <c r="K43" s="24"/>
      <c r="L43" s="24"/>
      <c r="M43" s="26">
        <v>0</v>
      </c>
      <c r="N43" s="24"/>
      <c r="O43" s="24"/>
      <c r="P43" s="24"/>
      <c r="Q43" s="24"/>
      <c r="R43" s="26">
        <v>0.58609999999999995</v>
      </c>
      <c r="S43" s="24"/>
      <c r="T43" s="24"/>
      <c r="U43" s="24"/>
      <c r="V43" s="24"/>
      <c r="W43" s="26">
        <v>0.46889999999999998</v>
      </c>
      <c r="X43" s="24"/>
      <c r="Y43" s="24"/>
      <c r="Z43" s="24"/>
      <c r="AA43" s="24"/>
      <c r="AB43" s="26">
        <v>0</v>
      </c>
      <c r="AC43" s="24"/>
      <c r="AD43" s="24"/>
      <c r="AE43" s="24"/>
      <c r="AF43" s="24"/>
      <c r="AG43" s="26">
        <v>0.28649999999999998</v>
      </c>
      <c r="AH43" s="26">
        <v>1.1999999999999999E-3</v>
      </c>
      <c r="AI43" s="19"/>
      <c r="AK43" s="231" t="s">
        <v>66</v>
      </c>
      <c r="AL43" s="231"/>
      <c r="AM43" s="22">
        <v>25</v>
      </c>
      <c r="AN43" s="22">
        <v>25</v>
      </c>
      <c r="AO43" s="22">
        <v>22.5</v>
      </c>
      <c r="AP43" s="22">
        <v>22.5</v>
      </c>
      <c r="AQ43" s="22">
        <v>20</v>
      </c>
      <c r="AR43" s="23">
        <v>20</v>
      </c>
      <c r="AT43" t="s">
        <v>67</v>
      </c>
      <c r="AU43">
        <v>12.6</v>
      </c>
      <c r="AV43">
        <v>17.7</v>
      </c>
      <c r="AW43">
        <v>17.7</v>
      </c>
      <c r="AX43">
        <v>20.5</v>
      </c>
      <c r="AY43">
        <v>8.9</v>
      </c>
      <c r="AZ43">
        <v>9</v>
      </c>
      <c r="BA43">
        <v>9</v>
      </c>
      <c r="BB43">
        <v>8.9</v>
      </c>
    </row>
    <row r="44" spans="1:54" ht="26.4" x14ac:dyDescent="0.3">
      <c r="A44" s="230"/>
      <c r="B44" s="25" t="s">
        <v>68</v>
      </c>
      <c r="C44" s="26">
        <v>0</v>
      </c>
      <c r="D44" s="24"/>
      <c r="E44" s="24"/>
      <c r="F44" s="24"/>
      <c r="G44" s="24"/>
      <c r="H44" s="26">
        <v>0</v>
      </c>
      <c r="I44" s="24"/>
      <c r="J44" s="24"/>
      <c r="K44" s="24"/>
      <c r="L44" s="24"/>
      <c r="M44" s="26">
        <v>0.13139999999999999</v>
      </c>
      <c r="N44" s="24"/>
      <c r="O44" s="24"/>
      <c r="P44" s="24"/>
      <c r="Q44" s="24"/>
      <c r="R44" s="26">
        <v>0.17829999999999999</v>
      </c>
      <c r="S44" s="24"/>
      <c r="T44" s="24"/>
      <c r="U44" s="24"/>
      <c r="V44" s="24"/>
      <c r="W44" s="26">
        <v>6.2399999999999997E-2</v>
      </c>
      <c r="X44" s="24"/>
      <c r="Y44" s="24"/>
      <c r="Z44" s="24"/>
      <c r="AA44" s="24"/>
      <c r="AB44" s="26">
        <v>0</v>
      </c>
      <c r="AC44" s="24"/>
      <c r="AD44" s="24"/>
      <c r="AE44" s="24"/>
      <c r="AF44" s="24"/>
      <c r="AG44" s="26">
        <v>0.69030000000000002</v>
      </c>
      <c r="AH44" s="26">
        <v>0</v>
      </c>
      <c r="AI44" s="19"/>
      <c r="AK44" s="232" t="s">
        <v>69</v>
      </c>
      <c r="AL44" s="232"/>
      <c r="AM44" s="22"/>
      <c r="AN44" s="22">
        <v>9</v>
      </c>
      <c r="AO44" s="22">
        <v>6</v>
      </c>
      <c r="AP44" s="22">
        <v>4</v>
      </c>
      <c r="AQ44" s="22">
        <v>2</v>
      </c>
      <c r="AR44" s="23">
        <v>0</v>
      </c>
    </row>
    <row r="45" spans="1:54" x14ac:dyDescent="0.3">
      <c r="B45" s="27"/>
      <c r="C45" s="24" t="s">
        <v>60</v>
      </c>
      <c r="D45" s="24"/>
      <c r="E45" s="24"/>
      <c r="F45" s="24"/>
      <c r="G45" s="24"/>
      <c r="H45" s="24" t="s">
        <v>70</v>
      </c>
      <c r="I45" s="24"/>
      <c r="J45" s="24"/>
      <c r="K45" s="24"/>
      <c r="L45" s="24"/>
      <c r="M45" s="24" t="s">
        <v>71</v>
      </c>
      <c r="N45" s="24"/>
      <c r="O45" s="24"/>
      <c r="P45" s="24"/>
      <c r="Q45" s="24"/>
      <c r="R45" s="24" t="s">
        <v>72</v>
      </c>
      <c r="S45" s="24"/>
      <c r="T45" s="24"/>
      <c r="U45" s="24"/>
      <c r="V45" s="24"/>
      <c r="W45" s="24" t="s">
        <v>73</v>
      </c>
      <c r="X45" s="24"/>
      <c r="Y45" s="24"/>
      <c r="Z45" s="24"/>
      <c r="AA45" s="24"/>
      <c r="AB45" s="24" t="s">
        <v>74</v>
      </c>
      <c r="AC45" s="24"/>
      <c r="AD45" s="24"/>
      <c r="AE45" s="24"/>
      <c r="AF45" s="24"/>
      <c r="AG45" s="24" t="s">
        <v>75</v>
      </c>
      <c r="AH45" s="19"/>
      <c r="AI45" s="19"/>
      <c r="AK45" s="21"/>
      <c r="AL45" s="21"/>
      <c r="AM45" s="22"/>
      <c r="AN45" s="22"/>
      <c r="AO45" s="22"/>
      <c r="AP45" s="22"/>
      <c r="AQ45" s="22"/>
      <c r="AR45" s="23"/>
    </row>
    <row r="46" spans="1:54" x14ac:dyDescent="0.3">
      <c r="A46" s="233" t="s">
        <v>76</v>
      </c>
      <c r="B46" s="24" t="s">
        <v>77</v>
      </c>
      <c r="C46" s="28">
        <v>0.21</v>
      </c>
      <c r="D46" s="24"/>
      <c r="E46" s="24"/>
      <c r="F46" s="24"/>
      <c r="G46" s="24"/>
      <c r="H46" s="28">
        <v>0.04</v>
      </c>
      <c r="I46" s="24"/>
      <c r="J46" s="24"/>
      <c r="K46" s="24"/>
      <c r="L46" s="24"/>
      <c r="M46" s="28">
        <v>0.56999999999999995</v>
      </c>
      <c r="N46" s="24"/>
      <c r="O46" s="24"/>
      <c r="P46" s="24"/>
      <c r="Q46" s="24"/>
      <c r="R46" s="28">
        <v>0</v>
      </c>
      <c r="S46" s="24"/>
      <c r="T46" s="24"/>
      <c r="U46" s="24"/>
      <c r="V46" s="24"/>
      <c r="W46" s="28">
        <v>0</v>
      </c>
      <c r="X46" s="24"/>
      <c r="Y46" s="24"/>
      <c r="Z46" s="24"/>
      <c r="AA46" s="24"/>
      <c r="AB46" s="28">
        <v>0.17</v>
      </c>
      <c r="AC46" s="24"/>
      <c r="AD46" s="24"/>
      <c r="AE46" s="24"/>
      <c r="AF46" s="24"/>
      <c r="AG46" s="28">
        <v>0.01</v>
      </c>
      <c r="AK46" s="234" t="s">
        <v>78</v>
      </c>
      <c r="AL46" s="234"/>
      <c r="AM46" s="29" t="s">
        <v>79</v>
      </c>
      <c r="AN46" s="29" t="s">
        <v>79</v>
      </c>
      <c r="AO46" s="29">
        <v>30</v>
      </c>
      <c r="AP46" s="29">
        <v>25</v>
      </c>
      <c r="AQ46" s="29">
        <v>20</v>
      </c>
      <c r="AR46" s="30">
        <v>20</v>
      </c>
    </row>
    <row r="47" spans="1:54" x14ac:dyDescent="0.3">
      <c r="A47" s="233"/>
      <c r="B47" s="24" t="s">
        <v>80</v>
      </c>
      <c r="C47" s="28">
        <v>0.74</v>
      </c>
      <c r="D47" s="24"/>
      <c r="E47" s="24"/>
      <c r="F47" s="24"/>
      <c r="G47" s="24"/>
      <c r="H47" s="28">
        <v>0.08</v>
      </c>
      <c r="I47" s="24"/>
      <c r="J47" s="24"/>
      <c r="K47" s="24"/>
      <c r="L47" s="24"/>
      <c r="M47" s="28">
        <v>0.06</v>
      </c>
      <c r="N47" s="24"/>
      <c r="O47" s="24"/>
      <c r="P47" s="24"/>
      <c r="Q47" s="24"/>
      <c r="R47" s="28">
        <v>0</v>
      </c>
      <c r="S47" s="24"/>
      <c r="T47" s="24"/>
      <c r="U47" s="24"/>
      <c r="V47" s="24"/>
      <c r="W47" s="28">
        <v>0.09</v>
      </c>
      <c r="X47" s="24"/>
      <c r="Y47" s="24"/>
      <c r="Z47" s="24"/>
      <c r="AA47" s="24"/>
      <c r="AB47" s="28">
        <v>0.01</v>
      </c>
      <c r="AC47" s="24"/>
      <c r="AD47" s="24"/>
      <c r="AE47" s="24"/>
      <c r="AF47" s="24"/>
      <c r="AG47" s="28">
        <v>0.02</v>
      </c>
    </row>
    <row r="49" spans="1:41" x14ac:dyDescent="0.3">
      <c r="A49" s="1" t="s">
        <v>81</v>
      </c>
    </row>
    <row r="50" spans="1:41" x14ac:dyDescent="0.3">
      <c r="C50" s="4">
        <v>2020</v>
      </c>
      <c r="D50" s="4">
        <f t="shared" ref="D50:AG50" si="2">C50+1</f>
        <v>2021</v>
      </c>
      <c r="E50" s="4">
        <f t="shared" si="2"/>
        <v>2022</v>
      </c>
      <c r="F50" s="4">
        <f t="shared" si="2"/>
        <v>2023</v>
      </c>
      <c r="G50" s="4">
        <f t="shared" si="2"/>
        <v>2024</v>
      </c>
      <c r="H50" s="4">
        <f t="shared" si="2"/>
        <v>2025</v>
      </c>
      <c r="I50" s="4">
        <f t="shared" si="2"/>
        <v>2026</v>
      </c>
      <c r="J50" s="4">
        <f t="shared" si="2"/>
        <v>2027</v>
      </c>
      <c r="K50" s="4">
        <f t="shared" si="2"/>
        <v>2028</v>
      </c>
      <c r="L50" s="4">
        <f t="shared" si="2"/>
        <v>2029</v>
      </c>
      <c r="M50" s="4">
        <f t="shared" si="2"/>
        <v>2030</v>
      </c>
      <c r="N50" s="4">
        <f t="shared" si="2"/>
        <v>2031</v>
      </c>
      <c r="O50" s="4">
        <f t="shared" si="2"/>
        <v>2032</v>
      </c>
      <c r="P50" s="4">
        <f t="shared" si="2"/>
        <v>2033</v>
      </c>
      <c r="Q50" s="4">
        <f t="shared" si="2"/>
        <v>2034</v>
      </c>
      <c r="R50" s="4">
        <f t="shared" si="2"/>
        <v>2035</v>
      </c>
      <c r="S50" s="4">
        <f t="shared" si="2"/>
        <v>2036</v>
      </c>
      <c r="T50" s="4">
        <f t="shared" si="2"/>
        <v>2037</v>
      </c>
      <c r="U50" s="4">
        <f t="shared" si="2"/>
        <v>2038</v>
      </c>
      <c r="V50" s="4">
        <f t="shared" si="2"/>
        <v>2039</v>
      </c>
      <c r="W50" s="4">
        <f t="shared" si="2"/>
        <v>2040</v>
      </c>
      <c r="X50" s="4">
        <f t="shared" si="2"/>
        <v>2041</v>
      </c>
      <c r="Y50" s="4">
        <f t="shared" si="2"/>
        <v>2042</v>
      </c>
      <c r="Z50" s="4">
        <f t="shared" si="2"/>
        <v>2043</v>
      </c>
      <c r="AA50" s="4">
        <f t="shared" si="2"/>
        <v>2044</v>
      </c>
      <c r="AB50" s="4">
        <f t="shared" si="2"/>
        <v>2045</v>
      </c>
      <c r="AC50" s="4">
        <f t="shared" si="2"/>
        <v>2046</v>
      </c>
      <c r="AD50" s="4">
        <f t="shared" si="2"/>
        <v>2047</v>
      </c>
      <c r="AE50" s="4">
        <f t="shared" si="2"/>
        <v>2048</v>
      </c>
      <c r="AF50" s="4">
        <f t="shared" si="2"/>
        <v>2049</v>
      </c>
      <c r="AG50" s="4">
        <f t="shared" si="2"/>
        <v>2050</v>
      </c>
    </row>
    <row r="51" spans="1:41" ht="12.75" customHeight="1" x14ac:dyDescent="0.3">
      <c r="A51" s="230" t="s">
        <v>46</v>
      </c>
      <c r="B51" s="24" t="s">
        <v>82</v>
      </c>
      <c r="C51" s="24">
        <v>27.5</v>
      </c>
      <c r="D51" s="24"/>
      <c r="E51" s="24"/>
      <c r="F51" s="24"/>
      <c r="G51" s="24"/>
      <c r="H51" s="24">
        <v>27.5</v>
      </c>
      <c r="I51" s="24"/>
      <c r="J51" s="24"/>
      <c r="K51" s="24"/>
      <c r="L51" s="24"/>
      <c r="M51" s="24">
        <v>27.5</v>
      </c>
      <c r="N51" s="24"/>
      <c r="O51" s="24"/>
      <c r="P51" s="24"/>
      <c r="Q51" s="24"/>
      <c r="R51" s="24">
        <v>27.5</v>
      </c>
      <c r="S51" s="24"/>
      <c r="T51" s="24"/>
      <c r="U51" s="24"/>
      <c r="V51" s="24"/>
      <c r="W51" s="24">
        <v>27.5</v>
      </c>
      <c r="X51" s="24"/>
      <c r="Y51" s="24"/>
      <c r="Z51" s="24"/>
      <c r="AA51" s="24"/>
      <c r="AB51" s="24">
        <v>27.5</v>
      </c>
      <c r="AC51" s="24"/>
      <c r="AD51" s="24"/>
      <c r="AE51" s="24"/>
      <c r="AF51" s="24"/>
      <c r="AG51" s="24">
        <v>27.5</v>
      </c>
      <c r="AH51" s="31"/>
      <c r="AI51" s="31" t="s">
        <v>83</v>
      </c>
    </row>
    <row r="52" spans="1:41" x14ac:dyDescent="0.3">
      <c r="A52" s="230"/>
      <c r="B52" s="24" t="s">
        <v>84</v>
      </c>
      <c r="C52" s="24">
        <v>37.5</v>
      </c>
      <c r="D52" s="24"/>
      <c r="E52" s="24"/>
      <c r="F52" s="24"/>
      <c r="G52" s="24"/>
      <c r="H52" s="24">
        <v>37.5</v>
      </c>
      <c r="I52" s="24"/>
      <c r="J52" s="24"/>
      <c r="K52" s="24"/>
      <c r="L52" s="24"/>
      <c r="M52" s="24">
        <v>37.5</v>
      </c>
      <c r="N52" s="24"/>
      <c r="O52" s="24"/>
      <c r="P52" s="24"/>
      <c r="Q52" s="24"/>
      <c r="R52" s="24">
        <v>37.5</v>
      </c>
      <c r="S52" s="24"/>
      <c r="T52" s="24"/>
      <c r="U52" s="24"/>
      <c r="V52" s="24"/>
      <c r="W52" s="24">
        <v>37.5</v>
      </c>
      <c r="X52" s="24"/>
      <c r="Y52" s="24"/>
      <c r="Z52" s="24"/>
      <c r="AA52" s="24"/>
      <c r="AB52" s="24">
        <v>37.5</v>
      </c>
      <c r="AC52" s="24"/>
      <c r="AD52" s="24"/>
      <c r="AE52" s="24"/>
      <c r="AF52" s="24"/>
      <c r="AG52" s="24">
        <v>37.5</v>
      </c>
      <c r="AH52" s="31"/>
      <c r="AI52" s="31" t="s">
        <v>85</v>
      </c>
    </row>
    <row r="53" spans="1:41" x14ac:dyDescent="0.3">
      <c r="A53" s="230"/>
      <c r="B53" s="24" t="s">
        <v>86</v>
      </c>
      <c r="C53" s="24">
        <v>35</v>
      </c>
      <c r="D53" s="24"/>
      <c r="E53" s="24"/>
      <c r="F53" s="24"/>
      <c r="G53" s="24"/>
      <c r="H53" s="24">
        <v>35</v>
      </c>
      <c r="I53" s="24"/>
      <c r="J53" s="24"/>
      <c r="K53" s="24"/>
      <c r="L53" s="24"/>
      <c r="M53" s="24">
        <v>35</v>
      </c>
      <c r="N53" s="24"/>
      <c r="O53" s="24"/>
      <c r="P53" s="24"/>
      <c r="Q53" s="24"/>
      <c r="R53" s="24">
        <v>35</v>
      </c>
      <c r="S53" s="24"/>
      <c r="T53" s="24"/>
      <c r="U53" s="24"/>
      <c r="V53" s="24"/>
      <c r="W53" s="24">
        <v>35</v>
      </c>
      <c r="X53" s="24"/>
      <c r="Y53" s="24"/>
      <c r="Z53" s="24"/>
      <c r="AA53" s="24"/>
      <c r="AB53" s="24">
        <v>35</v>
      </c>
      <c r="AC53" s="24"/>
      <c r="AD53" s="24"/>
      <c r="AE53" s="24"/>
      <c r="AF53" s="24"/>
      <c r="AG53" s="24">
        <v>35</v>
      </c>
      <c r="AH53" s="31"/>
      <c r="AM53" t="s">
        <v>87</v>
      </c>
      <c r="AN53" t="s">
        <v>88</v>
      </c>
      <c r="AO53" t="s">
        <v>89</v>
      </c>
    </row>
    <row r="54" spans="1:41" x14ac:dyDescent="0.3">
      <c r="A54" s="230"/>
      <c r="B54" s="24" t="s">
        <v>90</v>
      </c>
      <c r="C54" s="24">
        <v>42.5</v>
      </c>
      <c r="D54" s="24"/>
      <c r="E54" s="24"/>
      <c r="F54" s="24"/>
      <c r="G54" s="24"/>
      <c r="H54" s="24">
        <v>42.5</v>
      </c>
      <c r="I54" s="24"/>
      <c r="J54" s="24"/>
      <c r="K54" s="24"/>
      <c r="L54" s="24"/>
      <c r="M54" s="24">
        <v>42.5</v>
      </c>
      <c r="N54" s="24"/>
      <c r="O54" s="24"/>
      <c r="P54" s="24"/>
      <c r="Q54" s="24"/>
      <c r="R54" s="24">
        <v>42.5</v>
      </c>
      <c r="S54" s="24"/>
      <c r="T54" s="24"/>
      <c r="U54" s="24"/>
      <c r="V54" s="24"/>
      <c r="W54" s="24">
        <v>42.5</v>
      </c>
      <c r="X54" s="24"/>
      <c r="Y54" s="24"/>
      <c r="Z54" s="24"/>
      <c r="AA54" s="24"/>
      <c r="AB54" s="24">
        <v>42.5</v>
      </c>
      <c r="AC54" s="24"/>
      <c r="AD54" s="24"/>
      <c r="AE54" s="24"/>
      <c r="AF54" s="24"/>
      <c r="AG54" s="24">
        <v>42.5</v>
      </c>
      <c r="AH54" s="31"/>
      <c r="AI54" s="31"/>
      <c r="AJ54" s="31"/>
      <c r="AM54" t="s">
        <v>63</v>
      </c>
      <c r="AN54">
        <v>55</v>
      </c>
      <c r="AO54">
        <v>75</v>
      </c>
    </row>
    <row r="55" spans="1:41" x14ac:dyDescent="0.3">
      <c r="B55" s="32"/>
      <c r="AM55" t="s">
        <v>67</v>
      </c>
      <c r="AN55">
        <v>70</v>
      </c>
      <c r="AO55">
        <v>85</v>
      </c>
    </row>
    <row r="56" spans="1:41" x14ac:dyDescent="0.3">
      <c r="B56" s="32"/>
      <c r="C56" s="3" t="s">
        <v>60</v>
      </c>
      <c r="H56" s="3" t="s">
        <v>70</v>
      </c>
      <c r="M56" s="3" t="s">
        <v>71</v>
      </c>
      <c r="R56" s="3" t="s">
        <v>72</v>
      </c>
      <c r="W56" s="3" t="s">
        <v>73</v>
      </c>
      <c r="AB56" s="3" t="s">
        <v>74</v>
      </c>
      <c r="AG56" s="3" t="s">
        <v>75</v>
      </c>
      <c r="AI56" t="s">
        <v>91</v>
      </c>
    </row>
    <row r="57" spans="1:41" ht="12.75" customHeight="1" x14ac:dyDescent="0.3">
      <c r="A57" s="230" t="s">
        <v>92</v>
      </c>
      <c r="B57" s="24" t="s">
        <v>93</v>
      </c>
      <c r="C57" s="33">
        <v>0.02</v>
      </c>
      <c r="D57" s="33"/>
      <c r="E57" s="33"/>
      <c r="F57" s="33"/>
      <c r="G57" s="33"/>
      <c r="H57" s="33">
        <v>0.02</v>
      </c>
      <c r="I57" s="33"/>
      <c r="J57" s="33"/>
      <c r="K57" s="33"/>
      <c r="L57" s="33"/>
      <c r="M57" s="33">
        <v>0.75</v>
      </c>
      <c r="N57" s="33"/>
      <c r="O57" s="33"/>
      <c r="P57" s="33"/>
      <c r="Q57" s="33"/>
      <c r="R57" s="33">
        <v>0</v>
      </c>
      <c r="S57" s="33"/>
      <c r="T57" s="33"/>
      <c r="U57" s="33"/>
      <c r="V57" s="33"/>
      <c r="W57" s="34">
        <v>0</v>
      </c>
      <c r="X57" s="33"/>
      <c r="Y57" s="33"/>
      <c r="Z57" s="33"/>
      <c r="AA57" s="33"/>
      <c r="AB57" s="33">
        <v>0.18</v>
      </c>
      <c r="AC57" s="33"/>
      <c r="AD57" s="33"/>
      <c r="AE57" s="33"/>
      <c r="AF57" s="33"/>
      <c r="AG57" s="33">
        <v>0.03</v>
      </c>
      <c r="AH57" s="19"/>
      <c r="AI57" s="31"/>
    </row>
    <row r="58" spans="1:41" x14ac:dyDescent="0.3">
      <c r="A58" s="230"/>
      <c r="B58" s="24" t="s">
        <v>94</v>
      </c>
      <c r="C58" s="33">
        <v>0.02</v>
      </c>
      <c r="D58" s="33"/>
      <c r="E58" s="33"/>
      <c r="F58" s="33"/>
      <c r="G58" s="33"/>
      <c r="H58" s="33">
        <v>0.02</v>
      </c>
      <c r="I58" s="33"/>
      <c r="J58" s="33"/>
      <c r="K58" s="33"/>
      <c r="L58" s="33"/>
      <c r="M58" s="33">
        <v>0.75</v>
      </c>
      <c r="N58" s="33"/>
      <c r="O58" s="33"/>
      <c r="P58" s="33"/>
      <c r="Q58" s="33"/>
      <c r="R58" s="33">
        <v>0</v>
      </c>
      <c r="S58" s="33"/>
      <c r="T58" s="33"/>
      <c r="U58" s="33"/>
      <c r="V58" s="33"/>
      <c r="W58" s="34">
        <v>0</v>
      </c>
      <c r="X58" s="33"/>
      <c r="Y58" s="33"/>
      <c r="Z58" s="33"/>
      <c r="AA58" s="33"/>
      <c r="AB58" s="33">
        <v>0.18</v>
      </c>
      <c r="AC58" s="33"/>
      <c r="AD58" s="33"/>
      <c r="AE58" s="33"/>
      <c r="AF58" s="33"/>
      <c r="AG58" s="33">
        <v>0.03</v>
      </c>
      <c r="AH58" s="19"/>
      <c r="AI58" s="31" t="s">
        <v>95</v>
      </c>
    </row>
    <row r="59" spans="1:41" x14ac:dyDescent="0.3">
      <c r="A59" s="230"/>
      <c r="B59" s="24" t="s">
        <v>96</v>
      </c>
      <c r="C59" s="33">
        <v>0.02</v>
      </c>
      <c r="D59" s="33"/>
      <c r="E59" s="33"/>
      <c r="F59" s="33"/>
      <c r="G59" s="33"/>
      <c r="H59" s="33">
        <v>0.02</v>
      </c>
      <c r="I59" s="33"/>
      <c r="J59" s="33"/>
      <c r="K59" s="33"/>
      <c r="L59" s="33"/>
      <c r="M59" s="33">
        <v>0.75</v>
      </c>
      <c r="N59" s="33"/>
      <c r="O59" s="33"/>
      <c r="P59" s="33"/>
      <c r="Q59" s="33"/>
      <c r="R59" s="33">
        <v>0</v>
      </c>
      <c r="S59" s="33"/>
      <c r="T59" s="33"/>
      <c r="U59" s="33"/>
      <c r="V59" s="33"/>
      <c r="W59" s="34">
        <v>0</v>
      </c>
      <c r="X59" s="33"/>
      <c r="Y59" s="33"/>
      <c r="Z59" s="33"/>
      <c r="AA59" s="33"/>
      <c r="AB59" s="33">
        <v>0.18</v>
      </c>
      <c r="AC59" s="33"/>
      <c r="AD59" s="33"/>
      <c r="AE59" s="33"/>
      <c r="AF59" s="33"/>
      <c r="AG59" s="33">
        <v>0.03</v>
      </c>
      <c r="AH59" s="19"/>
      <c r="AI59" s="31" t="s">
        <v>97</v>
      </c>
    </row>
    <row r="60" spans="1:41" x14ac:dyDescent="0.3">
      <c r="A60" s="230"/>
      <c r="B60" s="24" t="s">
        <v>98</v>
      </c>
      <c r="C60" s="33">
        <v>0.02</v>
      </c>
      <c r="D60" s="33"/>
      <c r="E60" s="33"/>
      <c r="F60" s="33"/>
      <c r="G60" s="33"/>
      <c r="H60" s="33">
        <v>0.02</v>
      </c>
      <c r="I60" s="33"/>
      <c r="J60" s="33"/>
      <c r="K60" s="33"/>
      <c r="L60" s="33"/>
      <c r="M60" s="33">
        <v>0.75</v>
      </c>
      <c r="N60" s="33"/>
      <c r="O60" s="33"/>
      <c r="P60" s="33"/>
      <c r="Q60" s="33"/>
      <c r="R60" s="33">
        <v>0</v>
      </c>
      <c r="S60" s="33"/>
      <c r="T60" s="33"/>
      <c r="U60" s="33"/>
      <c r="V60" s="33"/>
      <c r="W60" s="34">
        <v>0</v>
      </c>
      <c r="X60" s="33"/>
      <c r="Y60" s="33"/>
      <c r="Z60" s="33"/>
      <c r="AA60" s="33"/>
      <c r="AB60" s="33">
        <v>0.18</v>
      </c>
      <c r="AC60" s="33"/>
      <c r="AD60" s="33"/>
      <c r="AE60" s="33"/>
      <c r="AF60" s="33"/>
      <c r="AG60" s="33">
        <v>0.03</v>
      </c>
      <c r="AH60" s="19"/>
      <c r="AI60" s="31" t="s">
        <v>99</v>
      </c>
    </row>
    <row r="61" spans="1:41" x14ac:dyDescent="0.3">
      <c r="A61" s="230"/>
      <c r="B61" s="24" t="s">
        <v>100</v>
      </c>
      <c r="C61" s="33">
        <v>0.74</v>
      </c>
      <c r="D61" s="33"/>
      <c r="E61" s="33"/>
      <c r="F61" s="33"/>
      <c r="G61" s="33"/>
      <c r="H61" s="33">
        <v>0.02</v>
      </c>
      <c r="I61" s="33"/>
      <c r="J61" s="33"/>
      <c r="K61" s="33"/>
      <c r="L61" s="33"/>
      <c r="M61" s="33">
        <v>0.1</v>
      </c>
      <c r="N61" s="33"/>
      <c r="O61" s="33"/>
      <c r="P61" s="33"/>
      <c r="Q61" s="33"/>
      <c r="R61" s="33">
        <v>0</v>
      </c>
      <c r="S61" s="33"/>
      <c r="T61" s="33"/>
      <c r="U61" s="33"/>
      <c r="V61" s="33"/>
      <c r="W61" s="34">
        <v>0.1</v>
      </c>
      <c r="X61" s="33"/>
      <c r="Y61" s="33"/>
      <c r="Z61" s="33"/>
      <c r="AA61" s="33"/>
      <c r="AB61" s="33">
        <v>0.01</v>
      </c>
      <c r="AC61" s="33"/>
      <c r="AD61" s="33"/>
      <c r="AE61" s="33"/>
      <c r="AF61" s="33"/>
      <c r="AG61" s="33">
        <v>0.03</v>
      </c>
      <c r="AH61" s="19"/>
      <c r="AI61" s="31" t="s">
        <v>101</v>
      </c>
    </row>
    <row r="62" spans="1:41" x14ac:dyDescent="0.3">
      <c r="A62" s="230"/>
      <c r="B62" s="24" t="s">
        <v>102</v>
      </c>
      <c r="C62" s="33">
        <v>0.2</v>
      </c>
      <c r="D62" s="33"/>
      <c r="E62" s="33"/>
      <c r="F62" s="33"/>
      <c r="G62" s="33"/>
      <c r="H62" s="33">
        <v>0.02</v>
      </c>
      <c r="I62" s="33"/>
      <c r="J62" s="33"/>
      <c r="K62" s="33"/>
      <c r="L62" s="33"/>
      <c r="M62" s="33">
        <v>0.61</v>
      </c>
      <c r="N62" s="33"/>
      <c r="O62" s="33"/>
      <c r="P62" s="33"/>
      <c r="Q62" s="33"/>
      <c r="R62" s="33">
        <v>0</v>
      </c>
      <c r="S62" s="33"/>
      <c r="T62" s="33"/>
      <c r="U62" s="33"/>
      <c r="V62" s="33"/>
      <c r="W62" s="34">
        <v>0.12</v>
      </c>
      <c r="X62" s="33"/>
      <c r="Y62" s="33"/>
      <c r="Z62" s="33"/>
      <c r="AA62" s="33"/>
      <c r="AB62" s="33">
        <v>0.02</v>
      </c>
      <c r="AC62" s="33"/>
      <c r="AD62" s="33"/>
      <c r="AE62" s="33"/>
      <c r="AF62" s="33"/>
      <c r="AG62" s="33">
        <v>0.03</v>
      </c>
      <c r="AH62" s="19"/>
      <c r="AI62" s="31" t="s">
        <v>103</v>
      </c>
    </row>
    <row r="63" spans="1:41" x14ac:dyDescent="0.3">
      <c r="A63" s="230"/>
      <c r="B63" s="24" t="s">
        <v>104</v>
      </c>
      <c r="C63" s="33">
        <v>0.2</v>
      </c>
      <c r="D63" s="33"/>
      <c r="E63" s="33"/>
      <c r="F63" s="33"/>
      <c r="G63" s="33"/>
      <c r="H63" s="33">
        <v>0.02</v>
      </c>
      <c r="I63" s="33"/>
      <c r="J63" s="33"/>
      <c r="K63" s="33"/>
      <c r="L63" s="33"/>
      <c r="M63" s="33">
        <v>0.61</v>
      </c>
      <c r="N63" s="33"/>
      <c r="O63" s="33"/>
      <c r="P63" s="33"/>
      <c r="Q63" s="33"/>
      <c r="R63" s="33">
        <v>0</v>
      </c>
      <c r="S63" s="33"/>
      <c r="T63" s="33"/>
      <c r="U63" s="33"/>
      <c r="V63" s="33"/>
      <c r="W63" s="34">
        <v>0.12</v>
      </c>
      <c r="X63" s="33"/>
      <c r="Y63" s="33"/>
      <c r="Z63" s="33"/>
      <c r="AA63" s="33"/>
      <c r="AB63" s="33">
        <v>0.02</v>
      </c>
      <c r="AC63" s="33"/>
      <c r="AD63" s="33"/>
      <c r="AE63" s="33"/>
      <c r="AF63" s="33"/>
      <c r="AG63" s="33">
        <v>0.03</v>
      </c>
      <c r="AH63" s="19"/>
      <c r="AI63" s="31" t="s">
        <v>105</v>
      </c>
    </row>
    <row r="64" spans="1:41" x14ac:dyDescent="0.3">
      <c r="A64" s="230"/>
      <c r="B64" s="24" t="s">
        <v>106</v>
      </c>
      <c r="C64" s="33">
        <v>0.2</v>
      </c>
      <c r="D64" s="33"/>
      <c r="E64" s="33"/>
      <c r="F64" s="33"/>
      <c r="G64" s="33"/>
      <c r="H64" s="33">
        <v>0.02</v>
      </c>
      <c r="I64" s="33"/>
      <c r="J64" s="33"/>
      <c r="K64" s="33"/>
      <c r="L64" s="33"/>
      <c r="M64" s="33">
        <v>0.61</v>
      </c>
      <c r="N64" s="33"/>
      <c r="O64" s="33"/>
      <c r="P64" s="33"/>
      <c r="Q64" s="33"/>
      <c r="R64" s="33">
        <v>0</v>
      </c>
      <c r="S64" s="33"/>
      <c r="T64" s="33"/>
      <c r="U64" s="33"/>
      <c r="V64" s="33"/>
      <c r="W64" s="34">
        <v>0.12</v>
      </c>
      <c r="X64" s="33"/>
      <c r="Y64" s="33"/>
      <c r="Z64" s="33"/>
      <c r="AA64" s="33"/>
      <c r="AB64" s="33">
        <v>0.02</v>
      </c>
      <c r="AC64" s="33"/>
      <c r="AD64" s="33"/>
      <c r="AE64" s="33"/>
      <c r="AF64" s="33"/>
      <c r="AG64" s="33">
        <v>0.03</v>
      </c>
      <c r="AH64" s="19"/>
    </row>
    <row r="65" spans="1:68" x14ac:dyDescent="0.3">
      <c r="A65" s="230"/>
      <c r="B65" s="24" t="s">
        <v>107</v>
      </c>
      <c r="C65" s="33">
        <v>0.2</v>
      </c>
      <c r="D65" s="33"/>
      <c r="E65" s="33"/>
      <c r="F65" s="33"/>
      <c r="G65" s="33"/>
      <c r="H65" s="33">
        <v>0.02</v>
      </c>
      <c r="I65" s="33"/>
      <c r="J65" s="33"/>
      <c r="K65" s="33"/>
      <c r="L65" s="33"/>
      <c r="M65" s="33">
        <v>0.61</v>
      </c>
      <c r="N65" s="33"/>
      <c r="O65" s="33"/>
      <c r="P65" s="33"/>
      <c r="Q65" s="33"/>
      <c r="R65" s="33">
        <v>0</v>
      </c>
      <c r="S65" s="33"/>
      <c r="T65" s="33"/>
      <c r="U65" s="33"/>
      <c r="V65" s="33"/>
      <c r="W65" s="34">
        <v>0.12</v>
      </c>
      <c r="X65" s="33"/>
      <c r="Y65" s="33"/>
      <c r="Z65" s="33"/>
      <c r="AA65" s="33"/>
      <c r="AB65" s="33">
        <v>0.02</v>
      </c>
      <c r="AC65" s="33"/>
      <c r="AD65" s="33"/>
      <c r="AE65" s="33"/>
      <c r="AF65" s="33"/>
      <c r="AG65" s="33">
        <v>0.03</v>
      </c>
      <c r="AH65" s="19"/>
      <c r="AI65" t="s">
        <v>108</v>
      </c>
    </row>
    <row r="66" spans="1:68" x14ac:dyDescent="0.3">
      <c r="B66" s="32"/>
      <c r="AH66" s="19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</row>
    <row r="67" spans="1:68" x14ac:dyDescent="0.3">
      <c r="A67" s="1" t="s">
        <v>109</v>
      </c>
      <c r="B67" s="32"/>
      <c r="AH67" s="19"/>
      <c r="AV67" s="36"/>
      <c r="AW67" s="36"/>
      <c r="AX67" s="36"/>
      <c r="BF67" s="36"/>
      <c r="BG67" s="36"/>
      <c r="BH67" s="36"/>
      <c r="BI67" s="36"/>
    </row>
    <row r="68" spans="1:68" x14ac:dyDescent="0.3">
      <c r="B68" s="32"/>
      <c r="C68" s="4">
        <v>2020</v>
      </c>
      <c r="D68" s="4">
        <f t="shared" ref="D68:AG68" si="3">C68+1</f>
        <v>2021</v>
      </c>
      <c r="E68" s="4">
        <f t="shared" si="3"/>
        <v>2022</v>
      </c>
      <c r="F68" s="4">
        <f t="shared" si="3"/>
        <v>2023</v>
      </c>
      <c r="G68" s="4">
        <f t="shared" si="3"/>
        <v>2024</v>
      </c>
      <c r="H68" s="4">
        <f t="shared" si="3"/>
        <v>2025</v>
      </c>
      <c r="I68" s="4">
        <f t="shared" si="3"/>
        <v>2026</v>
      </c>
      <c r="J68" s="4">
        <f t="shared" si="3"/>
        <v>2027</v>
      </c>
      <c r="K68" s="4">
        <f t="shared" si="3"/>
        <v>2028</v>
      </c>
      <c r="L68" s="4">
        <f t="shared" si="3"/>
        <v>2029</v>
      </c>
      <c r="M68" s="4">
        <f t="shared" si="3"/>
        <v>2030</v>
      </c>
      <c r="N68" s="4">
        <f t="shared" si="3"/>
        <v>2031</v>
      </c>
      <c r="O68" s="4">
        <f t="shared" si="3"/>
        <v>2032</v>
      </c>
      <c r="P68" s="4">
        <f t="shared" si="3"/>
        <v>2033</v>
      </c>
      <c r="Q68" s="4">
        <f t="shared" si="3"/>
        <v>2034</v>
      </c>
      <c r="R68" s="4">
        <f t="shared" si="3"/>
        <v>2035</v>
      </c>
      <c r="S68" s="4">
        <f t="shared" si="3"/>
        <v>2036</v>
      </c>
      <c r="T68" s="4">
        <f t="shared" si="3"/>
        <v>2037</v>
      </c>
      <c r="U68" s="4">
        <f t="shared" si="3"/>
        <v>2038</v>
      </c>
      <c r="V68" s="4">
        <f t="shared" si="3"/>
        <v>2039</v>
      </c>
      <c r="W68" s="4">
        <f t="shared" si="3"/>
        <v>2040</v>
      </c>
      <c r="X68" s="4">
        <f t="shared" si="3"/>
        <v>2041</v>
      </c>
      <c r="Y68" s="4">
        <f t="shared" si="3"/>
        <v>2042</v>
      </c>
      <c r="Z68" s="4">
        <f t="shared" si="3"/>
        <v>2043</v>
      </c>
      <c r="AA68" s="4">
        <f t="shared" si="3"/>
        <v>2044</v>
      </c>
      <c r="AB68" s="4">
        <f t="shared" si="3"/>
        <v>2045</v>
      </c>
      <c r="AC68" s="4">
        <f t="shared" si="3"/>
        <v>2046</v>
      </c>
      <c r="AD68" s="4">
        <f t="shared" si="3"/>
        <v>2047</v>
      </c>
      <c r="AE68" s="4">
        <f t="shared" si="3"/>
        <v>2048</v>
      </c>
      <c r="AF68" s="4">
        <f t="shared" si="3"/>
        <v>2049</v>
      </c>
      <c r="AG68" s="4">
        <f t="shared" si="3"/>
        <v>2050</v>
      </c>
      <c r="AH68" s="19"/>
      <c r="AV68" s="36"/>
      <c r="AW68" s="36"/>
      <c r="AX68" s="36"/>
      <c r="BD68" s="37" t="s">
        <v>110</v>
      </c>
      <c r="BE68" s="38" t="s">
        <v>111</v>
      </c>
    </row>
    <row r="69" spans="1:68" ht="12.75" customHeight="1" x14ac:dyDescent="0.3">
      <c r="A69" s="263" t="s">
        <v>46</v>
      </c>
      <c r="B69" s="24" t="s">
        <v>82</v>
      </c>
      <c r="C69" s="24">
        <v>27.5</v>
      </c>
      <c r="D69" s="24"/>
      <c r="E69" s="24"/>
      <c r="F69" s="24"/>
      <c r="G69" s="24"/>
      <c r="H69" s="24">
        <v>27.5</v>
      </c>
      <c r="I69" s="24"/>
      <c r="J69" s="24"/>
      <c r="K69" s="24"/>
      <c r="L69" s="24"/>
      <c r="M69" s="24">
        <v>27.5</v>
      </c>
      <c r="N69" s="24"/>
      <c r="O69" s="24"/>
      <c r="P69" s="24"/>
      <c r="Q69" s="24"/>
      <c r="R69" s="39">
        <f>(M69+W69)/2</f>
        <v>26.875</v>
      </c>
      <c r="S69" s="39"/>
      <c r="T69" s="39"/>
      <c r="U69" s="39"/>
      <c r="V69" s="39"/>
      <c r="W69" s="39">
        <f>(M69+AG69)/2</f>
        <v>26.25</v>
      </c>
      <c r="X69" s="39"/>
      <c r="Y69" s="39"/>
      <c r="Z69" s="39"/>
      <c r="AA69" s="39"/>
      <c r="AB69" s="39">
        <f>(W69+AG69)/2</f>
        <v>25.625</v>
      </c>
      <c r="AC69" s="24"/>
      <c r="AD69" s="24"/>
      <c r="AE69" s="24"/>
      <c r="AF69" s="24"/>
      <c r="AG69" s="24">
        <v>25</v>
      </c>
      <c r="AH69" s="19"/>
      <c r="AI69" t="s">
        <v>112</v>
      </c>
      <c r="AV69" s="36"/>
      <c r="AW69" s="36"/>
      <c r="AX69" s="36"/>
      <c r="BD69" s="40"/>
      <c r="BH69" s="41"/>
      <c r="BI69" s="41"/>
      <c r="BJ69" s="41"/>
      <c r="BK69" s="41"/>
    </row>
    <row r="70" spans="1:68" ht="12.75" customHeight="1" x14ac:dyDescent="0.3">
      <c r="A70" s="264"/>
      <c r="B70" s="24" t="s">
        <v>84</v>
      </c>
      <c r="C70" s="24">
        <v>37.5</v>
      </c>
      <c r="D70" s="24"/>
      <c r="E70" s="24"/>
      <c r="F70" s="24"/>
      <c r="G70" s="24"/>
      <c r="H70" s="24">
        <v>37.5</v>
      </c>
      <c r="I70" s="24"/>
      <c r="J70" s="24"/>
      <c r="K70" s="24"/>
      <c r="L70" s="24"/>
      <c r="M70" s="24">
        <v>37.5</v>
      </c>
      <c r="N70" s="24"/>
      <c r="O70" s="24"/>
      <c r="P70" s="24"/>
      <c r="Q70" s="24"/>
      <c r="R70" s="39">
        <f>(M70+W70)/2</f>
        <v>36.625</v>
      </c>
      <c r="S70" s="39"/>
      <c r="T70" s="39"/>
      <c r="U70" s="39"/>
      <c r="V70" s="39"/>
      <c r="W70" s="39">
        <f>(M70+AG70)/2</f>
        <v>35.75</v>
      </c>
      <c r="X70" s="39"/>
      <c r="Y70" s="39"/>
      <c r="Z70" s="39"/>
      <c r="AA70" s="39"/>
      <c r="AB70" s="39">
        <f>(W70+AG70)/2</f>
        <v>34.875</v>
      </c>
      <c r="AC70" s="24"/>
      <c r="AD70" s="24"/>
      <c r="AE70" s="24"/>
      <c r="AF70" s="24"/>
      <c r="AG70" s="24">
        <v>34</v>
      </c>
      <c r="AH70" s="19"/>
      <c r="AV70" s="36"/>
      <c r="AW70" s="36"/>
      <c r="AX70" s="36"/>
      <c r="BD70" s="40"/>
      <c r="BE70" s="42" t="s">
        <v>113</v>
      </c>
      <c r="BF70" t="s">
        <v>72</v>
      </c>
      <c r="BG70" t="s">
        <v>61</v>
      </c>
      <c r="BH70" s="41" t="s">
        <v>114</v>
      </c>
      <c r="BI70" s="41" t="s">
        <v>115</v>
      </c>
      <c r="BJ70" t="s">
        <v>116</v>
      </c>
      <c r="BK70" t="s">
        <v>74</v>
      </c>
      <c r="BL70" t="s">
        <v>117</v>
      </c>
      <c r="BM70" t="s">
        <v>118</v>
      </c>
      <c r="BN70" t="s">
        <v>119</v>
      </c>
    </row>
    <row r="71" spans="1:68" x14ac:dyDescent="0.3">
      <c r="A71" s="264"/>
      <c r="B71" s="24" t="s">
        <v>86</v>
      </c>
      <c r="C71" s="24">
        <v>35</v>
      </c>
      <c r="D71" s="24"/>
      <c r="E71" s="24"/>
      <c r="F71" s="24"/>
      <c r="G71" s="24"/>
      <c r="H71" s="24">
        <v>35</v>
      </c>
      <c r="I71" s="24"/>
      <c r="J71" s="24"/>
      <c r="K71" s="24"/>
      <c r="L71" s="24"/>
      <c r="M71" s="24">
        <v>35</v>
      </c>
      <c r="N71" s="24"/>
      <c r="O71" s="24"/>
      <c r="P71" s="24"/>
      <c r="Q71" s="24"/>
      <c r="R71" s="39">
        <f>(M71+W71)/2</f>
        <v>34.125</v>
      </c>
      <c r="S71" s="39"/>
      <c r="T71" s="39"/>
      <c r="U71" s="39"/>
      <c r="V71" s="39"/>
      <c r="W71" s="39">
        <f>(M71+AG71)/2</f>
        <v>33.25</v>
      </c>
      <c r="X71" s="39"/>
      <c r="Y71" s="39"/>
      <c r="Z71" s="39"/>
      <c r="AA71" s="39"/>
      <c r="AB71" s="39">
        <f>(W71+AG71)/2</f>
        <v>32.375</v>
      </c>
      <c r="AC71" s="24"/>
      <c r="AD71" s="24"/>
      <c r="AE71" s="24"/>
      <c r="AF71" s="24"/>
      <c r="AG71" s="24">
        <v>31.5</v>
      </c>
      <c r="AH71" s="19"/>
      <c r="AV71" s="36"/>
      <c r="AW71" s="36"/>
      <c r="AX71" s="36"/>
      <c r="BD71" s="43">
        <v>2015</v>
      </c>
      <c r="BE71" s="42" t="s">
        <v>120</v>
      </c>
      <c r="BF71" s="44">
        <v>0.112</v>
      </c>
      <c r="BG71" s="44">
        <v>2.5000000000000001E-2</v>
      </c>
      <c r="BH71" s="44">
        <v>0.25900000000000001</v>
      </c>
      <c r="BI71" s="44">
        <v>0.438</v>
      </c>
      <c r="BJ71" s="44">
        <v>8.2000000000000003E-2</v>
      </c>
      <c r="BK71" s="44">
        <v>7.8E-2</v>
      </c>
      <c r="BL71" s="44">
        <v>6.0000000000000001E-3</v>
      </c>
      <c r="BM71" s="44">
        <v>1E-3</v>
      </c>
      <c r="BN71" s="45">
        <v>1</v>
      </c>
      <c r="BO71" s="44"/>
      <c r="BP71" s="44"/>
    </row>
    <row r="72" spans="1:68" x14ac:dyDescent="0.3">
      <c r="A72" s="265"/>
      <c r="B72" s="24" t="s">
        <v>90</v>
      </c>
      <c r="C72" s="24">
        <v>42.5</v>
      </c>
      <c r="D72" s="24"/>
      <c r="E72" s="24"/>
      <c r="F72" s="24"/>
      <c r="G72" s="24"/>
      <c r="H72" s="24">
        <v>42.5</v>
      </c>
      <c r="I72" s="24"/>
      <c r="J72" s="24"/>
      <c r="K72" s="24"/>
      <c r="L72" s="24"/>
      <c r="M72" s="24">
        <v>42.5</v>
      </c>
      <c r="N72" s="24"/>
      <c r="O72" s="24"/>
      <c r="P72" s="24"/>
      <c r="Q72" s="24"/>
      <c r="R72" s="39">
        <f>(M72+W72)/2</f>
        <v>41.375</v>
      </c>
      <c r="S72" s="39"/>
      <c r="T72" s="39"/>
      <c r="U72" s="39"/>
      <c r="V72" s="39"/>
      <c r="W72" s="39">
        <f>(M72+AG72)/2</f>
        <v>40.25</v>
      </c>
      <c r="X72" s="39"/>
      <c r="Y72" s="39"/>
      <c r="Z72" s="39"/>
      <c r="AA72" s="39"/>
      <c r="AB72" s="39">
        <f>(W72+AG72)/2</f>
        <v>39.125</v>
      </c>
      <c r="AC72" s="24"/>
      <c r="AD72" s="24"/>
      <c r="AE72" s="24"/>
      <c r="AF72" s="24"/>
      <c r="AG72" s="24">
        <v>38</v>
      </c>
      <c r="AH72" s="19"/>
      <c r="AK72" s="235" t="s">
        <v>121</v>
      </c>
      <c r="AL72" s="235"/>
      <c r="AM72" s="235"/>
      <c r="AN72" s="235"/>
      <c r="AO72" s="235"/>
      <c r="AP72" s="235"/>
      <c r="AQ72" s="235"/>
      <c r="AR72" s="235"/>
      <c r="AS72" s="235"/>
      <c r="AT72" s="235"/>
      <c r="AV72" s="36"/>
      <c r="AW72" s="36"/>
      <c r="AX72" s="36"/>
      <c r="BD72" s="46"/>
      <c r="BE72" s="47" t="s">
        <v>122</v>
      </c>
      <c r="BF72" s="48">
        <v>2.8000000000000001E-2</v>
      </c>
      <c r="BG72" s="48">
        <v>1E-3</v>
      </c>
      <c r="BH72" s="48">
        <v>0.436</v>
      </c>
      <c r="BI72" s="48">
        <v>0.443</v>
      </c>
      <c r="BJ72" s="48">
        <v>4.0000000000000001E-3</v>
      </c>
      <c r="BK72" s="48">
        <v>6.0000000000000001E-3</v>
      </c>
      <c r="BL72" s="48">
        <v>8.2000000000000003E-2</v>
      </c>
      <c r="BM72" s="48">
        <v>1E-3</v>
      </c>
      <c r="BN72" s="49">
        <v>1</v>
      </c>
      <c r="BO72" s="48"/>
      <c r="BP72" s="48"/>
    </row>
    <row r="73" spans="1:68" x14ac:dyDescent="0.3">
      <c r="AH73" s="19"/>
      <c r="AK73" s="226"/>
      <c r="AL73" s="226"/>
      <c r="AM73" s="3"/>
      <c r="AN73" s="3" t="s">
        <v>60</v>
      </c>
      <c r="AO73" s="3" t="s">
        <v>70</v>
      </c>
      <c r="AP73" s="3" t="s">
        <v>71</v>
      </c>
      <c r="AQ73" s="3" t="s">
        <v>72</v>
      </c>
      <c r="AR73" s="3" t="s">
        <v>74</v>
      </c>
      <c r="AS73" s="3" t="s">
        <v>73</v>
      </c>
      <c r="AT73" s="3" t="s">
        <v>75</v>
      </c>
      <c r="BD73" s="46">
        <v>2020</v>
      </c>
      <c r="BE73" s="47" t="s">
        <v>120</v>
      </c>
      <c r="BF73" s="48">
        <v>9.6000000000000002E-2</v>
      </c>
      <c r="BG73" s="48">
        <v>2.1999999999999999E-2</v>
      </c>
      <c r="BH73" s="48">
        <v>0.254</v>
      </c>
      <c r="BI73" s="48">
        <v>0.41899999999999998</v>
      </c>
      <c r="BJ73" s="48">
        <v>0.11700000000000001</v>
      </c>
      <c r="BK73" s="48">
        <v>0.08</v>
      </c>
      <c r="BL73" s="48">
        <v>0.01</v>
      </c>
      <c r="BM73" s="48">
        <v>1E-3</v>
      </c>
      <c r="BN73" s="49">
        <v>1</v>
      </c>
      <c r="BO73" s="48"/>
      <c r="BP73" s="48"/>
    </row>
    <row r="74" spans="1:68" x14ac:dyDescent="0.3">
      <c r="C74" s="3" t="s">
        <v>60</v>
      </c>
      <c r="H74" s="3" t="s">
        <v>70</v>
      </c>
      <c r="M74" s="3" t="s">
        <v>71</v>
      </c>
      <c r="R74" s="3" t="s">
        <v>72</v>
      </c>
      <c r="W74" s="3" t="s">
        <v>73</v>
      </c>
      <c r="AB74" s="3" t="s">
        <v>74</v>
      </c>
      <c r="AG74" s="3" t="s">
        <v>75</v>
      </c>
      <c r="AH74" s="19"/>
      <c r="AI74" t="s">
        <v>123</v>
      </c>
      <c r="AK74" s="233" t="s">
        <v>48</v>
      </c>
      <c r="AL74" s="233"/>
      <c r="AM74" s="50" t="s">
        <v>63</v>
      </c>
      <c r="AN74" s="51">
        <v>0.21</v>
      </c>
      <c r="AO74" s="51">
        <v>0.06</v>
      </c>
      <c r="AP74" s="51">
        <v>0.56000000000000005</v>
      </c>
      <c r="AQ74" s="51">
        <v>0</v>
      </c>
      <c r="AR74" s="51">
        <v>0.16</v>
      </c>
      <c r="AS74" s="51">
        <v>0.01</v>
      </c>
      <c r="AT74" s="51">
        <v>0</v>
      </c>
      <c r="AX74" s="2"/>
      <c r="AY74" s="2"/>
      <c r="AZ74" s="2"/>
      <c r="BA74" s="2"/>
      <c r="BB74" s="2"/>
      <c r="BC74" s="2"/>
      <c r="BD74" s="46"/>
      <c r="BE74" s="47" t="s">
        <v>122</v>
      </c>
      <c r="BF74" s="48">
        <v>0.02</v>
      </c>
      <c r="BG74" s="48">
        <v>1E-3</v>
      </c>
      <c r="BH74" s="48">
        <v>0.46</v>
      </c>
      <c r="BI74" s="48">
        <v>0.41099999999999998</v>
      </c>
      <c r="BJ74" s="48">
        <v>5.0000000000000001E-3</v>
      </c>
      <c r="BK74" s="48">
        <v>5.0000000000000001E-3</v>
      </c>
      <c r="BL74" s="48">
        <v>9.8000000000000004E-2</v>
      </c>
      <c r="BM74" s="48">
        <v>1E-3</v>
      </c>
      <c r="BN74" s="49">
        <v>1</v>
      </c>
      <c r="BO74" s="48"/>
      <c r="BP74" s="48"/>
    </row>
    <row r="75" spans="1:68" ht="12.75" customHeight="1" x14ac:dyDescent="0.3">
      <c r="A75" s="263" t="s">
        <v>92</v>
      </c>
      <c r="B75" s="24" t="s">
        <v>93</v>
      </c>
      <c r="C75" s="51">
        <v>0.02</v>
      </c>
      <c r="D75" s="51"/>
      <c r="E75" s="51"/>
      <c r="F75" s="51"/>
      <c r="G75" s="51"/>
      <c r="H75" s="51">
        <v>0.02</v>
      </c>
      <c r="I75" s="51"/>
      <c r="J75" s="51"/>
      <c r="K75" s="51"/>
      <c r="L75" s="51"/>
      <c r="M75" s="51">
        <v>0.75</v>
      </c>
      <c r="N75" s="51"/>
      <c r="O75" s="51"/>
      <c r="P75" s="51"/>
      <c r="Q75" s="51"/>
      <c r="R75" s="51">
        <v>0</v>
      </c>
      <c r="S75" s="51"/>
      <c r="T75" s="51"/>
      <c r="U75" s="51"/>
      <c r="V75" s="51"/>
      <c r="W75" s="52">
        <v>5.0000000000000001E-3</v>
      </c>
      <c r="X75" s="51"/>
      <c r="Y75" s="51"/>
      <c r="Z75" s="51"/>
      <c r="AA75" s="51"/>
      <c r="AB75" s="51">
        <v>0.17499999999999999</v>
      </c>
      <c r="AC75" s="51"/>
      <c r="AD75" s="51"/>
      <c r="AE75" s="51"/>
      <c r="AF75" s="51"/>
      <c r="AG75" s="51">
        <v>0.03</v>
      </c>
      <c r="AH75" s="19"/>
      <c r="AI75" s="19"/>
      <c r="AK75" s="233" t="s">
        <v>49</v>
      </c>
      <c r="AL75" s="233"/>
      <c r="AM75" s="50" t="s">
        <v>63</v>
      </c>
      <c r="AN75" s="51">
        <v>0.1</v>
      </c>
      <c r="AO75" s="51">
        <v>0.05</v>
      </c>
      <c r="AP75" s="51">
        <v>0.6</v>
      </c>
      <c r="AQ75" s="51">
        <v>0</v>
      </c>
      <c r="AR75" s="51">
        <v>0.18</v>
      </c>
      <c r="AS75" s="51">
        <v>0.05</v>
      </c>
      <c r="AT75" s="51">
        <v>0.02</v>
      </c>
      <c r="AX75" s="41"/>
      <c r="AY75" s="41"/>
      <c r="BD75" s="46">
        <v>2030</v>
      </c>
      <c r="BE75" s="47" t="s">
        <v>120</v>
      </c>
      <c r="BF75" s="48">
        <v>8.1000000000000003E-2</v>
      </c>
      <c r="BG75" s="48">
        <v>1.7999999999999999E-2</v>
      </c>
      <c r="BH75" s="48">
        <v>0.23699999999999999</v>
      </c>
      <c r="BI75" s="48">
        <v>0.372</v>
      </c>
      <c r="BJ75" s="48">
        <v>0.17799999999999999</v>
      </c>
      <c r="BK75" s="48">
        <v>0.10100000000000001</v>
      </c>
      <c r="BL75" s="48">
        <v>1.2E-2</v>
      </c>
      <c r="BM75" s="48">
        <v>1E-3</v>
      </c>
      <c r="BN75" s="49">
        <v>1</v>
      </c>
      <c r="BO75" s="48"/>
      <c r="BP75" s="48"/>
    </row>
    <row r="76" spans="1:68" x14ac:dyDescent="0.3">
      <c r="A76" s="264"/>
      <c r="B76" s="24" t="s">
        <v>94</v>
      </c>
      <c r="C76" s="51">
        <v>0.02</v>
      </c>
      <c r="D76" s="51"/>
      <c r="E76" s="51"/>
      <c r="F76" s="51"/>
      <c r="G76" s="51"/>
      <c r="H76" s="51">
        <v>0.02</v>
      </c>
      <c r="I76" s="51"/>
      <c r="J76" s="51"/>
      <c r="K76" s="51"/>
      <c r="L76" s="51"/>
      <c r="M76" s="51">
        <v>0.75</v>
      </c>
      <c r="N76" s="51"/>
      <c r="O76" s="51"/>
      <c r="P76" s="51"/>
      <c r="Q76" s="51"/>
      <c r="R76" s="51">
        <v>0</v>
      </c>
      <c r="S76" s="51"/>
      <c r="T76" s="51"/>
      <c r="U76" s="51"/>
      <c r="V76" s="51"/>
      <c r="W76" s="52">
        <v>0.01</v>
      </c>
      <c r="X76" s="51"/>
      <c r="Y76" s="51"/>
      <c r="Z76" s="51"/>
      <c r="AA76" s="51"/>
      <c r="AB76" s="51">
        <v>0.17</v>
      </c>
      <c r="AC76" s="51"/>
      <c r="AD76" s="51"/>
      <c r="AE76" s="51"/>
      <c r="AF76" s="51"/>
      <c r="AG76" s="51">
        <v>0.03</v>
      </c>
      <c r="AH76" s="19"/>
      <c r="AI76" s="31" t="s">
        <v>124</v>
      </c>
      <c r="AK76" s="233" t="s">
        <v>50</v>
      </c>
      <c r="AL76" s="233"/>
      <c r="AM76" s="50" t="s">
        <v>63</v>
      </c>
      <c r="AN76" s="51">
        <v>7.0000000000000007E-2</v>
      </c>
      <c r="AO76" s="51">
        <v>0.05</v>
      </c>
      <c r="AP76" s="51">
        <v>0.65</v>
      </c>
      <c r="AQ76" s="51">
        <v>0</v>
      </c>
      <c r="AR76" s="51">
        <v>0.12</v>
      </c>
      <c r="AS76" s="51">
        <v>0.06</v>
      </c>
      <c r="AT76" s="51">
        <v>0.05</v>
      </c>
      <c r="AX76" s="41"/>
      <c r="AY76" s="41"/>
      <c r="BD76" s="46"/>
      <c r="BE76" s="47" t="s">
        <v>122</v>
      </c>
      <c r="BF76" s="48">
        <v>1.7000000000000001E-2</v>
      </c>
      <c r="BG76" s="48">
        <v>0</v>
      </c>
      <c r="BH76" s="48">
        <v>0.40300000000000002</v>
      </c>
      <c r="BI76" s="48">
        <v>0.36499999999999999</v>
      </c>
      <c r="BJ76" s="48">
        <v>0.08</v>
      </c>
      <c r="BK76" s="48">
        <v>2.8000000000000001E-2</v>
      </c>
      <c r="BL76" s="48">
        <v>0.106</v>
      </c>
      <c r="BM76" s="48">
        <v>1E-3</v>
      </c>
      <c r="BN76" s="49">
        <v>1</v>
      </c>
      <c r="BO76" s="48"/>
      <c r="BP76" s="48"/>
    </row>
    <row r="77" spans="1:68" x14ac:dyDescent="0.3">
      <c r="A77" s="264"/>
      <c r="B77" s="24" t="s">
        <v>96</v>
      </c>
      <c r="C77" s="51">
        <v>0.02</v>
      </c>
      <c r="D77" s="24"/>
      <c r="E77" s="24"/>
      <c r="F77" s="24"/>
      <c r="G77" s="24"/>
      <c r="H77" s="51">
        <v>0.02</v>
      </c>
      <c r="I77" s="24"/>
      <c r="J77" s="24"/>
      <c r="K77" s="24"/>
      <c r="L77" s="24"/>
      <c r="M77" s="51">
        <v>0.755</v>
      </c>
      <c r="N77" s="24"/>
      <c r="O77" s="24"/>
      <c r="P77" s="24"/>
      <c r="Q77" s="24"/>
      <c r="R77" s="51">
        <v>0</v>
      </c>
      <c r="S77" s="24"/>
      <c r="T77" s="24"/>
      <c r="U77" s="24"/>
      <c r="V77" s="24"/>
      <c r="W77" s="52">
        <v>1.4999999999999999E-2</v>
      </c>
      <c r="X77" s="24"/>
      <c r="Y77" s="24"/>
      <c r="Z77" s="24"/>
      <c r="AA77" s="24"/>
      <c r="AB77" s="51">
        <v>0.15</v>
      </c>
      <c r="AC77" s="24"/>
      <c r="AD77" s="24"/>
      <c r="AE77" s="24"/>
      <c r="AF77" s="24"/>
      <c r="AG77" s="51">
        <v>0.04</v>
      </c>
      <c r="AH77" s="19"/>
      <c r="AI77" s="31" t="s">
        <v>125</v>
      </c>
      <c r="AK77" s="233" t="s">
        <v>51</v>
      </c>
      <c r="AL77" s="233"/>
      <c r="AM77" s="50" t="s">
        <v>63</v>
      </c>
      <c r="AN77" s="51">
        <v>0.05</v>
      </c>
      <c r="AO77" s="51">
        <v>0.05</v>
      </c>
      <c r="AP77" s="51">
        <v>0.68</v>
      </c>
      <c r="AQ77" s="51">
        <v>0</v>
      </c>
      <c r="AR77" s="51">
        <v>0.09</v>
      </c>
      <c r="AS77" s="51">
        <v>0.08</v>
      </c>
      <c r="AT77" s="51">
        <v>0.05</v>
      </c>
      <c r="AX77" s="41"/>
      <c r="AY77" s="41"/>
      <c r="BD77" s="46">
        <v>2040</v>
      </c>
      <c r="BE77" s="47" t="s">
        <v>120</v>
      </c>
      <c r="BF77" s="48">
        <v>1.4999999999999999E-2</v>
      </c>
      <c r="BG77" s="48">
        <v>3.0000000000000001E-3</v>
      </c>
      <c r="BH77" s="48">
        <v>0.16600000000000001</v>
      </c>
      <c r="BI77" s="48">
        <v>0.16800000000000001</v>
      </c>
      <c r="BJ77" s="48">
        <v>0.439</v>
      </c>
      <c r="BK77" s="48">
        <v>0.189</v>
      </c>
      <c r="BL77" s="48">
        <v>1.7999999999999999E-2</v>
      </c>
      <c r="BM77" s="48">
        <v>0</v>
      </c>
      <c r="BN77" s="49">
        <v>1</v>
      </c>
      <c r="BO77" s="48"/>
      <c r="BP77" s="48"/>
    </row>
    <row r="78" spans="1:68" x14ac:dyDescent="0.3">
      <c r="A78" s="264"/>
      <c r="B78" s="24" t="s">
        <v>98</v>
      </c>
      <c r="C78" s="51">
        <v>0.02</v>
      </c>
      <c r="D78" s="24"/>
      <c r="E78" s="24"/>
      <c r="F78" s="24"/>
      <c r="G78" s="24"/>
      <c r="H78" s="51">
        <v>0.02</v>
      </c>
      <c r="I78" s="24"/>
      <c r="J78" s="24"/>
      <c r="K78" s="24"/>
      <c r="L78" s="24"/>
      <c r="M78" s="51">
        <v>0.77</v>
      </c>
      <c r="N78" s="24"/>
      <c r="O78" s="24"/>
      <c r="P78" s="24"/>
      <c r="Q78" s="24"/>
      <c r="R78" s="51">
        <v>0</v>
      </c>
      <c r="S78" s="24"/>
      <c r="T78" s="24"/>
      <c r="U78" s="24"/>
      <c r="V78" s="24"/>
      <c r="W78" s="52">
        <v>0.02</v>
      </c>
      <c r="X78" s="24"/>
      <c r="Y78" s="24"/>
      <c r="Z78" s="24"/>
      <c r="AA78" s="24"/>
      <c r="AB78" s="51">
        <v>0.12</v>
      </c>
      <c r="AC78" s="24"/>
      <c r="AD78" s="24"/>
      <c r="AE78" s="24"/>
      <c r="AF78" s="24"/>
      <c r="AG78" s="51">
        <v>0.05</v>
      </c>
      <c r="AH78" s="19"/>
      <c r="AI78" s="31" t="s">
        <v>126</v>
      </c>
      <c r="AK78" s="233" t="s">
        <v>52</v>
      </c>
      <c r="AL78" s="233"/>
      <c r="AM78" s="50" t="s">
        <v>63</v>
      </c>
      <c r="AN78" s="51">
        <v>0.05</v>
      </c>
      <c r="AO78" s="51">
        <v>0.05</v>
      </c>
      <c r="AP78" s="51">
        <v>0.7</v>
      </c>
      <c r="AQ78" s="51">
        <v>0</v>
      </c>
      <c r="AR78" s="51">
        <v>0.05</v>
      </c>
      <c r="AS78" s="51">
        <v>0.1</v>
      </c>
      <c r="AT78" s="51">
        <v>0.05</v>
      </c>
      <c r="AX78" s="41"/>
      <c r="AY78" s="41"/>
      <c r="BD78" s="46"/>
      <c r="BE78" s="47" t="s">
        <v>122</v>
      </c>
      <c r="BF78" s="48">
        <v>3.0000000000000001E-3</v>
      </c>
      <c r="BG78" s="48">
        <v>0</v>
      </c>
      <c r="BH78" s="48">
        <v>0.157</v>
      </c>
      <c r="BI78" s="48">
        <v>0.16600000000000001</v>
      </c>
      <c r="BJ78" s="48">
        <v>0.40500000000000003</v>
      </c>
      <c r="BK78" s="48">
        <v>0.127</v>
      </c>
      <c r="BL78" s="48">
        <v>0.14199999999999999</v>
      </c>
      <c r="BM78" s="48">
        <v>0</v>
      </c>
      <c r="BN78" s="49">
        <v>1</v>
      </c>
      <c r="BO78" s="48"/>
      <c r="BP78" s="48"/>
    </row>
    <row r="79" spans="1:68" x14ac:dyDescent="0.3">
      <c r="A79" s="264"/>
      <c r="B79" t="s">
        <v>100</v>
      </c>
      <c r="C79" s="51">
        <v>0.74</v>
      </c>
      <c r="D79" s="51"/>
      <c r="E79" s="51"/>
      <c r="F79" s="51"/>
      <c r="G79" s="51"/>
      <c r="H79" s="51">
        <v>0.02</v>
      </c>
      <c r="I79" s="51"/>
      <c r="J79" s="51"/>
      <c r="K79" s="51"/>
      <c r="L79" s="51"/>
      <c r="M79" s="51">
        <v>0.1</v>
      </c>
      <c r="N79" s="51"/>
      <c r="O79" s="51"/>
      <c r="P79" s="51"/>
      <c r="Q79" s="51"/>
      <c r="R79" s="51">
        <v>0</v>
      </c>
      <c r="S79" s="51"/>
      <c r="T79" s="51"/>
      <c r="U79" s="51"/>
      <c r="V79" s="51"/>
      <c r="W79" s="51">
        <v>0.1</v>
      </c>
      <c r="X79" s="51"/>
      <c r="Y79" s="51"/>
      <c r="Z79" s="51"/>
      <c r="AA79" s="51"/>
      <c r="AB79" s="51">
        <v>0.01</v>
      </c>
      <c r="AC79" s="51"/>
      <c r="AD79" s="51"/>
      <c r="AE79" s="51"/>
      <c r="AF79" s="51"/>
      <c r="AG79" s="51">
        <v>0.03</v>
      </c>
      <c r="AH79" s="19"/>
      <c r="AI79" s="31"/>
      <c r="AK79" s="233" t="s">
        <v>48</v>
      </c>
      <c r="AL79" s="233"/>
      <c r="AM79" s="50" t="s">
        <v>67</v>
      </c>
      <c r="AN79" s="51">
        <v>0.69</v>
      </c>
      <c r="AO79" s="51">
        <v>0.11</v>
      </c>
      <c r="AP79" s="51">
        <v>0.03</v>
      </c>
      <c r="AQ79" s="51">
        <v>0</v>
      </c>
      <c r="AR79" s="51">
        <v>0.01</v>
      </c>
      <c r="AS79" s="51">
        <v>0.16</v>
      </c>
      <c r="AT79" s="51">
        <v>0</v>
      </c>
      <c r="AX79" s="41"/>
      <c r="AY79" s="41"/>
      <c r="BD79" s="46">
        <v>2050</v>
      </c>
      <c r="BE79" s="47" t="s">
        <v>120</v>
      </c>
      <c r="BF79" s="48">
        <v>0</v>
      </c>
      <c r="BG79" s="48">
        <v>0</v>
      </c>
      <c r="BH79" s="48">
        <v>0.15</v>
      </c>
      <c r="BI79" s="48">
        <v>0.12</v>
      </c>
      <c r="BJ79" s="48">
        <v>0.5</v>
      </c>
      <c r="BK79" s="48">
        <v>0.21</v>
      </c>
      <c r="BL79" s="48">
        <v>0.02</v>
      </c>
      <c r="BM79" s="48">
        <v>0</v>
      </c>
      <c r="BN79" s="49">
        <v>1</v>
      </c>
      <c r="BO79" s="48"/>
      <c r="BP79" s="48"/>
    </row>
    <row r="80" spans="1:68" x14ac:dyDescent="0.3">
      <c r="A80" s="264"/>
      <c r="B80" s="24" t="s">
        <v>102</v>
      </c>
      <c r="C80" s="51">
        <v>0.21</v>
      </c>
      <c r="D80" s="24"/>
      <c r="E80" s="24"/>
      <c r="F80" s="24"/>
      <c r="G80" s="24"/>
      <c r="H80" s="51">
        <v>0.02</v>
      </c>
      <c r="I80" s="24"/>
      <c r="J80" s="24"/>
      <c r="K80" s="24"/>
      <c r="L80" s="24"/>
      <c r="M80" s="51">
        <v>0.59</v>
      </c>
      <c r="N80" s="24"/>
      <c r="O80" s="24"/>
      <c r="P80" s="24"/>
      <c r="Q80" s="24"/>
      <c r="R80" s="51">
        <v>0</v>
      </c>
      <c r="S80" s="24"/>
      <c r="T80" s="24"/>
      <c r="U80" s="24"/>
      <c r="V80" s="24"/>
      <c r="W80" s="51">
        <v>0.13</v>
      </c>
      <c r="X80" s="24"/>
      <c r="Y80" s="24"/>
      <c r="Z80" s="24"/>
      <c r="AA80" s="24"/>
      <c r="AB80" s="51">
        <v>0.02</v>
      </c>
      <c r="AC80" s="24"/>
      <c r="AD80" s="24"/>
      <c r="AE80" s="24"/>
      <c r="AF80" s="24"/>
      <c r="AG80" s="51">
        <v>0.03</v>
      </c>
      <c r="AH80" s="19"/>
      <c r="AI80" s="31"/>
      <c r="AK80" s="233" t="s">
        <v>49</v>
      </c>
      <c r="AL80" s="233"/>
      <c r="AM80" s="50" t="s">
        <v>67</v>
      </c>
      <c r="AN80" s="51">
        <v>0.37</v>
      </c>
      <c r="AO80" s="51">
        <v>0.2</v>
      </c>
      <c r="AP80" s="51">
        <v>0.05</v>
      </c>
      <c r="AQ80" s="51">
        <v>0</v>
      </c>
      <c r="AR80" s="51">
        <v>0.1</v>
      </c>
      <c r="AS80" s="51">
        <v>0.27</v>
      </c>
      <c r="AT80" s="51">
        <v>0.01</v>
      </c>
      <c r="AX80" s="41"/>
      <c r="AY80" s="41"/>
      <c r="BD80" s="53"/>
      <c r="BE80" s="54" t="s">
        <v>122</v>
      </c>
      <c r="BF80" s="55">
        <v>0</v>
      </c>
      <c r="BG80" s="55">
        <v>0</v>
      </c>
      <c r="BH80" s="55">
        <v>0.1</v>
      </c>
      <c r="BI80" s="55">
        <v>0.12</v>
      </c>
      <c r="BJ80" s="55">
        <v>0.48</v>
      </c>
      <c r="BK80" s="55">
        <v>0.15</v>
      </c>
      <c r="BL80" s="55">
        <v>0.15</v>
      </c>
      <c r="BM80" s="55">
        <v>0</v>
      </c>
      <c r="BN80" s="56">
        <v>1</v>
      </c>
      <c r="BO80" s="55"/>
      <c r="BP80" s="55"/>
    </row>
    <row r="81" spans="1:66" x14ac:dyDescent="0.3">
      <c r="A81" s="264"/>
      <c r="B81" s="24" t="s">
        <v>104</v>
      </c>
      <c r="C81" s="51">
        <v>0.16</v>
      </c>
      <c r="D81" s="24"/>
      <c r="E81" s="24"/>
      <c r="F81" s="24"/>
      <c r="G81" s="24"/>
      <c r="H81" s="51">
        <v>0.02</v>
      </c>
      <c r="I81" s="24"/>
      <c r="J81" s="24"/>
      <c r="K81" s="24"/>
      <c r="L81" s="24"/>
      <c r="M81" s="51">
        <v>0.6</v>
      </c>
      <c r="N81" s="24"/>
      <c r="O81" s="24"/>
      <c r="P81" s="24"/>
      <c r="Q81" s="24"/>
      <c r="R81" s="51">
        <v>0</v>
      </c>
      <c r="S81" s="24"/>
      <c r="T81" s="24"/>
      <c r="U81" s="24"/>
      <c r="V81" s="24"/>
      <c r="W81" s="51">
        <v>0.17</v>
      </c>
      <c r="X81" s="24"/>
      <c r="Y81" s="24"/>
      <c r="Z81" s="24"/>
      <c r="AA81" s="24"/>
      <c r="AB81" s="51">
        <v>0.02</v>
      </c>
      <c r="AC81" s="24"/>
      <c r="AD81" s="24"/>
      <c r="AE81" s="24"/>
      <c r="AF81" s="24"/>
      <c r="AG81" s="51">
        <v>0.03</v>
      </c>
      <c r="AH81" s="19"/>
      <c r="AI81" s="31"/>
      <c r="AK81" s="233" t="s">
        <v>50</v>
      </c>
      <c r="AL81" s="233"/>
      <c r="AM81" s="50" t="s">
        <v>67</v>
      </c>
      <c r="AN81" s="51">
        <v>0.12</v>
      </c>
      <c r="AO81" s="51">
        <v>0.2</v>
      </c>
      <c r="AP81" s="51">
        <v>0.1</v>
      </c>
      <c r="AQ81" s="51">
        <v>0</v>
      </c>
      <c r="AR81" s="51">
        <v>0.15</v>
      </c>
      <c r="AS81" s="51">
        <v>0.4</v>
      </c>
      <c r="AT81" s="51">
        <v>0.03</v>
      </c>
      <c r="AX81" s="41"/>
      <c r="AY81" s="41"/>
      <c r="BK81" s="41"/>
      <c r="BL81" s="41"/>
      <c r="BM81" s="41"/>
      <c r="BN81" s="41"/>
    </row>
    <row r="82" spans="1:66" x14ac:dyDescent="0.3">
      <c r="A82" s="264"/>
      <c r="B82" s="24" t="s">
        <v>106</v>
      </c>
      <c r="C82" s="51">
        <v>0.09</v>
      </c>
      <c r="D82" s="24"/>
      <c r="E82" s="24"/>
      <c r="F82" s="24"/>
      <c r="G82" s="24"/>
      <c r="H82" s="51">
        <v>1.4999999999999999E-2</v>
      </c>
      <c r="I82" s="24"/>
      <c r="J82" s="24"/>
      <c r="K82" s="24"/>
      <c r="L82" s="24"/>
      <c r="M82" s="51">
        <v>0.61</v>
      </c>
      <c r="N82" s="24"/>
      <c r="O82" s="24"/>
      <c r="P82" s="24"/>
      <c r="Q82" s="24"/>
      <c r="R82" s="51">
        <v>0</v>
      </c>
      <c r="S82" s="24"/>
      <c r="T82" s="24"/>
      <c r="U82" s="24"/>
      <c r="V82" s="24"/>
      <c r="W82" s="51">
        <v>0.23</v>
      </c>
      <c r="X82" s="24"/>
      <c r="Y82" s="24"/>
      <c r="Z82" s="24"/>
      <c r="AA82" s="24"/>
      <c r="AB82" s="51">
        <v>1.4999999999999999E-2</v>
      </c>
      <c r="AC82" s="24"/>
      <c r="AD82" s="24"/>
      <c r="AE82" s="24"/>
      <c r="AF82" s="24"/>
      <c r="AG82" s="51">
        <v>0.04</v>
      </c>
      <c r="AH82" s="19"/>
      <c r="AI82" s="19"/>
      <c r="AK82" s="233" t="s">
        <v>51</v>
      </c>
      <c r="AL82" s="233"/>
      <c r="AM82" s="50" t="s">
        <v>67</v>
      </c>
      <c r="AN82" s="51">
        <v>0.05</v>
      </c>
      <c r="AO82" s="51">
        <v>0.11</v>
      </c>
      <c r="AP82" s="51">
        <v>0.15</v>
      </c>
      <c r="AQ82" s="51">
        <v>0</v>
      </c>
      <c r="AR82" s="51">
        <v>0.15</v>
      </c>
      <c r="AS82" s="51">
        <v>0.5</v>
      </c>
      <c r="AT82" s="51">
        <v>0.04</v>
      </c>
      <c r="AX82" s="41"/>
      <c r="AY82" s="41"/>
      <c r="BK82" s="41"/>
      <c r="BL82" s="41"/>
      <c r="BM82" s="41"/>
      <c r="BN82" s="41"/>
    </row>
    <row r="83" spans="1:66" x14ac:dyDescent="0.3">
      <c r="A83" s="265"/>
      <c r="B83" s="24" t="s">
        <v>107</v>
      </c>
      <c r="C83" s="51">
        <v>0.05</v>
      </c>
      <c r="D83" s="24"/>
      <c r="E83" s="24"/>
      <c r="F83" s="24"/>
      <c r="G83" s="24"/>
      <c r="H83" s="51">
        <v>0.01</v>
      </c>
      <c r="I83" s="24"/>
      <c r="J83" s="24"/>
      <c r="K83" s="24"/>
      <c r="L83" s="24"/>
      <c r="M83" s="51">
        <v>0.61</v>
      </c>
      <c r="N83" s="24"/>
      <c r="O83" s="24"/>
      <c r="P83" s="24"/>
      <c r="Q83" s="24"/>
      <c r="R83" s="51">
        <v>0</v>
      </c>
      <c r="S83" s="24"/>
      <c r="T83" s="24"/>
      <c r="U83" s="24"/>
      <c r="V83" s="24"/>
      <c r="W83" s="51">
        <v>0.27</v>
      </c>
      <c r="X83" s="24"/>
      <c r="Y83" s="24"/>
      <c r="Z83" s="24"/>
      <c r="AA83" s="24"/>
      <c r="AB83" s="51">
        <v>0.01</v>
      </c>
      <c r="AC83" s="24"/>
      <c r="AD83" s="24"/>
      <c r="AE83" s="24"/>
      <c r="AF83" s="24"/>
      <c r="AG83" s="51">
        <v>0.05</v>
      </c>
      <c r="AH83" s="19"/>
      <c r="AK83" s="233" t="s">
        <v>52</v>
      </c>
      <c r="AL83" s="233"/>
      <c r="AM83" s="50" t="s">
        <v>67</v>
      </c>
      <c r="AN83" s="51">
        <v>0.05</v>
      </c>
      <c r="AO83" s="51">
        <v>0.05</v>
      </c>
      <c r="AP83" s="51">
        <v>0.2</v>
      </c>
      <c r="AQ83" s="51">
        <v>0</v>
      </c>
      <c r="AR83" s="51">
        <v>0.15</v>
      </c>
      <c r="AS83" s="51">
        <v>0.5</v>
      </c>
      <c r="AT83" s="51">
        <v>0.05</v>
      </c>
      <c r="AX83" s="41"/>
      <c r="AY83" s="41"/>
      <c r="BK83" s="41"/>
      <c r="BL83" s="41"/>
      <c r="BM83" s="41"/>
      <c r="BN83" s="41"/>
    </row>
    <row r="86" spans="1:66" ht="17.399999999999999" x14ac:dyDescent="0.3">
      <c r="B86" s="219" t="s">
        <v>127</v>
      </c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AB86" t="s">
        <v>128</v>
      </c>
    </row>
    <row r="88" spans="1:66" x14ac:dyDescent="0.3">
      <c r="B88" s="1" t="s">
        <v>129</v>
      </c>
      <c r="H88" s="19"/>
      <c r="M88" s="19"/>
      <c r="R88" s="19"/>
      <c r="W88" s="19"/>
      <c r="AB88" s="19"/>
      <c r="AG88" s="19"/>
      <c r="AH88" s="19"/>
    </row>
    <row r="89" spans="1:66" x14ac:dyDescent="0.3">
      <c r="A89" s="57"/>
      <c r="C89" s="58"/>
      <c r="H89" t="s">
        <v>130</v>
      </c>
      <c r="AK89" s="1" t="s">
        <v>131</v>
      </c>
      <c r="AM89" s="233" t="s">
        <v>34</v>
      </c>
      <c r="AN89" s="233"/>
      <c r="AO89" s="233" t="s">
        <v>35</v>
      </c>
      <c r="AP89" s="233"/>
      <c r="AQ89" s="233" t="s">
        <v>36</v>
      </c>
      <c r="AR89" s="233"/>
      <c r="AS89" s="233" t="s">
        <v>37</v>
      </c>
      <c r="AT89" s="233"/>
    </row>
    <row r="90" spans="1:66" x14ac:dyDescent="0.3">
      <c r="B90" s="236" t="s">
        <v>1</v>
      </c>
      <c r="C90" s="236"/>
      <c r="D90" s="24"/>
      <c r="E90" s="24"/>
      <c r="F90" s="24"/>
      <c r="G90" s="24"/>
      <c r="H90" s="59">
        <v>2020</v>
      </c>
      <c r="I90" s="59">
        <f t="shared" ref="I90:AG90" si="4">H90+1</f>
        <v>2021</v>
      </c>
      <c r="J90" s="59">
        <f t="shared" si="4"/>
        <v>2022</v>
      </c>
      <c r="K90" s="59">
        <f t="shared" si="4"/>
        <v>2023</v>
      </c>
      <c r="L90" s="59">
        <f t="shared" si="4"/>
        <v>2024</v>
      </c>
      <c r="M90" s="59">
        <f t="shared" si="4"/>
        <v>2025</v>
      </c>
      <c r="N90" s="59">
        <f t="shared" si="4"/>
        <v>2026</v>
      </c>
      <c r="O90" s="59">
        <f t="shared" si="4"/>
        <v>2027</v>
      </c>
      <c r="P90" s="59">
        <f t="shared" si="4"/>
        <v>2028</v>
      </c>
      <c r="Q90" s="59">
        <f t="shared" si="4"/>
        <v>2029</v>
      </c>
      <c r="R90" s="59">
        <f t="shared" si="4"/>
        <v>2030</v>
      </c>
      <c r="S90" s="59">
        <f t="shared" si="4"/>
        <v>2031</v>
      </c>
      <c r="T90" s="59">
        <f t="shared" si="4"/>
        <v>2032</v>
      </c>
      <c r="U90" s="59">
        <f t="shared" si="4"/>
        <v>2033</v>
      </c>
      <c r="V90" s="59">
        <f t="shared" si="4"/>
        <v>2034</v>
      </c>
      <c r="W90" s="59">
        <f t="shared" si="4"/>
        <v>2035</v>
      </c>
      <c r="X90" s="59">
        <f t="shared" si="4"/>
        <v>2036</v>
      </c>
      <c r="Y90" s="59">
        <f t="shared" si="4"/>
        <v>2037</v>
      </c>
      <c r="Z90" s="59">
        <f t="shared" si="4"/>
        <v>2038</v>
      </c>
      <c r="AA90" s="59">
        <f t="shared" si="4"/>
        <v>2039</v>
      </c>
      <c r="AB90" s="59">
        <f t="shared" si="4"/>
        <v>2040</v>
      </c>
      <c r="AC90" s="59">
        <f t="shared" si="4"/>
        <v>2041</v>
      </c>
      <c r="AD90" s="59">
        <f t="shared" si="4"/>
        <v>2042</v>
      </c>
      <c r="AE90" s="59">
        <f t="shared" si="4"/>
        <v>2043</v>
      </c>
      <c r="AF90" s="59">
        <f t="shared" si="4"/>
        <v>2044</v>
      </c>
      <c r="AG90" s="59">
        <f t="shared" si="4"/>
        <v>2045</v>
      </c>
      <c r="AH90" s="59">
        <v>2050</v>
      </c>
      <c r="AI90" s="20" t="s">
        <v>132</v>
      </c>
      <c r="AJ90" s="60"/>
      <c r="AL90" s="3">
        <v>2014</v>
      </c>
      <c r="AM90" s="3" t="s">
        <v>133</v>
      </c>
      <c r="AN90" s="3" t="s">
        <v>134</v>
      </c>
      <c r="AO90" s="3" t="s">
        <v>133</v>
      </c>
      <c r="AP90" s="3" t="s">
        <v>134</v>
      </c>
      <c r="AQ90" s="3" t="s">
        <v>133</v>
      </c>
      <c r="AR90" s="3" t="s">
        <v>134</v>
      </c>
      <c r="AS90" s="3" t="s">
        <v>133</v>
      </c>
      <c r="AT90" s="3" t="s">
        <v>134</v>
      </c>
    </row>
    <row r="91" spans="1:66" x14ac:dyDescent="0.3">
      <c r="B91" s="61" t="s">
        <v>135</v>
      </c>
      <c r="C91" s="50" t="s">
        <v>136</v>
      </c>
      <c r="D91" s="24"/>
      <c r="E91" s="24"/>
      <c r="F91" s="24"/>
      <c r="G91" s="24"/>
      <c r="H91" s="33">
        <v>0.05</v>
      </c>
      <c r="I91" s="33"/>
      <c r="J91" s="33"/>
      <c r="K91" s="33"/>
      <c r="L91" s="33"/>
      <c r="M91" s="33">
        <v>0.1</v>
      </c>
      <c r="N91" s="33"/>
      <c r="O91" s="33"/>
      <c r="P91" s="33"/>
      <c r="Q91" s="33"/>
      <c r="R91" s="33">
        <v>0.25</v>
      </c>
      <c r="S91" s="33"/>
      <c r="T91" s="33"/>
      <c r="U91" s="33"/>
      <c r="V91" s="33"/>
      <c r="W91" s="33">
        <v>0.25</v>
      </c>
      <c r="X91" s="33"/>
      <c r="Y91" s="33"/>
      <c r="Z91" s="33"/>
      <c r="AA91" s="33"/>
      <c r="AB91" s="33">
        <v>0.25</v>
      </c>
      <c r="AC91" s="33">
        <v>0.25</v>
      </c>
      <c r="AD91" s="33">
        <v>0.25</v>
      </c>
      <c r="AE91" s="33">
        <v>0.25</v>
      </c>
      <c r="AF91" s="33">
        <v>0.25</v>
      </c>
      <c r="AG91" s="33">
        <v>0.25</v>
      </c>
      <c r="AH91" s="33">
        <v>0.25</v>
      </c>
      <c r="AI91" t="s">
        <v>137</v>
      </c>
      <c r="AK91" s="24" t="s">
        <v>135</v>
      </c>
      <c r="AL91" s="15">
        <v>9.7000000000000003E-2</v>
      </c>
      <c r="AM91" s="15">
        <v>0.23300000000000001</v>
      </c>
      <c r="AN91" s="15">
        <v>0.55000000000000004</v>
      </c>
      <c r="AO91" s="15">
        <v>0.192</v>
      </c>
      <c r="AP91" s="15">
        <v>0.4</v>
      </c>
      <c r="AQ91" s="15">
        <v>0.16</v>
      </c>
      <c r="AR91" s="15">
        <v>0.28999999999999998</v>
      </c>
      <c r="AS91" s="15">
        <v>0.113</v>
      </c>
      <c r="AT91" s="15">
        <v>0.14000000000000001</v>
      </c>
    </row>
    <row r="92" spans="1:66" x14ac:dyDescent="0.3">
      <c r="B92" s="61" t="s">
        <v>138</v>
      </c>
      <c r="C92" s="50" t="s">
        <v>136</v>
      </c>
      <c r="D92" s="24"/>
      <c r="E92" s="24"/>
      <c r="F92" s="24"/>
      <c r="G92" s="24"/>
      <c r="H92" s="33">
        <v>0</v>
      </c>
      <c r="I92" s="33"/>
      <c r="J92" s="33"/>
      <c r="K92" s="33"/>
      <c r="L92" s="33"/>
      <c r="M92" s="33">
        <v>0.01</v>
      </c>
      <c r="N92" s="33"/>
      <c r="O92" s="33"/>
      <c r="P92" s="33"/>
      <c r="Q92" s="33"/>
      <c r="R92" s="33">
        <v>0.02</v>
      </c>
      <c r="S92" s="33"/>
      <c r="T92" s="33"/>
      <c r="U92" s="33"/>
      <c r="V92" s="33"/>
      <c r="W92" s="33">
        <v>0.02</v>
      </c>
      <c r="X92" s="33">
        <v>0.02</v>
      </c>
      <c r="Y92" s="33">
        <v>0.02</v>
      </c>
      <c r="Z92" s="33">
        <v>0.02</v>
      </c>
      <c r="AA92" s="33">
        <v>0.02</v>
      </c>
      <c r="AB92" s="33">
        <v>0.02</v>
      </c>
      <c r="AC92" s="33">
        <v>0.02</v>
      </c>
      <c r="AD92" s="33">
        <v>0.02</v>
      </c>
      <c r="AE92" s="33">
        <v>0.02</v>
      </c>
      <c r="AF92" s="33">
        <v>0.02</v>
      </c>
      <c r="AG92" s="33">
        <v>0.02</v>
      </c>
      <c r="AH92" s="33">
        <v>0.02</v>
      </c>
      <c r="AK92" s="24" t="s">
        <v>138</v>
      </c>
      <c r="AL92" s="15">
        <v>0</v>
      </c>
      <c r="AM92" s="15">
        <v>2.3E-2</v>
      </c>
      <c r="AN92" s="15">
        <v>7.0000000000000007E-2</v>
      </c>
      <c r="AO92" s="15">
        <v>2.3E-2</v>
      </c>
      <c r="AP92" s="15">
        <v>7.0000000000000007E-2</v>
      </c>
      <c r="AQ92" s="15">
        <v>2.3E-2</v>
      </c>
      <c r="AR92" s="15">
        <v>7.0000000000000007E-2</v>
      </c>
      <c r="AS92" s="15">
        <v>2.3E-2</v>
      </c>
      <c r="AT92" s="15">
        <v>7.0000000000000007E-2</v>
      </c>
    </row>
    <row r="93" spans="1:66" x14ac:dyDescent="0.3">
      <c r="B93" s="61" t="s">
        <v>139</v>
      </c>
      <c r="C93" s="50" t="s">
        <v>136</v>
      </c>
      <c r="D93" s="24"/>
      <c r="E93" s="24"/>
      <c r="F93" s="24"/>
      <c r="G93" s="24"/>
      <c r="H93" s="33">
        <v>0.01</v>
      </c>
      <c r="I93" s="33"/>
      <c r="J93" s="33"/>
      <c r="K93" s="33"/>
      <c r="L93" s="33"/>
      <c r="M93" s="33">
        <v>0.03</v>
      </c>
      <c r="N93" s="33"/>
      <c r="O93" s="33"/>
      <c r="P93" s="33"/>
      <c r="Q93" s="33"/>
      <c r="R93" s="33">
        <v>0.05</v>
      </c>
      <c r="S93" s="33"/>
      <c r="T93" s="33"/>
      <c r="U93" s="33"/>
      <c r="V93" s="33"/>
      <c r="W93" s="33">
        <v>0.05</v>
      </c>
      <c r="X93" s="33"/>
      <c r="Y93" s="33"/>
      <c r="Z93" s="33"/>
      <c r="AA93" s="33"/>
      <c r="AB93" s="33">
        <v>0.05</v>
      </c>
      <c r="AC93" s="33">
        <v>0.05</v>
      </c>
      <c r="AD93" s="33">
        <v>0.05</v>
      </c>
      <c r="AE93" s="33">
        <v>0.05</v>
      </c>
      <c r="AF93" s="33">
        <v>0.05</v>
      </c>
      <c r="AG93" s="33">
        <v>0.05</v>
      </c>
      <c r="AH93" s="33">
        <v>0.05</v>
      </c>
      <c r="AK93" s="24" t="s">
        <v>139</v>
      </c>
      <c r="AL93" s="15">
        <v>3.3000000000000002E-2</v>
      </c>
      <c r="AM93" s="15">
        <v>0.154</v>
      </c>
      <c r="AN93" s="15">
        <v>0.45</v>
      </c>
      <c r="AO93" s="15">
        <v>0.13300000000000001</v>
      </c>
      <c r="AP93" s="15">
        <v>0.37</v>
      </c>
      <c r="AQ93" s="15">
        <v>9.9000000000000005E-2</v>
      </c>
      <c r="AR93" s="15">
        <v>0.25</v>
      </c>
      <c r="AS93" s="15">
        <v>5.8999999999999997E-2</v>
      </c>
      <c r="AT93" s="15">
        <v>0.12</v>
      </c>
    </row>
    <row r="94" spans="1:66" x14ac:dyDescent="0.3">
      <c r="B94" s="61" t="s">
        <v>140</v>
      </c>
      <c r="C94" s="50" t="s">
        <v>136</v>
      </c>
      <c r="D94" s="24"/>
      <c r="E94" s="24"/>
      <c r="F94" s="24"/>
      <c r="G94" s="24"/>
      <c r="H94" s="33">
        <v>0.01</v>
      </c>
      <c r="I94" s="33"/>
      <c r="J94" s="33"/>
      <c r="K94" s="33"/>
      <c r="L94" s="33"/>
      <c r="M94" s="33">
        <v>0.1</v>
      </c>
      <c r="N94" s="33"/>
      <c r="O94" s="33"/>
      <c r="P94" s="33"/>
      <c r="Q94" s="33"/>
      <c r="R94" s="33">
        <v>0.2</v>
      </c>
      <c r="S94" s="33"/>
      <c r="T94" s="33"/>
      <c r="U94" s="33"/>
      <c r="V94" s="33"/>
      <c r="W94" s="33">
        <v>0.2</v>
      </c>
      <c r="X94" s="33"/>
      <c r="Y94" s="33"/>
      <c r="Z94" s="33"/>
      <c r="AA94" s="33"/>
      <c r="AB94" s="33">
        <v>0.2</v>
      </c>
      <c r="AC94" s="33">
        <v>0.2</v>
      </c>
      <c r="AD94" s="33">
        <v>0.2</v>
      </c>
      <c r="AE94" s="33">
        <v>0.2</v>
      </c>
      <c r="AF94" s="33">
        <v>0.2</v>
      </c>
      <c r="AG94" s="33">
        <v>0.2</v>
      </c>
      <c r="AH94" s="33">
        <v>0.2</v>
      </c>
      <c r="AK94" s="24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66" x14ac:dyDescent="0.3">
      <c r="B95" s="61" t="s">
        <v>141</v>
      </c>
      <c r="C95" s="50" t="s">
        <v>136</v>
      </c>
      <c r="D95" s="24"/>
      <c r="E95" s="24"/>
      <c r="F95" s="24"/>
      <c r="G95" s="24"/>
      <c r="H95" s="33">
        <v>0</v>
      </c>
      <c r="I95" s="33"/>
      <c r="J95" s="33"/>
      <c r="K95" s="33"/>
      <c r="L95" s="33"/>
      <c r="M95" s="33">
        <v>0.01</v>
      </c>
      <c r="N95" s="33"/>
      <c r="O95" s="33"/>
      <c r="P95" s="33"/>
      <c r="Q95" s="33"/>
      <c r="R95" s="33">
        <v>0.02</v>
      </c>
      <c r="S95" s="33"/>
      <c r="T95" s="33"/>
      <c r="U95" s="33"/>
      <c r="V95" s="33"/>
      <c r="W95" s="33">
        <v>0.02</v>
      </c>
      <c r="X95" s="33">
        <v>0.02</v>
      </c>
      <c r="Y95" s="33">
        <v>0.02</v>
      </c>
      <c r="Z95" s="33">
        <v>0.02</v>
      </c>
      <c r="AA95" s="33">
        <v>0.02</v>
      </c>
      <c r="AB95" s="33">
        <v>0.02</v>
      </c>
      <c r="AC95" s="33">
        <v>0.02</v>
      </c>
      <c r="AD95" s="33">
        <v>0.02</v>
      </c>
      <c r="AE95" s="33">
        <v>0.02</v>
      </c>
      <c r="AF95" s="33">
        <v>0.02</v>
      </c>
      <c r="AG95" s="33">
        <v>0.02</v>
      </c>
      <c r="AH95" s="33">
        <v>0.02</v>
      </c>
      <c r="AK95" s="24" t="s">
        <v>141</v>
      </c>
      <c r="AL95" s="15">
        <v>0</v>
      </c>
      <c r="AM95" s="15">
        <v>2.3E-2</v>
      </c>
      <c r="AN95" s="15">
        <v>7.0000000000000007E-2</v>
      </c>
      <c r="AO95" s="15">
        <v>2.3E-2</v>
      </c>
      <c r="AP95" s="15">
        <v>7.0000000000000007E-2</v>
      </c>
      <c r="AQ95" s="15">
        <v>2.3E-2</v>
      </c>
      <c r="AR95" s="15">
        <v>7.0000000000000007E-2</v>
      </c>
      <c r="AS95" s="15">
        <v>2.3E-2</v>
      </c>
      <c r="AT95" s="15">
        <v>7.0000000000000007E-2</v>
      </c>
    </row>
    <row r="96" spans="1:66" x14ac:dyDescent="0.3">
      <c r="B96" s="61" t="s">
        <v>142</v>
      </c>
      <c r="C96" s="50" t="s">
        <v>136</v>
      </c>
      <c r="D96" s="24"/>
      <c r="E96" s="24"/>
      <c r="F96" s="24"/>
      <c r="G96" s="24"/>
      <c r="H96" s="33">
        <v>0.01</v>
      </c>
      <c r="I96" s="33"/>
      <c r="J96" s="33"/>
      <c r="K96" s="33"/>
      <c r="L96" s="33"/>
      <c r="M96" s="33">
        <v>0.03</v>
      </c>
      <c r="N96" s="33"/>
      <c r="O96" s="33"/>
      <c r="P96" s="33"/>
      <c r="Q96" s="33"/>
      <c r="R96" s="33">
        <v>0.05</v>
      </c>
      <c r="S96" s="33"/>
      <c r="T96" s="33"/>
      <c r="U96" s="33"/>
      <c r="V96" s="33"/>
      <c r="W96" s="33">
        <v>0.05</v>
      </c>
      <c r="X96" s="33"/>
      <c r="Y96" s="33"/>
      <c r="Z96" s="33"/>
      <c r="AA96" s="33"/>
      <c r="AB96" s="33">
        <v>0.05</v>
      </c>
      <c r="AC96" s="33">
        <v>0.05</v>
      </c>
      <c r="AD96" s="33">
        <v>0.05</v>
      </c>
      <c r="AE96" s="33">
        <v>0.05</v>
      </c>
      <c r="AF96" s="33">
        <v>0.05</v>
      </c>
      <c r="AG96" s="33">
        <v>0.05</v>
      </c>
      <c r="AH96" s="33">
        <v>0.05</v>
      </c>
      <c r="AI96" t="s">
        <v>143</v>
      </c>
      <c r="AK96" s="24" t="s">
        <v>142</v>
      </c>
      <c r="AL96" s="15">
        <v>0.02</v>
      </c>
      <c r="AM96" s="15">
        <v>0.152</v>
      </c>
      <c r="AN96" s="15">
        <v>0.47</v>
      </c>
      <c r="AO96" s="15">
        <v>0.128</v>
      </c>
      <c r="AP96" s="15">
        <v>0.38</v>
      </c>
      <c r="AQ96" s="15">
        <v>9.7000000000000003E-2</v>
      </c>
      <c r="AR96" s="15">
        <v>0.27</v>
      </c>
      <c r="AS96" s="15">
        <v>6.2E-2</v>
      </c>
      <c r="AT96" s="15">
        <v>0.15</v>
      </c>
    </row>
    <row r="97" spans="2:46" x14ac:dyDescent="0.3">
      <c r="B97" s="61" t="s">
        <v>144</v>
      </c>
      <c r="C97" s="50" t="s">
        <v>136</v>
      </c>
      <c r="D97" s="24"/>
      <c r="E97" s="24"/>
      <c r="F97" s="24"/>
      <c r="G97" s="24"/>
      <c r="H97" s="33">
        <v>0.01</v>
      </c>
      <c r="I97" s="33"/>
      <c r="J97" s="33"/>
      <c r="K97" s="33"/>
      <c r="L97" s="33"/>
      <c r="M97" s="33">
        <v>0.1</v>
      </c>
      <c r="N97" s="33"/>
      <c r="O97" s="33"/>
      <c r="P97" s="33"/>
      <c r="Q97" s="33"/>
      <c r="R97" s="33">
        <v>0.2</v>
      </c>
      <c r="S97" s="33"/>
      <c r="T97" s="33"/>
      <c r="U97" s="33"/>
      <c r="V97" s="33"/>
      <c r="W97" s="33">
        <v>0.2</v>
      </c>
      <c r="X97" s="33"/>
      <c r="Y97" s="33"/>
      <c r="Z97" s="33"/>
      <c r="AA97" s="33"/>
      <c r="AB97" s="33">
        <v>0.2</v>
      </c>
      <c r="AC97" s="33">
        <v>0.2</v>
      </c>
      <c r="AD97" s="33">
        <v>0.2</v>
      </c>
      <c r="AE97" s="33">
        <v>0.2</v>
      </c>
      <c r="AF97" s="33">
        <v>0.2</v>
      </c>
      <c r="AG97" s="33">
        <v>0.2</v>
      </c>
      <c r="AH97" s="33">
        <v>0.2</v>
      </c>
      <c r="AI97" t="s">
        <v>143</v>
      </c>
      <c r="AK97" s="24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2:46" x14ac:dyDescent="0.3">
      <c r="B98" s="61" t="s">
        <v>145</v>
      </c>
      <c r="C98" s="50" t="s">
        <v>136</v>
      </c>
      <c r="D98" s="24"/>
      <c r="E98" s="24"/>
      <c r="F98" s="24"/>
      <c r="G98" s="24"/>
      <c r="H98" s="33">
        <v>0</v>
      </c>
      <c r="I98" s="33"/>
      <c r="J98" s="33"/>
      <c r="K98" s="33"/>
      <c r="L98" s="33"/>
      <c r="M98" s="33">
        <v>0.01</v>
      </c>
      <c r="N98" s="33"/>
      <c r="O98" s="33"/>
      <c r="P98" s="33"/>
      <c r="Q98" s="33"/>
      <c r="R98" s="33">
        <v>0.02</v>
      </c>
      <c r="S98" s="33"/>
      <c r="T98" s="33"/>
      <c r="U98" s="33"/>
      <c r="V98" s="33"/>
      <c r="W98" s="33">
        <v>0.02</v>
      </c>
      <c r="X98" s="33">
        <v>0.02</v>
      </c>
      <c r="Y98" s="33">
        <v>0.02</v>
      </c>
      <c r="Z98" s="33">
        <v>0.02</v>
      </c>
      <c r="AA98" s="33">
        <v>0.02</v>
      </c>
      <c r="AB98" s="33">
        <v>0.02</v>
      </c>
      <c r="AC98" s="33">
        <v>0.02</v>
      </c>
      <c r="AD98" s="33">
        <v>0.02</v>
      </c>
      <c r="AE98" s="33">
        <v>0.02</v>
      </c>
      <c r="AF98" s="33">
        <v>0.02</v>
      </c>
      <c r="AG98" s="33">
        <v>0.02</v>
      </c>
      <c r="AH98" s="33">
        <v>0.02</v>
      </c>
      <c r="AK98" s="24" t="s">
        <v>145</v>
      </c>
      <c r="AL98" s="15">
        <v>0</v>
      </c>
      <c r="AM98" s="15">
        <v>2.3E-2</v>
      </c>
      <c r="AN98" s="15">
        <v>7.0000000000000007E-2</v>
      </c>
      <c r="AO98" s="15">
        <v>2.3E-2</v>
      </c>
      <c r="AP98" s="15">
        <v>7.0000000000000007E-2</v>
      </c>
      <c r="AQ98" s="15">
        <v>2.3E-2</v>
      </c>
      <c r="AR98" s="15">
        <v>7.0000000000000007E-2</v>
      </c>
      <c r="AS98" s="15">
        <v>2.3E-2</v>
      </c>
      <c r="AT98" s="15">
        <v>7.0000000000000007E-2</v>
      </c>
    </row>
    <row r="99" spans="2:46" x14ac:dyDescent="0.3">
      <c r="B99" s="61" t="s">
        <v>146</v>
      </c>
      <c r="C99" s="50" t="s">
        <v>136</v>
      </c>
      <c r="D99" s="24"/>
      <c r="E99" s="24"/>
      <c r="F99" s="24"/>
      <c r="G99" s="24"/>
      <c r="H99" s="33">
        <v>0.01</v>
      </c>
      <c r="I99" s="33"/>
      <c r="J99" s="33"/>
      <c r="K99" s="33"/>
      <c r="L99" s="33"/>
      <c r="M99" s="33">
        <v>0.03</v>
      </c>
      <c r="N99" s="33"/>
      <c r="O99" s="33"/>
      <c r="P99" s="33"/>
      <c r="Q99" s="33"/>
      <c r="R99" s="33">
        <v>0.05</v>
      </c>
      <c r="S99" s="33"/>
      <c r="T99" s="33"/>
      <c r="U99" s="33"/>
      <c r="V99" s="33"/>
      <c r="W99" s="33">
        <v>0.05</v>
      </c>
      <c r="X99" s="33"/>
      <c r="Y99" s="33"/>
      <c r="Z99" s="33"/>
      <c r="AA99" s="33"/>
      <c r="AB99" s="33">
        <v>0.05</v>
      </c>
      <c r="AC99" s="33">
        <v>0.05</v>
      </c>
      <c r="AD99" s="33">
        <v>0.05</v>
      </c>
      <c r="AE99" s="33">
        <v>0.05</v>
      </c>
      <c r="AF99" s="33">
        <v>0.05</v>
      </c>
      <c r="AG99" s="33">
        <v>0.05</v>
      </c>
      <c r="AH99" s="33">
        <v>0.05</v>
      </c>
      <c r="AI99" t="s">
        <v>143</v>
      </c>
      <c r="AK99" s="24" t="s">
        <v>146</v>
      </c>
      <c r="AL99" s="15">
        <v>0.15740000000000001</v>
      </c>
      <c r="AM99" s="15">
        <v>0.189</v>
      </c>
      <c r="AN99" s="15">
        <v>0.25</v>
      </c>
      <c r="AO99" s="15">
        <v>0.189</v>
      </c>
      <c r="AP99" s="15">
        <v>0.25</v>
      </c>
      <c r="AQ99" s="15">
        <v>0.189</v>
      </c>
      <c r="AR99" s="15">
        <v>0.25</v>
      </c>
      <c r="AS99" s="15">
        <v>0.189</v>
      </c>
      <c r="AT99" s="15">
        <v>0.25</v>
      </c>
    </row>
    <row r="100" spans="2:46" x14ac:dyDescent="0.3">
      <c r="B100" s="61" t="s">
        <v>147</v>
      </c>
      <c r="C100" s="50" t="s">
        <v>136</v>
      </c>
      <c r="D100" s="24"/>
      <c r="E100" s="24"/>
      <c r="F100" s="24"/>
      <c r="G100" s="24"/>
      <c r="H100" s="33">
        <v>0.01</v>
      </c>
      <c r="I100" s="33"/>
      <c r="J100" s="33"/>
      <c r="K100" s="33"/>
      <c r="L100" s="33"/>
      <c r="M100" s="33">
        <v>7.0000000000000007E-2</v>
      </c>
      <c r="N100" s="33"/>
      <c r="O100" s="33"/>
      <c r="P100" s="33"/>
      <c r="Q100" s="33"/>
      <c r="R100" s="33">
        <v>0.12</v>
      </c>
      <c r="S100" s="33"/>
      <c r="T100" s="33"/>
      <c r="U100" s="33"/>
      <c r="V100" s="33"/>
      <c r="W100" s="33">
        <v>0.12</v>
      </c>
      <c r="X100" s="33"/>
      <c r="Y100" s="33"/>
      <c r="Z100" s="33"/>
      <c r="AA100" s="33"/>
      <c r="AB100" s="33">
        <v>0.12</v>
      </c>
      <c r="AC100" s="33">
        <v>0.12</v>
      </c>
      <c r="AD100" s="33">
        <v>0.12</v>
      </c>
      <c r="AE100" s="33">
        <v>0.12</v>
      </c>
      <c r="AF100" s="33">
        <v>0.12</v>
      </c>
      <c r="AG100" s="33">
        <v>0.12</v>
      </c>
      <c r="AH100" s="33">
        <v>0.12</v>
      </c>
      <c r="AI100" s="31" t="s">
        <v>148</v>
      </c>
      <c r="AK100" s="24" t="s">
        <v>149</v>
      </c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2:46" x14ac:dyDescent="0.3">
      <c r="B101" s="61" t="s">
        <v>150</v>
      </c>
      <c r="C101" s="50" t="s">
        <v>136</v>
      </c>
      <c r="D101" s="24"/>
      <c r="E101" s="24"/>
      <c r="F101" s="24"/>
      <c r="G101" s="24"/>
      <c r="H101" s="33">
        <v>0</v>
      </c>
      <c r="I101" s="33"/>
      <c r="J101" s="33"/>
      <c r="K101" s="33"/>
      <c r="L101" s="33"/>
      <c r="M101" s="33">
        <v>0.01</v>
      </c>
      <c r="N101" s="33"/>
      <c r="O101" s="33"/>
      <c r="P101" s="33"/>
      <c r="Q101" s="33"/>
      <c r="R101" s="33">
        <v>0.02</v>
      </c>
      <c r="S101" s="33"/>
      <c r="T101" s="33"/>
      <c r="U101" s="33"/>
      <c r="V101" s="33"/>
      <c r="W101" s="33">
        <v>0.02</v>
      </c>
      <c r="X101" s="33">
        <v>0.02</v>
      </c>
      <c r="Y101" s="33">
        <v>0.02</v>
      </c>
      <c r="Z101" s="33">
        <v>0.02</v>
      </c>
      <c r="AA101" s="33">
        <v>0.02</v>
      </c>
      <c r="AB101" s="33">
        <v>0.02</v>
      </c>
      <c r="AC101" s="33">
        <v>0.02</v>
      </c>
      <c r="AD101" s="33">
        <v>0.02</v>
      </c>
      <c r="AE101" s="33">
        <v>0.02</v>
      </c>
      <c r="AF101" s="33">
        <v>0.02</v>
      </c>
      <c r="AG101" s="33">
        <v>0.02</v>
      </c>
      <c r="AH101" s="33">
        <v>0.02</v>
      </c>
      <c r="AK101" s="24" t="s">
        <v>150</v>
      </c>
      <c r="AL101" s="15">
        <v>0</v>
      </c>
      <c r="AM101" s="15">
        <v>2.3E-2</v>
      </c>
      <c r="AN101" s="15">
        <v>7.0000000000000007E-2</v>
      </c>
      <c r="AO101" s="15">
        <v>2.3E-2</v>
      </c>
      <c r="AP101" s="15">
        <v>7.0000000000000007E-2</v>
      </c>
      <c r="AQ101" s="15">
        <v>2.3E-2</v>
      </c>
      <c r="AR101" s="15">
        <v>7.0000000000000007E-2</v>
      </c>
      <c r="AS101" s="15">
        <v>2.3E-2</v>
      </c>
      <c r="AT101" s="15">
        <v>7.0000000000000007E-2</v>
      </c>
    </row>
    <row r="103" spans="2:46" x14ac:dyDescent="0.3">
      <c r="AK103" s="237" t="s">
        <v>151</v>
      </c>
      <c r="AL103" s="237"/>
      <c r="AM103" s="3">
        <v>2015</v>
      </c>
      <c r="AN103" s="3">
        <v>2020</v>
      </c>
      <c r="AO103" s="3">
        <v>2025</v>
      </c>
      <c r="AP103" s="3">
        <v>2030</v>
      </c>
      <c r="AQ103" s="3">
        <v>2035</v>
      </c>
      <c r="AR103" s="3">
        <v>2040</v>
      </c>
      <c r="AS103" s="3">
        <v>2045</v>
      </c>
      <c r="AT103" s="3">
        <v>2050</v>
      </c>
    </row>
    <row r="104" spans="2:46" x14ac:dyDescent="0.3">
      <c r="AK104" s="24" t="s">
        <v>135</v>
      </c>
      <c r="AL104" s="24" t="s">
        <v>136</v>
      </c>
      <c r="AM104" s="15">
        <v>9.1999999999999998E-2</v>
      </c>
      <c r="AN104" s="15">
        <v>0.21199999999999999</v>
      </c>
      <c r="AO104" s="15">
        <v>0.50600000000000001</v>
      </c>
      <c r="AP104" s="15">
        <v>0.8</v>
      </c>
      <c r="AQ104" s="15">
        <v>0.83799999999999997</v>
      </c>
      <c r="AR104" s="15">
        <v>0.875</v>
      </c>
      <c r="AS104" s="15">
        <v>0.91300000000000003</v>
      </c>
      <c r="AT104" s="15">
        <v>0.95</v>
      </c>
    </row>
    <row r="105" spans="2:46" x14ac:dyDescent="0.3">
      <c r="AK105" s="24" t="s">
        <v>138</v>
      </c>
      <c r="AL105" s="24" t="s">
        <v>136</v>
      </c>
      <c r="AM105" s="15">
        <v>0</v>
      </c>
      <c r="AN105" s="15">
        <v>1.2999999999999999E-2</v>
      </c>
      <c r="AO105" s="15">
        <v>3.2000000000000001E-2</v>
      </c>
      <c r="AP105" s="15">
        <v>0.05</v>
      </c>
      <c r="AQ105" s="15">
        <v>7.4999999999999997E-2</v>
      </c>
      <c r="AR105" s="15">
        <v>0.1</v>
      </c>
      <c r="AS105" s="15">
        <v>0.125</v>
      </c>
      <c r="AT105" s="15">
        <v>0.15</v>
      </c>
    </row>
    <row r="106" spans="2:46" x14ac:dyDescent="0.3">
      <c r="AK106" s="24" t="s">
        <v>139</v>
      </c>
      <c r="AL106" s="24" t="s">
        <v>136</v>
      </c>
      <c r="AM106" s="15">
        <v>3.6999999999999998E-2</v>
      </c>
      <c r="AN106" s="15">
        <v>6.9000000000000006E-2</v>
      </c>
      <c r="AO106" s="15">
        <v>0.13500000000000001</v>
      </c>
      <c r="AP106" s="15">
        <v>0.2</v>
      </c>
      <c r="AQ106" s="15">
        <v>0.25</v>
      </c>
      <c r="AR106" s="15">
        <v>0.3</v>
      </c>
      <c r="AS106" s="15">
        <v>0.35</v>
      </c>
      <c r="AT106" s="15">
        <v>0.4</v>
      </c>
    </row>
    <row r="107" spans="2:46" x14ac:dyDescent="0.3">
      <c r="AK107" s="24" t="s">
        <v>141</v>
      </c>
      <c r="AL107" s="24" t="s">
        <v>136</v>
      </c>
      <c r="AM107" s="15">
        <v>0</v>
      </c>
      <c r="AN107" s="15">
        <v>0.01</v>
      </c>
      <c r="AO107" s="15">
        <v>0.02</v>
      </c>
      <c r="AP107" s="15">
        <v>0.03</v>
      </c>
      <c r="AQ107" s="15">
        <v>0.04</v>
      </c>
      <c r="AR107" s="15">
        <v>0.05</v>
      </c>
      <c r="AS107" s="15">
        <v>0.06</v>
      </c>
      <c r="AT107" s="15">
        <v>7.0000000000000007E-2</v>
      </c>
    </row>
    <row r="108" spans="2:46" x14ac:dyDescent="0.3">
      <c r="AK108" s="24" t="s">
        <v>142</v>
      </c>
      <c r="AL108" s="24" t="s">
        <v>136</v>
      </c>
      <c r="AM108" s="15">
        <v>3.9E-2</v>
      </c>
      <c r="AN108" s="15">
        <v>0.114</v>
      </c>
      <c r="AO108" s="15">
        <v>0.157</v>
      </c>
      <c r="AP108" s="15">
        <v>0.2</v>
      </c>
      <c r="AQ108" s="15">
        <v>0.25</v>
      </c>
      <c r="AR108" s="15">
        <v>0.3</v>
      </c>
      <c r="AS108" s="15">
        <v>0.35</v>
      </c>
      <c r="AT108" s="15">
        <v>0.4</v>
      </c>
    </row>
    <row r="109" spans="2:46" x14ac:dyDescent="0.3">
      <c r="AK109" s="24" t="s">
        <v>145</v>
      </c>
      <c r="AL109" s="24" t="s">
        <v>136</v>
      </c>
      <c r="AM109" s="15">
        <v>0</v>
      </c>
      <c r="AN109" s="15">
        <v>0.01</v>
      </c>
      <c r="AO109" s="15">
        <v>0.02</v>
      </c>
      <c r="AP109" s="15">
        <v>0.03</v>
      </c>
      <c r="AQ109" s="15">
        <v>0.04</v>
      </c>
      <c r="AR109" s="15">
        <v>0.05</v>
      </c>
      <c r="AS109" s="15">
        <v>0.06</v>
      </c>
      <c r="AT109" s="15">
        <v>7.0000000000000007E-2</v>
      </c>
    </row>
    <row r="110" spans="2:46" x14ac:dyDescent="0.3">
      <c r="AK110" s="24" t="s">
        <v>146</v>
      </c>
      <c r="AL110" s="24" t="s">
        <v>136</v>
      </c>
      <c r="AM110" s="15">
        <v>0.13100000000000001</v>
      </c>
      <c r="AN110" s="15">
        <v>0.193</v>
      </c>
      <c r="AO110" s="15">
        <v>0.246</v>
      </c>
      <c r="AP110" s="15">
        <v>0.3</v>
      </c>
      <c r="AQ110" s="15">
        <v>0.35</v>
      </c>
      <c r="AR110" s="15">
        <v>0.4</v>
      </c>
      <c r="AS110" s="15">
        <v>0.45</v>
      </c>
      <c r="AT110" s="15">
        <v>0.5</v>
      </c>
    </row>
    <row r="111" spans="2:46" x14ac:dyDescent="0.3">
      <c r="AK111" s="24" t="s">
        <v>150</v>
      </c>
      <c r="AL111" s="24" t="s">
        <v>136</v>
      </c>
      <c r="AM111" s="15">
        <v>0</v>
      </c>
      <c r="AN111" s="15">
        <v>0.01</v>
      </c>
      <c r="AO111" s="15">
        <v>0.02</v>
      </c>
      <c r="AP111" s="15">
        <v>0.03</v>
      </c>
      <c r="AQ111" s="15">
        <v>0.04</v>
      </c>
      <c r="AR111" s="15">
        <v>0.05</v>
      </c>
      <c r="AS111" s="15">
        <v>0.06</v>
      </c>
      <c r="AT111" s="15">
        <v>7.0000000000000007E-2</v>
      </c>
    </row>
  </sheetData>
  <mergeCells count="54">
    <mergeCell ref="B90:C90"/>
    <mergeCell ref="AK103:AL103"/>
    <mergeCell ref="B86:R86"/>
    <mergeCell ref="AM89:AN89"/>
    <mergeCell ref="AO89:AP89"/>
    <mergeCell ref="AQ89:AR89"/>
    <mergeCell ref="AS89:AT89"/>
    <mergeCell ref="AK73:AL73"/>
    <mergeCell ref="AK74:AL74"/>
    <mergeCell ref="A75:A83"/>
    <mergeCell ref="AK75:AL75"/>
    <mergeCell ref="AK76:AL76"/>
    <mergeCell ref="AK77:AL77"/>
    <mergeCell ref="AK78:AL78"/>
    <mergeCell ref="AK79:AL79"/>
    <mergeCell ref="AK80:AL80"/>
    <mergeCell ref="AK81:AL81"/>
    <mergeCell ref="AK82:AL82"/>
    <mergeCell ref="AK83:AL83"/>
    <mergeCell ref="A46:A47"/>
    <mergeCell ref="AK46:AL46"/>
    <mergeCell ref="A51:A54"/>
    <mergeCell ref="A57:A65"/>
    <mergeCell ref="A69:A72"/>
    <mergeCell ref="AK72:AT72"/>
    <mergeCell ref="AU40:AX40"/>
    <mergeCell ref="AY40:BB40"/>
    <mergeCell ref="AK41:AL41"/>
    <mergeCell ref="AK42:AL42"/>
    <mergeCell ref="A43:A44"/>
    <mergeCell ref="AK43:AL43"/>
    <mergeCell ref="AK44:AL44"/>
    <mergeCell ref="B37:R37"/>
    <mergeCell ref="AK40:AR40"/>
    <mergeCell ref="K28:L28"/>
    <mergeCell ref="K29:L29"/>
    <mergeCell ref="G22:J22"/>
    <mergeCell ref="AI15:AJ15"/>
    <mergeCell ref="AI16:AJ16"/>
    <mergeCell ref="AI17:AJ17"/>
    <mergeCell ref="A22:B22"/>
    <mergeCell ref="C22:F22"/>
    <mergeCell ref="AI18:AJ18"/>
    <mergeCell ref="AI11:AJ11"/>
    <mergeCell ref="A12:A14"/>
    <mergeCell ref="AI12:AJ12"/>
    <mergeCell ref="AI13:AJ13"/>
    <mergeCell ref="AI14:AJ14"/>
    <mergeCell ref="B4:R4"/>
    <mergeCell ref="AK7:AL7"/>
    <mergeCell ref="AI8:AJ8"/>
    <mergeCell ref="A9:A10"/>
    <mergeCell ref="AI9:AJ9"/>
    <mergeCell ref="AI10:AJ10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&amp;C&amp;"Arial,Normal"&amp;10&amp;A</oddHeader>
    <oddFooter>&amp;C&amp;"Arial,Normal"&amp;10Page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topLeftCell="A10" zoomScale="55" zoomScaleNormal="55" workbookViewId="0">
      <selection activeCell="T31" sqref="T31"/>
    </sheetView>
  </sheetViews>
  <sheetFormatPr baseColWidth="10" defaultColWidth="9.21875" defaultRowHeight="14.4" x14ac:dyDescent="0.3"/>
  <cols>
    <col min="1" max="1" width="9.5546875" customWidth="1"/>
    <col min="2" max="2" width="12.44140625" customWidth="1"/>
    <col min="3" max="3" width="23" customWidth="1"/>
    <col min="4" max="4" width="12.33203125" customWidth="1"/>
    <col min="5" max="5" width="12.6640625" customWidth="1"/>
    <col min="6" max="6" width="13.44140625" customWidth="1"/>
    <col min="7" max="7" width="12.77734375" customWidth="1"/>
    <col min="8" max="8" width="14.21875" customWidth="1"/>
    <col min="9" max="1017" width="8.44140625" customWidth="1"/>
  </cols>
  <sheetData>
    <row r="2" spans="1:10" ht="16.8" x14ac:dyDescent="0.3">
      <c r="B2" s="62" t="s">
        <v>81</v>
      </c>
    </row>
    <row r="3" spans="1:10" x14ac:dyDescent="0.3">
      <c r="C3" t="s">
        <v>152</v>
      </c>
    </row>
    <row r="4" spans="1:10" x14ac:dyDescent="0.3">
      <c r="D4">
        <v>2015</v>
      </c>
      <c r="E4">
        <v>2020</v>
      </c>
      <c r="F4">
        <v>2030</v>
      </c>
      <c r="G4">
        <v>2040</v>
      </c>
      <c r="H4">
        <v>2050</v>
      </c>
    </row>
    <row r="5" spans="1:10" x14ac:dyDescent="0.3">
      <c r="A5" s="1" t="s">
        <v>153</v>
      </c>
      <c r="C5" s="1"/>
      <c r="D5" s="63">
        <v>34306000</v>
      </c>
      <c r="E5" s="63">
        <v>35986000</v>
      </c>
      <c r="F5" s="63">
        <v>38321786.861861989</v>
      </c>
      <c r="G5" s="63">
        <v>40304881.928421006</v>
      </c>
      <c r="H5" s="63">
        <v>41241539.227069095</v>
      </c>
    </row>
    <row r="6" spans="1:10" x14ac:dyDescent="0.3">
      <c r="C6" t="s">
        <v>154</v>
      </c>
      <c r="D6">
        <v>0</v>
      </c>
      <c r="E6" s="64">
        <v>0</v>
      </c>
      <c r="F6" s="64">
        <f>F20</f>
        <v>2937188.3057598108</v>
      </c>
      <c r="G6" s="64">
        <f>F6+G20</f>
        <v>5530756.6402828675</v>
      </c>
      <c r="H6" s="64">
        <f>G6+H20</f>
        <v>7101161.9307765216</v>
      </c>
    </row>
    <row r="7" spans="1:10" x14ac:dyDescent="0.3">
      <c r="C7" t="s">
        <v>155</v>
      </c>
      <c r="D7" s="64">
        <f>D5-D6</f>
        <v>34306000</v>
      </c>
      <c r="E7" s="64">
        <f>E5-E6</f>
        <v>35986000</v>
      </c>
      <c r="F7" s="64">
        <f>F5-F6</f>
        <v>35384598.556102179</v>
      </c>
      <c r="G7" s="64">
        <f>G5-G6</f>
        <v>34774125.288138136</v>
      </c>
      <c r="H7" s="64">
        <f>H5-H6</f>
        <v>34140377.296292573</v>
      </c>
    </row>
    <row r="8" spans="1:10" x14ac:dyDescent="0.3">
      <c r="E8" s="64"/>
      <c r="F8" s="64"/>
      <c r="G8" s="64"/>
      <c r="H8" s="64"/>
    </row>
    <row r="9" spans="1:10" x14ac:dyDescent="0.3">
      <c r="B9" t="s">
        <v>156</v>
      </c>
      <c r="D9" s="64">
        <v>28280000</v>
      </c>
      <c r="E9" s="64">
        <v>29482000</v>
      </c>
      <c r="F9" s="64">
        <v>30799384.651501257</v>
      </c>
      <c r="G9" s="64">
        <v>31973632.912813883</v>
      </c>
      <c r="H9" s="64">
        <v>32280892.910930447</v>
      </c>
    </row>
    <row r="10" spans="1:10" x14ac:dyDescent="0.3">
      <c r="C10" t="s">
        <v>157</v>
      </c>
      <c r="D10" s="64">
        <f>D9*0.5658</f>
        <v>16000824</v>
      </c>
      <c r="E10" s="64">
        <f>E9*0.5609</f>
        <v>16536453.799999999</v>
      </c>
      <c r="F10" s="64">
        <f t="shared" ref="F10:H11" si="0">E10+F22</f>
        <v>17208319.972265638</v>
      </c>
      <c r="G10" s="64">
        <f t="shared" si="0"/>
        <v>17807186.585535079</v>
      </c>
      <c r="H10" s="64">
        <f t="shared" si="0"/>
        <v>17963889.184574526</v>
      </c>
      <c r="J10" s="64"/>
    </row>
    <row r="11" spans="1:10" x14ac:dyDescent="0.3">
      <c r="C11" t="s">
        <v>158</v>
      </c>
      <c r="D11" s="64">
        <f>D9*0.4342</f>
        <v>12279176</v>
      </c>
      <c r="E11" s="64">
        <f>E9*0.4391</f>
        <v>12945546.199999999</v>
      </c>
      <c r="F11" s="64">
        <f t="shared" si="0"/>
        <v>13591064.679235615</v>
      </c>
      <c r="G11" s="64">
        <f t="shared" si="0"/>
        <v>14166446.327278802</v>
      </c>
      <c r="H11" s="64">
        <f t="shared" si="0"/>
        <v>14317003.726355918</v>
      </c>
    </row>
    <row r="12" spans="1:10" x14ac:dyDescent="0.3">
      <c r="D12" s="64"/>
      <c r="E12" s="64"/>
      <c r="F12" s="64"/>
      <c r="G12" s="64"/>
      <c r="H12" s="64"/>
    </row>
    <row r="13" spans="1:10" x14ac:dyDescent="0.3">
      <c r="B13" t="s">
        <v>159</v>
      </c>
      <c r="D13" s="64">
        <v>3308000</v>
      </c>
      <c r="E13" s="64">
        <v>3573000</v>
      </c>
      <c r="F13" s="64">
        <v>4215396.5548048187</v>
      </c>
      <c r="G13" s="64">
        <v>4635061.4217684157</v>
      </c>
      <c r="H13" s="64">
        <v>4948984.707248291</v>
      </c>
    </row>
    <row r="14" spans="1:10" x14ac:dyDescent="0.3">
      <c r="D14" s="64"/>
      <c r="E14" s="64"/>
      <c r="F14" s="64"/>
      <c r="G14" s="64"/>
      <c r="H14" s="64"/>
    </row>
    <row r="15" spans="1:10" x14ac:dyDescent="0.3">
      <c r="B15" t="s">
        <v>160</v>
      </c>
      <c r="D15" s="64">
        <v>2718000</v>
      </c>
      <c r="E15" s="64">
        <v>2931000</v>
      </c>
      <c r="F15" s="64">
        <v>3307005.6555559109</v>
      </c>
      <c r="G15" s="64">
        <v>3696187.5938387052</v>
      </c>
      <c r="H15" s="64">
        <v>4011661.6088903565</v>
      </c>
    </row>
    <row r="16" spans="1:10" x14ac:dyDescent="0.3">
      <c r="C16" t="s">
        <v>161</v>
      </c>
      <c r="D16" s="64">
        <v>2038500</v>
      </c>
      <c r="E16" s="64">
        <v>2198250</v>
      </c>
      <c r="F16" s="64">
        <v>2467571.9381699809</v>
      </c>
      <c r="G16" s="64">
        <v>2728455.8533130102</v>
      </c>
      <c r="H16" s="64">
        <v>2928149.2851219056</v>
      </c>
    </row>
    <row r="17" spans="1:8" x14ac:dyDescent="0.3">
      <c r="C17" t="s">
        <v>162</v>
      </c>
      <c r="D17" s="64">
        <v>462060.00000000006</v>
      </c>
      <c r="E17" s="64">
        <v>498270.00000000006</v>
      </c>
      <c r="F17" s="64">
        <v>621993.71738592989</v>
      </c>
      <c r="G17" s="64">
        <v>750291.74052569503</v>
      </c>
      <c r="H17" s="64">
        <v>866072.32376845088</v>
      </c>
    </row>
    <row r="19" spans="1:8" x14ac:dyDescent="0.3">
      <c r="E19" t="s">
        <v>163</v>
      </c>
      <c r="F19" t="s">
        <v>164</v>
      </c>
      <c r="G19" t="s">
        <v>165</v>
      </c>
      <c r="H19" t="s">
        <v>52</v>
      </c>
    </row>
    <row r="20" spans="1:8" x14ac:dyDescent="0.3">
      <c r="A20" s="1" t="s">
        <v>166</v>
      </c>
      <c r="B20" s="1"/>
      <c r="C20" s="1"/>
      <c r="D20" s="1"/>
      <c r="E20" s="63">
        <v>1944631.060138505</v>
      </c>
      <c r="F20" s="63">
        <v>2937188.3057598108</v>
      </c>
      <c r="G20" s="63">
        <v>2593568.3345230566</v>
      </c>
      <c r="H20" s="63">
        <v>1570405.2904936536</v>
      </c>
    </row>
    <row r="21" spans="1:8" x14ac:dyDescent="0.3">
      <c r="B21" t="s">
        <v>167</v>
      </c>
      <c r="E21" s="64">
        <v>1202000</v>
      </c>
      <c r="F21" s="64">
        <v>1317384.651501257</v>
      </c>
      <c r="G21" s="64">
        <v>1174248.2613126263</v>
      </c>
      <c r="H21" s="64">
        <v>307259.99811656401</v>
      </c>
    </row>
    <row r="22" spans="1:8" x14ac:dyDescent="0.3">
      <c r="C22" t="s">
        <v>168</v>
      </c>
      <c r="E22" s="64">
        <f>E21*E31</f>
        <v>552920</v>
      </c>
      <c r="F22" s="64">
        <f>F21*F31</f>
        <v>671866.17226564104</v>
      </c>
      <c r="G22" s="64">
        <f>G21*G31</f>
        <v>598866.61326943943</v>
      </c>
      <c r="H22" s="64">
        <f>H21*H31</f>
        <v>156702.59903944764</v>
      </c>
    </row>
    <row r="23" spans="1:8" x14ac:dyDescent="0.3">
      <c r="C23" t="s">
        <v>169</v>
      </c>
      <c r="E23" s="64">
        <f>E21*(1-E31)</f>
        <v>649080</v>
      </c>
      <c r="F23" s="64">
        <f>F21*(1-F31)</f>
        <v>645518.47923561593</v>
      </c>
      <c r="G23" s="64">
        <f>G21*(1-G31)</f>
        <v>575381.64804318687</v>
      </c>
      <c r="H23" s="64">
        <f>H21*(1-H31)</f>
        <v>150557.39907711637</v>
      </c>
    </row>
    <row r="24" spans="1:8" x14ac:dyDescent="0.3">
      <c r="B24" t="s">
        <v>170</v>
      </c>
      <c r="E24" s="64">
        <v>195960</v>
      </c>
      <c r="F24" s="64">
        <v>393045.65555591072</v>
      </c>
      <c r="G24" s="64">
        <v>389181.93828279444</v>
      </c>
      <c r="H24" s="64">
        <v>315474.01505165128</v>
      </c>
    </row>
    <row r="25" spans="1:8" x14ac:dyDescent="0.3">
      <c r="B25" t="s">
        <v>171</v>
      </c>
      <c r="E25" s="64">
        <v>265000</v>
      </c>
      <c r="F25" s="64">
        <v>642396.5548048187</v>
      </c>
      <c r="G25" s="64">
        <v>419664.86696359701</v>
      </c>
      <c r="H25" s="64">
        <v>313923.28547987528</v>
      </c>
    </row>
    <row r="26" spans="1:8" x14ac:dyDescent="0.3">
      <c r="B26" t="s">
        <v>172</v>
      </c>
      <c r="E26" s="64">
        <v>281671.06013850495</v>
      </c>
      <c r="F26" s="64">
        <v>584361.44389782473</v>
      </c>
      <c r="G26" s="64">
        <v>610473.267964039</v>
      </c>
      <c r="H26" s="64">
        <v>633747.99184556305</v>
      </c>
    </row>
    <row r="28" spans="1:8" x14ac:dyDescent="0.3">
      <c r="B28" t="s">
        <v>173</v>
      </c>
      <c r="E28" s="64">
        <f>E20/5</f>
        <v>388926.21202770097</v>
      </c>
      <c r="F28" s="64">
        <f>F20/10</f>
        <v>293718.83057598106</v>
      </c>
      <c r="G28" s="64">
        <f>G20/10</f>
        <v>259356.83345230567</v>
      </c>
      <c r="H28" s="64">
        <f>H20/10</f>
        <v>157040.52904936537</v>
      </c>
    </row>
    <row r="29" spans="1:8" x14ac:dyDescent="0.3">
      <c r="B29" t="s">
        <v>174</v>
      </c>
      <c r="E29" s="64">
        <f>(E20-E24-E25)/5</f>
        <v>296734.21202770097</v>
      </c>
      <c r="F29" s="64">
        <f>(F20-F24-F25)/10</f>
        <v>190174.60953990812</v>
      </c>
      <c r="G29" s="64">
        <f>(G20-G24-G25)/10</f>
        <v>178472.15292766652</v>
      </c>
      <c r="H29" s="64">
        <f>(H20-H24-H25)/10</f>
        <v>94100.798996212703</v>
      </c>
    </row>
    <row r="31" spans="1:8" x14ac:dyDescent="0.3">
      <c r="D31" t="s">
        <v>175</v>
      </c>
      <c r="E31" s="18">
        <f>'Construction neuve rési'!C12</f>
        <v>0.46</v>
      </c>
      <c r="F31" s="18">
        <f>'Construction neuve rési'!M12</f>
        <v>0.51</v>
      </c>
      <c r="G31" s="18">
        <f>'Construction neuve rési'!W12</f>
        <v>0.51</v>
      </c>
      <c r="H31" s="18">
        <f>'Construction neuve rési'!AG12</f>
        <v>0.51</v>
      </c>
    </row>
    <row r="32" spans="1:8" x14ac:dyDescent="0.3">
      <c r="E32" s="18"/>
      <c r="F32" s="18"/>
      <c r="G32" s="18"/>
      <c r="H32" s="18"/>
    </row>
    <row r="33" spans="1:9" x14ac:dyDescent="0.3">
      <c r="F33" s="19"/>
      <c r="G33" s="19"/>
      <c r="H33" s="19"/>
      <c r="I33" s="19"/>
    </row>
    <row r="34" spans="1:9" x14ac:dyDescent="0.3">
      <c r="D34">
        <v>2015</v>
      </c>
      <c r="E34">
        <v>2020</v>
      </c>
      <c r="F34">
        <v>2030</v>
      </c>
      <c r="G34">
        <v>2040</v>
      </c>
      <c r="H34">
        <v>2050</v>
      </c>
    </row>
    <row r="35" spans="1:9" x14ac:dyDescent="0.3">
      <c r="A35" s="1" t="s">
        <v>176</v>
      </c>
      <c r="D35" s="64">
        <f>D37+D41+D43</f>
        <v>3170.3677947230954</v>
      </c>
      <c r="E35" s="64">
        <f>E37+E41+E43</f>
        <v>3311.2317091799996</v>
      </c>
      <c r="F35" s="64">
        <f>F37+F41+F43</f>
        <v>3661.2473182130857</v>
      </c>
      <c r="G35" s="64">
        <f>G37+G41+G43</f>
        <v>3854.7649789706302</v>
      </c>
      <c r="H35" s="64">
        <f>H37+H41+H43</f>
        <v>3951.0843492581785</v>
      </c>
    </row>
    <row r="36" spans="1:9" x14ac:dyDescent="0.3">
      <c r="D36" s="64"/>
      <c r="E36" s="64"/>
      <c r="F36" s="64"/>
      <c r="G36" s="64"/>
      <c r="H36" s="64"/>
    </row>
    <row r="37" spans="1:9" x14ac:dyDescent="0.3">
      <c r="B37" t="s">
        <v>156</v>
      </c>
      <c r="D37" s="64">
        <f>D38+D39</f>
        <v>2647.597394723095</v>
      </c>
      <c r="E37" s="64">
        <f>E38+E39</f>
        <v>2740.7053891799997</v>
      </c>
      <c r="F37" s="64">
        <f>F38+F39</f>
        <v>2989.1907948598987</v>
      </c>
      <c r="G37" s="64">
        <f>G38+G39</f>
        <v>3100.180740519168</v>
      </c>
      <c r="H37" s="64">
        <f>H38+H39</f>
        <v>3129.2229555411454</v>
      </c>
    </row>
    <row r="38" spans="1:9" x14ac:dyDescent="0.3">
      <c r="C38" t="s">
        <v>157</v>
      </c>
      <c r="D38" s="64">
        <f t="shared" ref="D38:H39" si="1">D10*D47/1000000</f>
        <v>1851.2338480064182</v>
      </c>
      <c r="E38" s="64">
        <f t="shared" si="1"/>
        <v>1908.3067685199999</v>
      </c>
      <c r="F38" s="64">
        <f t="shared" si="1"/>
        <v>2064.9983966718769</v>
      </c>
      <c r="G38" s="64">
        <f t="shared" si="1"/>
        <v>2136.8623902642094</v>
      </c>
      <c r="H38" s="64">
        <f t="shared" si="1"/>
        <v>2155.6667021489429</v>
      </c>
    </row>
    <row r="39" spans="1:9" x14ac:dyDescent="0.3">
      <c r="C39" t="s">
        <v>158</v>
      </c>
      <c r="D39" s="64">
        <f t="shared" si="1"/>
        <v>796.36354671667686</v>
      </c>
      <c r="E39" s="64">
        <f t="shared" si="1"/>
        <v>832.39862066000001</v>
      </c>
      <c r="F39" s="64">
        <f t="shared" si="1"/>
        <v>924.1923981880218</v>
      </c>
      <c r="G39" s="64">
        <f t="shared" si="1"/>
        <v>963.31835025495855</v>
      </c>
      <c r="H39" s="64">
        <f t="shared" si="1"/>
        <v>973.55625339220239</v>
      </c>
    </row>
    <row r="40" spans="1:9" x14ac:dyDescent="0.3">
      <c r="D40" s="64"/>
      <c r="E40" s="64"/>
      <c r="F40" s="64"/>
      <c r="G40" s="64"/>
      <c r="H40" s="64"/>
    </row>
    <row r="41" spans="1:9" x14ac:dyDescent="0.3">
      <c r="B41" t="s">
        <v>159</v>
      </c>
      <c r="D41" s="64">
        <f>D49*D13/1000000</f>
        <v>297.72000000000003</v>
      </c>
      <c r="E41" s="64">
        <f>E49*E13/1000000</f>
        <v>325.14299999999997</v>
      </c>
      <c r="F41" s="64">
        <f>F49*F13/1000000</f>
        <v>387.81648304204333</v>
      </c>
      <c r="G41" s="64">
        <f>G49*G13/1000000</f>
        <v>431.06071222446269</v>
      </c>
      <c r="H41" s="64">
        <f>H49*H13/1000000</f>
        <v>465.20456248133934</v>
      </c>
    </row>
    <row r="42" spans="1:9" x14ac:dyDescent="0.3">
      <c r="D42" s="64"/>
      <c r="E42" s="64"/>
      <c r="F42" s="64"/>
      <c r="G42" s="64"/>
      <c r="H42" s="64"/>
    </row>
    <row r="43" spans="1:9" x14ac:dyDescent="0.3">
      <c r="B43" t="s">
        <v>160</v>
      </c>
      <c r="D43" s="64">
        <f>D44+D45</f>
        <v>225.05040000000002</v>
      </c>
      <c r="E43" s="64">
        <f>E44+E45</f>
        <v>245.38332000000003</v>
      </c>
      <c r="F43" s="64">
        <f>F44+F45</f>
        <v>284.24004031114379</v>
      </c>
      <c r="G43" s="64">
        <f>G44+G45</f>
        <v>323.52352622699959</v>
      </c>
      <c r="H43" s="64">
        <f>H44+H45</f>
        <v>356.65683123569352</v>
      </c>
    </row>
    <row r="44" spans="1:9" x14ac:dyDescent="0.3">
      <c r="C44" t="s">
        <v>161</v>
      </c>
      <c r="D44" s="64">
        <f>D16*D50/1000000</f>
        <v>183.465</v>
      </c>
      <c r="E44" s="64">
        <f>E16*E50/1000000</f>
        <v>200.04075</v>
      </c>
      <c r="F44" s="64">
        <f>F16*F50/1000000</f>
        <v>227.01661831163824</v>
      </c>
      <c r="G44" s="64">
        <f>G16*G50/1000000</f>
        <v>253.74639435810994</v>
      </c>
      <c r="H44" s="64">
        <f>H16*H50/1000000</f>
        <v>275.24603280145914</v>
      </c>
    </row>
    <row r="45" spans="1:9" x14ac:dyDescent="0.3">
      <c r="C45" t="s">
        <v>162</v>
      </c>
      <c r="D45" s="64">
        <f>D17*D50/1000000</f>
        <v>41.585400000000007</v>
      </c>
      <c r="E45" s="64">
        <f>E17*E50/1000000</f>
        <v>45.342570000000009</v>
      </c>
      <c r="F45" s="64">
        <f>F17*F50/1000000</f>
        <v>57.223421999505547</v>
      </c>
      <c r="G45" s="64">
        <f>G17*G50/1000000</f>
        <v>69.77713186888964</v>
      </c>
      <c r="H45" s="64">
        <f>H17*H50/1000000</f>
        <v>81.41079843423438</v>
      </c>
    </row>
    <row r="47" spans="1:9" x14ac:dyDescent="0.3">
      <c r="B47" t="s">
        <v>177</v>
      </c>
      <c r="C47" t="s">
        <v>63</v>
      </c>
      <c r="D47" s="13">
        <v>115.696157148308</v>
      </c>
      <c r="E47" s="13">
        <v>115.4</v>
      </c>
      <c r="F47" s="13">
        <f>'Construction neuve rési'!M13</f>
        <v>120</v>
      </c>
      <c r="G47" s="13">
        <f>'Construction neuve rési'!W13</f>
        <v>120</v>
      </c>
      <c r="H47" s="13">
        <f>'Construction neuve rési'!AG13</f>
        <v>120</v>
      </c>
    </row>
    <row r="48" spans="1:9" x14ac:dyDescent="0.3">
      <c r="C48" t="s">
        <v>67</v>
      </c>
      <c r="D48" s="13">
        <v>64.854803507717193</v>
      </c>
      <c r="E48" s="13">
        <v>64.3</v>
      </c>
      <c r="F48" s="13">
        <f>'Construction neuve rési'!M14</f>
        <v>68</v>
      </c>
      <c r="G48" s="13">
        <f>'Construction neuve rési'!W14</f>
        <v>68</v>
      </c>
      <c r="H48" s="13">
        <f>'Construction neuve rési'!AG14</f>
        <v>68</v>
      </c>
    </row>
    <row r="49" spans="3:9" x14ac:dyDescent="0.3">
      <c r="C49" t="s">
        <v>178</v>
      </c>
      <c r="D49" s="13">
        <v>90</v>
      </c>
      <c r="E49" s="13">
        <v>91</v>
      </c>
      <c r="F49" s="13">
        <v>92</v>
      </c>
      <c r="G49" s="13">
        <v>93</v>
      </c>
      <c r="H49" s="13">
        <v>94</v>
      </c>
      <c r="I49" t="s">
        <v>179</v>
      </c>
    </row>
    <row r="50" spans="3:9" x14ac:dyDescent="0.3">
      <c r="C50" t="s">
        <v>180</v>
      </c>
      <c r="D50" s="13">
        <v>90</v>
      </c>
      <c r="E50" s="13">
        <v>91</v>
      </c>
      <c r="F50" s="13">
        <v>92</v>
      </c>
      <c r="G50" s="13">
        <v>93</v>
      </c>
      <c r="H50" s="13">
        <v>94</v>
      </c>
      <c r="I50" t="s">
        <v>179</v>
      </c>
    </row>
    <row r="51" spans="3:9" x14ac:dyDescent="0.3">
      <c r="I51" t="s">
        <v>181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49"/>
  <sheetViews>
    <sheetView zoomScale="55" zoomScaleNormal="55" workbookViewId="0">
      <selection activeCell="S14" sqref="S14"/>
    </sheetView>
  </sheetViews>
  <sheetFormatPr baseColWidth="10" defaultColWidth="9.21875" defaultRowHeight="14.4" x14ac:dyDescent="0.3"/>
  <cols>
    <col min="1" max="1" width="8.44140625" customWidth="1"/>
    <col min="2" max="2" width="31.77734375" customWidth="1"/>
    <col min="3" max="5" width="11.77734375" customWidth="1"/>
    <col min="6" max="7" width="17.6640625" customWidth="1"/>
    <col min="8" max="10" width="11.77734375" customWidth="1"/>
    <col min="11" max="1025" width="8.44140625" customWidth="1"/>
  </cols>
  <sheetData>
    <row r="3" spans="2:15" ht="28.35" customHeight="1" x14ac:dyDescent="0.3">
      <c r="B3" s="238" t="s">
        <v>182</v>
      </c>
      <c r="C3" s="238"/>
      <c r="D3" s="238"/>
      <c r="E3" s="238"/>
    </row>
    <row r="6" spans="2:15" x14ac:dyDescent="0.3">
      <c r="C6" s="220" t="s">
        <v>81</v>
      </c>
      <c r="D6" s="220"/>
      <c r="E6" s="220"/>
      <c r="F6" s="220"/>
      <c r="H6" s="220" t="s">
        <v>29</v>
      </c>
      <c r="I6" s="220"/>
      <c r="J6" s="220"/>
      <c r="K6" s="220"/>
      <c r="L6" s="220" t="s">
        <v>2</v>
      </c>
      <c r="M6" s="220"/>
      <c r="N6" s="220"/>
      <c r="O6" s="220"/>
    </row>
    <row r="7" spans="2:15" ht="34.35" customHeight="1" x14ac:dyDescent="0.3">
      <c r="B7" s="239" t="s">
        <v>183</v>
      </c>
      <c r="C7" s="220" t="s">
        <v>184</v>
      </c>
      <c r="D7" s="220"/>
      <c r="E7" s="220"/>
      <c r="F7" s="220"/>
      <c r="H7" s="241" t="s">
        <v>185</v>
      </c>
      <c r="I7" s="241"/>
      <c r="J7" s="241"/>
      <c r="K7" s="241"/>
      <c r="L7" s="220" t="s">
        <v>186</v>
      </c>
      <c r="M7" s="220"/>
      <c r="N7" s="220"/>
      <c r="O7" s="220"/>
    </row>
    <row r="8" spans="2:15" ht="16.2" x14ac:dyDescent="0.3">
      <c r="B8" s="239"/>
      <c r="C8" s="220" t="s">
        <v>187</v>
      </c>
      <c r="D8" s="220"/>
      <c r="E8" s="220"/>
      <c r="F8" s="220"/>
      <c r="H8" s="220" t="s">
        <v>188</v>
      </c>
      <c r="I8" s="220"/>
      <c r="J8" s="220"/>
      <c r="K8" s="220"/>
      <c r="L8" s="220" t="s">
        <v>189</v>
      </c>
      <c r="M8" s="220"/>
      <c r="N8" s="220"/>
      <c r="O8" s="220"/>
    </row>
    <row r="9" spans="2:15" ht="57" customHeight="1" x14ac:dyDescent="0.3">
      <c r="B9" s="66" t="s">
        <v>190</v>
      </c>
      <c r="C9" s="242" t="s">
        <v>191</v>
      </c>
      <c r="D9" s="242"/>
      <c r="E9" s="242"/>
      <c r="F9" s="242"/>
      <c r="H9" s="243" t="s">
        <v>192</v>
      </c>
      <c r="I9" s="243"/>
      <c r="J9" s="243"/>
      <c r="K9" s="243"/>
      <c r="L9" s="244"/>
      <c r="M9" s="244"/>
      <c r="N9" s="244"/>
      <c r="O9" s="244"/>
    </row>
    <row r="10" spans="2:15" s="205" customFormat="1" ht="57" customHeight="1" x14ac:dyDescent="0.3">
      <c r="B10" s="66" t="s">
        <v>488</v>
      </c>
      <c r="C10" s="242"/>
      <c r="D10" s="242"/>
      <c r="E10" s="242"/>
      <c r="F10" s="242"/>
      <c r="H10" s="243"/>
      <c r="I10" s="243"/>
      <c r="J10" s="243"/>
      <c r="K10" s="243"/>
      <c r="L10" s="245"/>
      <c r="M10" s="245"/>
      <c r="N10" s="245"/>
      <c r="O10" s="245"/>
    </row>
    <row r="11" spans="2:15" ht="23.55" customHeight="1" x14ac:dyDescent="0.3">
      <c r="B11" s="66" t="s">
        <v>193</v>
      </c>
      <c r="C11" s="242" t="s">
        <v>194</v>
      </c>
      <c r="D11" s="242"/>
      <c r="E11" s="242"/>
      <c r="F11" s="242"/>
      <c r="H11" s="220" t="s">
        <v>195</v>
      </c>
      <c r="I11" s="220"/>
      <c r="J11" s="220"/>
      <c r="K11" s="220"/>
      <c r="L11" s="244"/>
      <c r="M11" s="244"/>
      <c r="N11" s="244"/>
      <c r="O11" s="244"/>
    </row>
    <row r="12" spans="2:15" ht="34.35" customHeight="1" x14ac:dyDescent="0.3">
      <c r="B12" s="66" t="s">
        <v>196</v>
      </c>
      <c r="C12" s="242"/>
      <c r="D12" s="242"/>
      <c r="E12" s="242"/>
      <c r="F12" s="242"/>
      <c r="H12" s="244"/>
      <c r="I12" s="244"/>
      <c r="J12" s="244"/>
      <c r="K12" s="244"/>
      <c r="L12" s="244"/>
      <c r="M12" s="244"/>
      <c r="N12" s="244"/>
      <c r="O12" s="244"/>
    </row>
    <row r="13" spans="2:15" ht="34.35" customHeight="1" x14ac:dyDescent="0.3">
      <c r="B13" s="66" t="s">
        <v>197</v>
      </c>
      <c r="C13" s="242"/>
      <c r="D13" s="242"/>
      <c r="E13" s="242"/>
      <c r="F13" s="242"/>
      <c r="H13" s="240" t="s">
        <v>198</v>
      </c>
      <c r="I13" s="240"/>
      <c r="J13" s="240"/>
      <c r="K13" s="240"/>
      <c r="L13" s="244"/>
      <c r="M13" s="244"/>
      <c r="N13" s="244"/>
      <c r="O13" s="244"/>
    </row>
    <row r="14" spans="2:15" ht="24" customHeight="1" x14ac:dyDescent="0.3">
      <c r="B14" s="239" t="s">
        <v>199</v>
      </c>
      <c r="C14" s="240" t="s">
        <v>200</v>
      </c>
      <c r="D14" s="240"/>
      <c r="E14" s="240"/>
      <c r="F14" s="240"/>
      <c r="H14" s="240" t="s">
        <v>201</v>
      </c>
      <c r="I14" s="240"/>
      <c r="J14" s="240"/>
      <c r="K14" s="240"/>
      <c r="L14" s="220" t="s">
        <v>202</v>
      </c>
      <c r="M14" s="220"/>
      <c r="N14" s="220"/>
      <c r="O14" s="220"/>
    </row>
    <row r="15" spans="2:15" ht="24" customHeight="1" x14ac:dyDescent="0.3">
      <c r="B15" s="239"/>
      <c r="C15" s="240" t="s">
        <v>203</v>
      </c>
      <c r="D15" s="240"/>
      <c r="E15" s="240"/>
      <c r="F15" s="240"/>
      <c r="H15" s="240"/>
      <c r="I15" s="240"/>
      <c r="J15" s="240"/>
      <c r="K15" s="240"/>
      <c r="L15" s="240" t="s">
        <v>204</v>
      </c>
      <c r="M15" s="240"/>
      <c r="N15" s="240"/>
      <c r="O15" s="240"/>
    </row>
    <row r="16" spans="2:15" ht="13.05" customHeight="1" x14ac:dyDescent="0.3">
      <c r="B16" s="66" t="s">
        <v>205</v>
      </c>
      <c r="C16" s="220" t="s">
        <v>206</v>
      </c>
      <c r="D16" s="220"/>
      <c r="E16" s="220"/>
      <c r="F16" s="220"/>
      <c r="H16" s="240" t="s">
        <v>207</v>
      </c>
      <c r="I16" s="240"/>
      <c r="J16" s="240"/>
      <c r="K16" s="240"/>
      <c r="L16" s="240" t="s">
        <v>208</v>
      </c>
      <c r="M16" s="240"/>
      <c r="N16" s="240"/>
      <c r="O16" s="240"/>
    </row>
    <row r="17" spans="2:15" ht="85.95" customHeight="1" x14ac:dyDescent="0.3">
      <c r="B17" s="66" t="s">
        <v>209</v>
      </c>
      <c r="C17" s="240" t="s">
        <v>210</v>
      </c>
      <c r="D17" s="240"/>
      <c r="E17" s="240"/>
      <c r="F17" s="240"/>
      <c r="H17" s="240" t="s">
        <v>211</v>
      </c>
      <c r="I17" s="240"/>
      <c r="J17" s="240"/>
      <c r="K17" s="240"/>
      <c r="L17" s="240"/>
      <c r="M17" s="240"/>
      <c r="N17" s="240"/>
      <c r="O17" s="240"/>
    </row>
    <row r="18" spans="2:15" ht="23.55" customHeight="1" x14ac:dyDescent="0.3">
      <c r="B18" s="66" t="s">
        <v>212</v>
      </c>
      <c r="C18" s="220" t="s">
        <v>213</v>
      </c>
      <c r="D18" s="220"/>
      <c r="E18" s="220"/>
      <c r="F18" s="220"/>
      <c r="H18" s="240"/>
      <c r="I18" s="240"/>
      <c r="J18" s="240"/>
      <c r="K18" s="240"/>
      <c r="L18" s="240" t="s">
        <v>214</v>
      </c>
      <c r="M18" s="240"/>
      <c r="N18" s="240"/>
      <c r="O18" s="240"/>
    </row>
    <row r="19" spans="2:15" ht="24" customHeight="1" x14ac:dyDescent="0.3">
      <c r="B19" s="66" t="s">
        <v>215</v>
      </c>
      <c r="C19" s="220" t="s">
        <v>213</v>
      </c>
      <c r="D19" s="220"/>
      <c r="E19" s="220"/>
      <c r="F19" s="220"/>
      <c r="H19" s="240" t="s">
        <v>216</v>
      </c>
      <c r="I19" s="240"/>
      <c r="J19" s="240"/>
      <c r="K19" s="240"/>
      <c r="L19" s="240" t="s">
        <v>217</v>
      </c>
      <c r="M19" s="240"/>
      <c r="N19" s="240"/>
      <c r="O19" s="240"/>
    </row>
    <row r="20" spans="2:15" ht="13.05" customHeight="1" x14ac:dyDescent="0.3">
      <c r="B20" s="66" t="s">
        <v>218</v>
      </c>
      <c r="C20" s="220" t="s">
        <v>213</v>
      </c>
      <c r="D20" s="220"/>
      <c r="E20" s="220"/>
      <c r="F20" s="220"/>
      <c r="H20" s="240" t="s">
        <v>216</v>
      </c>
      <c r="I20" s="240"/>
      <c r="J20" s="240"/>
      <c r="K20" s="240"/>
      <c r="L20" s="240" t="s">
        <v>219</v>
      </c>
      <c r="M20" s="240"/>
      <c r="N20" s="240"/>
      <c r="O20" s="240"/>
    </row>
    <row r="21" spans="2:15" ht="29.25" customHeight="1" x14ac:dyDescent="0.3">
      <c r="B21" s="66" t="s">
        <v>220</v>
      </c>
      <c r="C21" s="220" t="s">
        <v>221</v>
      </c>
      <c r="D21" s="220"/>
      <c r="E21" s="220"/>
      <c r="F21" s="220"/>
      <c r="H21" s="240" t="s">
        <v>222</v>
      </c>
      <c r="I21" s="240"/>
      <c r="J21" s="240"/>
      <c r="K21" s="240"/>
      <c r="L21" s="240" t="s">
        <v>223</v>
      </c>
      <c r="M21" s="240"/>
      <c r="N21" s="240"/>
      <c r="O21" s="240"/>
    </row>
    <row r="22" spans="2:15" ht="24" customHeight="1" x14ac:dyDescent="0.3">
      <c r="B22" s="66" t="s">
        <v>224</v>
      </c>
      <c r="C22" s="220" t="s">
        <v>221</v>
      </c>
      <c r="D22" s="220"/>
      <c r="E22" s="220"/>
      <c r="F22" s="220"/>
      <c r="H22" s="240" t="s">
        <v>225</v>
      </c>
      <c r="I22" s="240"/>
      <c r="J22" s="240"/>
      <c r="K22" s="240"/>
      <c r="L22" s="240" t="s">
        <v>221</v>
      </c>
      <c r="M22" s="240"/>
      <c r="N22" s="240"/>
      <c r="O22" s="240"/>
    </row>
    <row r="23" spans="2:15" ht="23.55" customHeight="1" x14ac:dyDescent="0.3">
      <c r="B23" s="67" t="s">
        <v>226</v>
      </c>
      <c r="C23" s="239" t="s">
        <v>227</v>
      </c>
      <c r="D23" s="239"/>
      <c r="E23" s="239"/>
      <c r="F23" s="239"/>
    </row>
    <row r="26" spans="2:15" x14ac:dyDescent="0.3">
      <c r="B26" s="238" t="s">
        <v>228</v>
      </c>
      <c r="C26" s="238"/>
      <c r="D26" s="238"/>
      <c r="E26" s="238"/>
      <c r="N26" t="s">
        <v>498</v>
      </c>
    </row>
    <row r="28" spans="2:15" x14ac:dyDescent="0.3">
      <c r="B28" s="1" t="s">
        <v>229</v>
      </c>
    </row>
    <row r="29" spans="2:15" x14ac:dyDescent="0.3">
      <c r="C29" s="239" t="s">
        <v>230</v>
      </c>
      <c r="D29" s="239"/>
      <c r="E29" s="239"/>
      <c r="F29" s="239"/>
      <c r="G29" s="239"/>
      <c r="J29" s="239" t="s">
        <v>231</v>
      </c>
      <c r="K29" s="239"/>
      <c r="L29" s="239"/>
      <c r="M29" s="239"/>
      <c r="N29" s="239"/>
    </row>
    <row r="30" spans="2:15" x14ac:dyDescent="0.3">
      <c r="C30">
        <v>2020</v>
      </c>
      <c r="D30">
        <v>2025</v>
      </c>
      <c r="E30">
        <v>2030</v>
      </c>
      <c r="F30">
        <v>2040</v>
      </c>
      <c r="G30">
        <v>2050</v>
      </c>
      <c r="J30">
        <v>2015</v>
      </c>
      <c r="K30">
        <v>2020</v>
      </c>
      <c r="L30">
        <v>2025</v>
      </c>
      <c r="M30">
        <v>2030</v>
      </c>
      <c r="N30">
        <v>2050</v>
      </c>
    </row>
    <row r="31" spans="2:15" ht="27" x14ac:dyDescent="0.3">
      <c r="B31" s="68" t="s">
        <v>232</v>
      </c>
      <c r="C31" s="69">
        <v>1</v>
      </c>
      <c r="D31" s="69">
        <v>0.95284948723465301</v>
      </c>
      <c r="E31" s="69">
        <v>0.90569897446930503</v>
      </c>
      <c r="F31" s="69">
        <v>0.86821723041283105</v>
      </c>
      <c r="G31" s="69">
        <v>0.85527761372129096</v>
      </c>
      <c r="J31" s="69">
        <v>1</v>
      </c>
      <c r="K31" s="69">
        <v>0.99466666666666703</v>
      </c>
      <c r="L31" s="69">
        <v>0.98933333333333295</v>
      </c>
      <c r="M31" s="69">
        <v>0.98399999999999999</v>
      </c>
      <c r="N31" s="69">
        <v>0.94699999999999995</v>
      </c>
    </row>
    <row r="32" spans="2:15" ht="27" x14ac:dyDescent="0.3">
      <c r="B32" s="68" t="s">
        <v>233</v>
      </c>
      <c r="C32" s="69">
        <v>1</v>
      </c>
      <c r="D32" s="69">
        <v>1.0833797193571599</v>
      </c>
      <c r="E32" s="69">
        <v>1.1667594387143301</v>
      </c>
      <c r="F32" s="69">
        <v>1.23790389075473</v>
      </c>
      <c r="G32" s="69">
        <v>1.2390882867861499</v>
      </c>
      <c r="J32">
        <v>1</v>
      </c>
      <c r="K32">
        <v>1.04</v>
      </c>
      <c r="L32">
        <v>1.08</v>
      </c>
      <c r="M32">
        <v>1.1200000000000001</v>
      </c>
      <c r="N32">
        <v>1.27</v>
      </c>
    </row>
    <row r="33" spans="1:34" x14ac:dyDescent="0.3">
      <c r="C33" s="31" t="s">
        <v>234</v>
      </c>
    </row>
    <row r="35" spans="1:34" x14ac:dyDescent="0.3">
      <c r="B35" s="1" t="s">
        <v>235</v>
      </c>
      <c r="D35">
        <v>2020</v>
      </c>
      <c r="E35">
        <v>2030</v>
      </c>
      <c r="F35">
        <v>2040</v>
      </c>
      <c r="G35">
        <v>2050</v>
      </c>
    </row>
    <row r="36" spans="1:34" x14ac:dyDescent="0.3">
      <c r="B36" t="s">
        <v>236</v>
      </c>
      <c r="C36" s="70" t="s">
        <v>237</v>
      </c>
      <c r="H36" t="s">
        <v>238</v>
      </c>
    </row>
    <row r="37" spans="1:34" x14ac:dyDescent="0.3">
      <c r="B37" t="s">
        <v>239</v>
      </c>
      <c r="C37" s="70" t="s">
        <v>237</v>
      </c>
      <c r="H37" t="s">
        <v>240</v>
      </c>
    </row>
    <row r="38" spans="1:34" ht="27" x14ac:dyDescent="0.3">
      <c r="B38" s="68" t="s">
        <v>241</v>
      </c>
      <c r="D38">
        <v>1</v>
      </c>
      <c r="E38">
        <v>0.93</v>
      </c>
      <c r="F38">
        <v>0.91500000000000004</v>
      </c>
      <c r="G38">
        <v>0.9</v>
      </c>
      <c r="H38" t="s">
        <v>242</v>
      </c>
    </row>
    <row r="40" spans="1:34" x14ac:dyDescent="0.3">
      <c r="B40" t="s">
        <v>243</v>
      </c>
      <c r="C40" s="70" t="s">
        <v>244</v>
      </c>
      <c r="D40" s="31"/>
    </row>
    <row r="42" spans="1:34" x14ac:dyDescent="0.3">
      <c r="B42" s="1" t="s">
        <v>245</v>
      </c>
    </row>
    <row r="44" spans="1:34" ht="66.599999999999994" x14ac:dyDescent="0.3">
      <c r="B44" s="68" t="s">
        <v>246</v>
      </c>
      <c r="C44" s="70"/>
    </row>
    <row r="46" spans="1:34" x14ac:dyDescent="0.3">
      <c r="B46" s="1" t="s">
        <v>199</v>
      </c>
    </row>
    <row r="47" spans="1:34" x14ac:dyDescent="0.3">
      <c r="C47">
        <v>2019</v>
      </c>
      <c r="D47">
        <v>2020</v>
      </c>
      <c r="E47">
        <v>2021</v>
      </c>
      <c r="F47">
        <v>2022</v>
      </c>
      <c r="G47">
        <v>2023</v>
      </c>
      <c r="H47">
        <v>2024</v>
      </c>
      <c r="I47">
        <v>2025</v>
      </c>
      <c r="J47">
        <v>2026</v>
      </c>
      <c r="K47">
        <v>2027</v>
      </c>
      <c r="L47">
        <v>2028</v>
      </c>
      <c r="M47">
        <v>2029</v>
      </c>
      <c r="N47">
        <v>2030</v>
      </c>
      <c r="O47">
        <v>2031</v>
      </c>
      <c r="P47">
        <v>2032</v>
      </c>
      <c r="Q47">
        <v>2033</v>
      </c>
      <c r="R47">
        <v>2034</v>
      </c>
      <c r="S47">
        <v>2035</v>
      </c>
      <c r="T47">
        <v>2036</v>
      </c>
      <c r="U47">
        <v>2037</v>
      </c>
      <c r="V47">
        <v>2038</v>
      </c>
      <c r="W47">
        <v>2039</v>
      </c>
      <c r="X47">
        <v>2040</v>
      </c>
      <c r="Y47">
        <v>2041</v>
      </c>
      <c r="Z47">
        <v>2042</v>
      </c>
      <c r="AA47">
        <v>2043</v>
      </c>
      <c r="AB47">
        <v>2044</v>
      </c>
      <c r="AC47">
        <v>2045</v>
      </c>
      <c r="AD47">
        <v>2046</v>
      </c>
      <c r="AE47">
        <v>2047</v>
      </c>
      <c r="AF47">
        <v>2048</v>
      </c>
      <c r="AG47">
        <v>2049</v>
      </c>
      <c r="AH47">
        <v>2050</v>
      </c>
    </row>
    <row r="48" spans="1:34" x14ac:dyDescent="0.3">
      <c r="A48" t="s">
        <v>28</v>
      </c>
      <c r="B48" t="s">
        <v>247</v>
      </c>
      <c r="C48" s="71">
        <v>105.150841385559</v>
      </c>
      <c r="D48" s="71">
        <v>109.484845166928</v>
      </c>
      <c r="E48" s="71">
        <v>109.484845166928</v>
      </c>
      <c r="F48" s="71">
        <v>116.494901259299</v>
      </c>
      <c r="G48" s="71">
        <v>144.535125628781</v>
      </c>
      <c r="H48" s="71">
        <v>197.110546321561</v>
      </c>
      <c r="I48" s="71">
        <v>232.160826783414</v>
      </c>
      <c r="J48" s="71">
        <v>232.160826783414</v>
      </c>
      <c r="K48" s="71">
        <v>232.160826783414</v>
      </c>
      <c r="L48" s="71">
        <v>232.160826783414</v>
      </c>
      <c r="M48" s="71">
        <v>232.160826783414</v>
      </c>
      <c r="N48" s="71">
        <v>222.64214071431999</v>
      </c>
      <c r="O48" s="71">
        <v>222.64214071431999</v>
      </c>
      <c r="P48" s="71">
        <v>222.64214071431999</v>
      </c>
      <c r="Q48" s="71">
        <v>222.64214071431999</v>
      </c>
      <c r="R48" s="71">
        <v>222.64214071431999</v>
      </c>
      <c r="S48" s="71">
        <v>222.64214071431999</v>
      </c>
      <c r="T48" s="71">
        <v>222.64214071431999</v>
      </c>
      <c r="U48" s="71">
        <v>222.64214071431999</v>
      </c>
      <c r="V48" s="71">
        <v>222.64214071431999</v>
      </c>
      <c r="W48" s="71">
        <v>222.64214071431999</v>
      </c>
      <c r="X48" s="71">
        <v>227.217910586882</v>
      </c>
      <c r="Y48" s="71">
        <v>227.217910586882</v>
      </c>
      <c r="Z48" s="71">
        <v>227.217910586882</v>
      </c>
      <c r="AA48" s="71">
        <v>227.217910586882</v>
      </c>
      <c r="AB48" s="71">
        <v>227.217910586882</v>
      </c>
      <c r="AC48" s="71">
        <v>227.217910586882</v>
      </c>
      <c r="AD48" s="71">
        <v>227.217910586882</v>
      </c>
      <c r="AE48" s="71">
        <v>227.217910586882</v>
      </c>
      <c r="AF48" s="71">
        <v>227.217910586882</v>
      </c>
      <c r="AG48" s="71">
        <v>227.217910586882</v>
      </c>
      <c r="AH48" s="71">
        <v>227.217910586882</v>
      </c>
    </row>
    <row r="49" spans="1:34" x14ac:dyDescent="0.3">
      <c r="A49" t="s">
        <v>1</v>
      </c>
      <c r="B49" t="s">
        <v>247</v>
      </c>
      <c r="C49" s="71">
        <v>105.150841385559</v>
      </c>
      <c r="D49" s="71">
        <v>109.484845166928</v>
      </c>
      <c r="E49" s="71">
        <v>109.484845166928</v>
      </c>
      <c r="F49" s="71">
        <v>116.494901259299</v>
      </c>
      <c r="G49">
        <v>0</v>
      </c>
      <c r="H49">
        <f t="shared" ref="H49:AH49" si="0">G49</f>
        <v>0</v>
      </c>
      <c r="I49">
        <f t="shared" si="0"/>
        <v>0</v>
      </c>
      <c r="J49">
        <f t="shared" si="0"/>
        <v>0</v>
      </c>
      <c r="K49">
        <f t="shared" si="0"/>
        <v>0</v>
      </c>
      <c r="L49">
        <f t="shared" si="0"/>
        <v>0</v>
      </c>
      <c r="M49">
        <f t="shared" si="0"/>
        <v>0</v>
      </c>
      <c r="N49">
        <f t="shared" si="0"/>
        <v>0</v>
      </c>
      <c r="O49">
        <f t="shared" si="0"/>
        <v>0</v>
      </c>
      <c r="P49">
        <f t="shared" si="0"/>
        <v>0</v>
      </c>
      <c r="Q49">
        <f t="shared" si="0"/>
        <v>0</v>
      </c>
      <c r="R49">
        <f t="shared" si="0"/>
        <v>0</v>
      </c>
      <c r="S49">
        <f t="shared" si="0"/>
        <v>0</v>
      </c>
      <c r="T49">
        <f t="shared" si="0"/>
        <v>0</v>
      </c>
      <c r="U49">
        <f t="shared" si="0"/>
        <v>0</v>
      </c>
      <c r="V49">
        <f t="shared" si="0"/>
        <v>0</v>
      </c>
      <c r="W49">
        <f t="shared" si="0"/>
        <v>0</v>
      </c>
      <c r="X49">
        <f t="shared" si="0"/>
        <v>0</v>
      </c>
      <c r="Y49">
        <f t="shared" si="0"/>
        <v>0</v>
      </c>
      <c r="Z49">
        <f t="shared" si="0"/>
        <v>0</v>
      </c>
      <c r="AA49">
        <f t="shared" si="0"/>
        <v>0</v>
      </c>
      <c r="AB49">
        <f t="shared" si="0"/>
        <v>0</v>
      </c>
      <c r="AC49">
        <f t="shared" si="0"/>
        <v>0</v>
      </c>
      <c r="AD49">
        <f t="shared" si="0"/>
        <v>0</v>
      </c>
      <c r="AE49">
        <f t="shared" si="0"/>
        <v>0</v>
      </c>
      <c r="AF49">
        <f t="shared" si="0"/>
        <v>0</v>
      </c>
      <c r="AG49">
        <f t="shared" si="0"/>
        <v>0</v>
      </c>
      <c r="AH49">
        <f t="shared" si="0"/>
        <v>0</v>
      </c>
    </row>
  </sheetData>
  <mergeCells count="58">
    <mergeCell ref="B26:E26"/>
    <mergeCell ref="C29:G29"/>
    <mergeCell ref="J29:N29"/>
    <mergeCell ref="C22:F22"/>
    <mergeCell ref="H22:K22"/>
    <mergeCell ref="L22:O22"/>
    <mergeCell ref="C23:F23"/>
    <mergeCell ref="C20:F20"/>
    <mergeCell ref="H20:K20"/>
    <mergeCell ref="L20:O20"/>
    <mergeCell ref="C21:F21"/>
    <mergeCell ref="H21:K21"/>
    <mergeCell ref="L21:O21"/>
    <mergeCell ref="C18:F18"/>
    <mergeCell ref="H18:K18"/>
    <mergeCell ref="L18:O18"/>
    <mergeCell ref="C19:F19"/>
    <mergeCell ref="H19:K19"/>
    <mergeCell ref="L19:O19"/>
    <mergeCell ref="C16:F16"/>
    <mergeCell ref="H16:K16"/>
    <mergeCell ref="L16:O16"/>
    <mergeCell ref="C17:F17"/>
    <mergeCell ref="H17:K17"/>
    <mergeCell ref="L17:O17"/>
    <mergeCell ref="B14:B15"/>
    <mergeCell ref="C14:F14"/>
    <mergeCell ref="H14:K14"/>
    <mergeCell ref="L14:O14"/>
    <mergeCell ref="C15:F15"/>
    <mergeCell ref="H15:K15"/>
    <mergeCell ref="L15:O15"/>
    <mergeCell ref="C12:F12"/>
    <mergeCell ref="H12:K12"/>
    <mergeCell ref="L12:O12"/>
    <mergeCell ref="C13:F13"/>
    <mergeCell ref="H13:K13"/>
    <mergeCell ref="L13:O13"/>
    <mergeCell ref="C9:F9"/>
    <mergeCell ref="H9:K9"/>
    <mergeCell ref="L9:O9"/>
    <mergeCell ref="C11:F11"/>
    <mergeCell ref="H11:K11"/>
    <mergeCell ref="L11:O11"/>
    <mergeCell ref="C10:F10"/>
    <mergeCell ref="H10:K10"/>
    <mergeCell ref="L10:O10"/>
    <mergeCell ref="B7:B8"/>
    <mergeCell ref="C7:F7"/>
    <mergeCell ref="H7:K7"/>
    <mergeCell ref="L7:O7"/>
    <mergeCell ref="C8:F8"/>
    <mergeCell ref="H8:K8"/>
    <mergeCell ref="L8:O8"/>
    <mergeCell ref="B3:E3"/>
    <mergeCell ref="C6:F6"/>
    <mergeCell ref="H6:K6"/>
    <mergeCell ref="L6:O6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&amp;C&amp;"Arial,Normal"&amp;10&amp;A</oddHeader>
    <oddFooter>&amp;C&amp;"Arial,Normal"&amp;10Page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topLeftCell="A34" zoomScale="55" zoomScaleNormal="55" workbookViewId="0">
      <selection activeCell="F61" sqref="F61"/>
    </sheetView>
  </sheetViews>
  <sheetFormatPr baseColWidth="10" defaultColWidth="9.21875" defaultRowHeight="14.4" x14ac:dyDescent="0.3"/>
  <cols>
    <col min="1" max="1" width="8.44140625" customWidth="1"/>
    <col min="2" max="2" width="24.5546875" customWidth="1"/>
    <col min="3" max="1025" width="8.44140625" customWidth="1"/>
  </cols>
  <sheetData>
    <row r="1" spans="1:30" x14ac:dyDescent="0.3">
      <c r="A1" s="70"/>
    </row>
    <row r="2" spans="1:30" x14ac:dyDescent="0.3">
      <c r="H2" s="246" t="s">
        <v>248</v>
      </c>
      <c r="I2" s="246"/>
      <c r="J2" s="246"/>
      <c r="K2" s="246"/>
    </row>
    <row r="3" spans="1:30" x14ac:dyDescent="0.3">
      <c r="B3" s="238" t="s">
        <v>249</v>
      </c>
      <c r="C3" s="238"/>
      <c r="D3" s="238"/>
      <c r="E3" s="238"/>
      <c r="F3" s="238"/>
    </row>
    <row r="5" spans="1:30" x14ac:dyDescent="0.3">
      <c r="C5" s="220" t="s">
        <v>250</v>
      </c>
      <c r="D5" s="220"/>
      <c r="E5" s="220"/>
      <c r="F5" s="220"/>
      <c r="H5" s="220" t="s">
        <v>131</v>
      </c>
      <c r="I5" s="220"/>
    </row>
    <row r="6" spans="1:30" x14ac:dyDescent="0.3">
      <c r="A6" t="s">
        <v>43</v>
      </c>
      <c r="C6" s="72">
        <v>2016</v>
      </c>
      <c r="D6" s="72">
        <v>2017</v>
      </c>
      <c r="E6" s="72">
        <v>2018</v>
      </c>
      <c r="F6" s="72">
        <v>2019</v>
      </c>
      <c r="H6" s="73">
        <v>2015</v>
      </c>
      <c r="I6" s="73">
        <v>2020</v>
      </c>
    </row>
    <row r="7" spans="1:30" x14ac:dyDescent="0.3">
      <c r="B7" s="72" t="s">
        <v>251</v>
      </c>
      <c r="C7" s="74">
        <v>745</v>
      </c>
      <c r="D7" s="74">
        <v>741</v>
      </c>
      <c r="E7" s="74">
        <v>735</v>
      </c>
      <c r="F7" s="72">
        <v>732</v>
      </c>
      <c r="H7" s="73">
        <v>788.12375099105498</v>
      </c>
      <c r="I7" s="73">
        <v>704.90527042790598</v>
      </c>
      <c r="K7" s="75"/>
    </row>
    <row r="8" spans="1:30" x14ac:dyDescent="0.3">
      <c r="B8" s="72" t="s">
        <v>252</v>
      </c>
      <c r="C8" s="74">
        <v>361</v>
      </c>
      <c r="D8" s="74">
        <v>360</v>
      </c>
      <c r="E8" s="74">
        <v>359</v>
      </c>
      <c r="F8" s="72">
        <v>357</v>
      </c>
      <c r="H8" s="73">
        <v>217.20341369217201</v>
      </c>
      <c r="I8" s="73">
        <v>207.286298318484</v>
      </c>
      <c r="K8" s="75"/>
    </row>
    <row r="9" spans="1:30" x14ac:dyDescent="0.3">
      <c r="B9" s="72" t="s">
        <v>253</v>
      </c>
      <c r="C9" s="74">
        <v>1114</v>
      </c>
      <c r="D9" s="74">
        <v>1105</v>
      </c>
      <c r="E9" s="74">
        <v>1098</v>
      </c>
      <c r="F9" s="72">
        <v>1090</v>
      </c>
      <c r="H9" s="73">
        <v>903.04294443720596</v>
      </c>
      <c r="I9" s="73">
        <v>852.31746001289196</v>
      </c>
      <c r="K9" s="75"/>
    </row>
    <row r="10" spans="1:30" x14ac:dyDescent="0.3">
      <c r="B10" s="72" t="s">
        <v>254</v>
      </c>
      <c r="C10" s="74">
        <v>26.6</v>
      </c>
      <c r="D10" s="74">
        <v>26.5</v>
      </c>
      <c r="E10" s="74">
        <v>30.3</v>
      </c>
      <c r="F10" s="72">
        <v>37.6</v>
      </c>
      <c r="H10" s="73"/>
      <c r="I10" s="76">
        <v>532.00595604499495</v>
      </c>
    </row>
    <row r="11" spans="1:30" x14ac:dyDescent="0.3">
      <c r="U11" s="227" t="s">
        <v>34</v>
      </c>
      <c r="V11" s="227"/>
      <c r="W11" s="227" t="s">
        <v>35</v>
      </c>
      <c r="X11" s="227"/>
      <c r="Y11" s="227" t="s">
        <v>36</v>
      </c>
      <c r="Z11" s="227"/>
      <c r="AA11" s="227" t="s">
        <v>37</v>
      </c>
      <c r="AB11" s="227"/>
      <c r="AC11" t="s">
        <v>151</v>
      </c>
    </row>
    <row r="12" spans="1:30" x14ac:dyDescent="0.3">
      <c r="A12" t="s">
        <v>1</v>
      </c>
      <c r="C12" s="72">
        <v>2020</v>
      </c>
      <c r="D12" s="72">
        <f t="shared" ref="D12:I12" si="0">C12+5</f>
        <v>2025</v>
      </c>
      <c r="E12" s="72">
        <f t="shared" si="0"/>
        <v>2030</v>
      </c>
      <c r="F12" s="72">
        <f t="shared" si="0"/>
        <v>2035</v>
      </c>
      <c r="G12" s="72">
        <f t="shared" si="0"/>
        <v>2040</v>
      </c>
      <c r="H12" s="72">
        <f t="shared" si="0"/>
        <v>2045</v>
      </c>
      <c r="I12" s="72">
        <f t="shared" si="0"/>
        <v>2050</v>
      </c>
      <c r="L12" t="s">
        <v>2</v>
      </c>
      <c r="M12" t="s">
        <v>255</v>
      </c>
      <c r="P12">
        <v>2030</v>
      </c>
      <c r="Q12">
        <v>2050</v>
      </c>
      <c r="S12" t="s">
        <v>131</v>
      </c>
      <c r="T12" t="s">
        <v>256</v>
      </c>
      <c r="U12">
        <v>2030</v>
      </c>
      <c r="V12">
        <v>2050</v>
      </c>
      <c r="W12">
        <v>2030</v>
      </c>
      <c r="X12">
        <v>2050</v>
      </c>
      <c r="Y12">
        <v>2030</v>
      </c>
      <c r="Z12">
        <v>2050</v>
      </c>
      <c r="AA12">
        <v>2030</v>
      </c>
      <c r="AB12">
        <v>2050</v>
      </c>
      <c r="AC12">
        <v>2030</v>
      </c>
      <c r="AD12">
        <v>2050</v>
      </c>
    </row>
    <row r="13" spans="1:30" x14ac:dyDescent="0.3">
      <c r="B13" s="72" t="s">
        <v>251</v>
      </c>
      <c r="C13" s="72">
        <f>F7</f>
        <v>732</v>
      </c>
      <c r="D13" s="73">
        <f>(C13+E13)/2</f>
        <v>728.5</v>
      </c>
      <c r="E13" s="73">
        <v>725</v>
      </c>
      <c r="F13" s="73">
        <f>(E13+G13)/2</f>
        <v>718.75</v>
      </c>
      <c r="G13" s="73">
        <f>(E13+I13)/2</f>
        <v>712.5</v>
      </c>
      <c r="H13" s="73">
        <f>(G13+I13)/2</f>
        <v>706.25</v>
      </c>
      <c r="I13" s="73">
        <v>700</v>
      </c>
      <c r="J13" t="s">
        <v>257</v>
      </c>
      <c r="M13" t="s">
        <v>258</v>
      </c>
      <c r="P13" s="19">
        <v>0</v>
      </c>
      <c r="Q13" s="19">
        <v>-0.05</v>
      </c>
      <c r="T13" t="s">
        <v>258</v>
      </c>
      <c r="U13" s="69">
        <f>515/705</f>
        <v>0.73049645390070927</v>
      </c>
      <c r="V13" s="69">
        <f>464/705</f>
        <v>0.65815602836879428</v>
      </c>
      <c r="W13" s="69">
        <f>584/705</f>
        <v>0.82836879432624111</v>
      </c>
      <c r="X13" s="69">
        <f>500/705</f>
        <v>0.70921985815602839</v>
      </c>
      <c r="Y13" s="69">
        <f>616/705</f>
        <v>0.87375886524822699</v>
      </c>
      <c r="Z13" s="69">
        <f>534/705</f>
        <v>0.75744680851063828</v>
      </c>
      <c r="AA13" s="69">
        <f>564/698</f>
        <v>0.8080229226361032</v>
      </c>
      <c r="AB13" s="69">
        <f>418/698</f>
        <v>0.59885386819484243</v>
      </c>
      <c r="AC13" s="69">
        <f>424/468</f>
        <v>0.90598290598290598</v>
      </c>
      <c r="AD13" s="69">
        <f>347/468</f>
        <v>0.74145299145299148</v>
      </c>
    </row>
    <row r="14" spans="1:30" x14ac:dyDescent="0.3">
      <c r="B14" s="72" t="s">
        <v>252</v>
      </c>
      <c r="C14" s="72">
        <f>F8</f>
        <v>357</v>
      </c>
      <c r="D14" s="73">
        <f>(C14+E14)/2</f>
        <v>338.5</v>
      </c>
      <c r="E14" s="73">
        <v>320</v>
      </c>
      <c r="F14" s="73">
        <f>(E14+G14)/2</f>
        <v>310</v>
      </c>
      <c r="G14" s="73">
        <f>(E14+I14)/2</f>
        <v>300</v>
      </c>
      <c r="H14" s="73">
        <f>(G14+I14)/2</f>
        <v>290</v>
      </c>
      <c r="I14" s="73">
        <v>280</v>
      </c>
      <c r="J14" t="s">
        <v>259</v>
      </c>
      <c r="M14" t="s">
        <v>260</v>
      </c>
      <c r="P14" s="19">
        <v>-0.05</v>
      </c>
      <c r="Q14" s="19">
        <v>-0.1</v>
      </c>
      <c r="T14" t="s">
        <v>260</v>
      </c>
      <c r="U14" s="69"/>
      <c r="V14" s="69">
        <f>126/217</f>
        <v>0.58064516129032262</v>
      </c>
      <c r="W14" s="69"/>
      <c r="X14" s="69">
        <f>148/217</f>
        <v>0.6820276497695853</v>
      </c>
      <c r="Y14" s="69"/>
      <c r="Z14" s="69">
        <f>170/217</f>
        <v>0.78341013824884798</v>
      </c>
      <c r="AA14" s="69"/>
      <c r="AB14" s="69">
        <f>162/217</f>
        <v>0.74654377880184331</v>
      </c>
      <c r="AC14" s="69"/>
      <c r="AD14" s="69">
        <f>127/195</f>
        <v>0.6512820512820513</v>
      </c>
    </row>
    <row r="15" spans="1:30" x14ac:dyDescent="0.3">
      <c r="B15" s="72" t="s">
        <v>253</v>
      </c>
      <c r="C15" s="72">
        <f>F9</f>
        <v>1090</v>
      </c>
      <c r="D15" s="73">
        <f>(C15+E15)/2</f>
        <v>1095</v>
      </c>
      <c r="E15" s="73">
        <v>1100</v>
      </c>
      <c r="F15" s="73">
        <f>(E15+G15)/2</f>
        <v>1112.5</v>
      </c>
      <c r="G15" s="73">
        <f>(E15+I15)/2</f>
        <v>1125</v>
      </c>
      <c r="H15" s="73">
        <f>(G15+I15)/2</f>
        <v>1137.5</v>
      </c>
      <c r="I15" s="73">
        <v>1150</v>
      </c>
      <c r="J15" t="s">
        <v>261</v>
      </c>
      <c r="M15" t="s">
        <v>262</v>
      </c>
      <c r="P15" s="19">
        <v>0</v>
      </c>
      <c r="Q15" s="19">
        <v>0.05</v>
      </c>
      <c r="T15" t="s">
        <v>262</v>
      </c>
      <c r="V15" s="69">
        <f>380/903</f>
        <v>0.42081949058693247</v>
      </c>
      <c r="W15" s="69"/>
      <c r="X15" s="69">
        <f>538/903</f>
        <v>0.59579180509413066</v>
      </c>
      <c r="Y15" s="69"/>
      <c r="Z15" s="69">
        <f>703/903</f>
        <v>0.77851605758582498</v>
      </c>
      <c r="AA15" s="69"/>
      <c r="AB15" s="69">
        <f>1012/903</f>
        <v>1.1207087486157254</v>
      </c>
      <c r="AC15" s="69"/>
      <c r="AD15" s="69">
        <f>522/1053</f>
        <v>0.49572649572649574</v>
      </c>
    </row>
    <row r="16" spans="1:30" x14ac:dyDescent="0.3">
      <c r="B16" s="72" t="s">
        <v>254</v>
      </c>
      <c r="C16" s="72">
        <f>F10</f>
        <v>37.6</v>
      </c>
      <c r="D16" s="72"/>
      <c r="E16" s="72"/>
      <c r="F16" s="72"/>
      <c r="G16" s="72"/>
      <c r="H16" s="72"/>
      <c r="I16" s="72"/>
    </row>
    <row r="19" spans="2:25" x14ac:dyDescent="0.3">
      <c r="B19" t="s">
        <v>29</v>
      </c>
      <c r="D19">
        <v>2020</v>
      </c>
      <c r="E19">
        <f t="shared" ref="E19:J19" si="1">D19+5</f>
        <v>2025</v>
      </c>
      <c r="F19">
        <f t="shared" si="1"/>
        <v>2030</v>
      </c>
      <c r="G19">
        <f t="shared" si="1"/>
        <v>2035</v>
      </c>
      <c r="H19">
        <f t="shared" si="1"/>
        <v>2040</v>
      </c>
      <c r="I19">
        <f t="shared" si="1"/>
        <v>2045</v>
      </c>
      <c r="J19">
        <f t="shared" si="1"/>
        <v>2050</v>
      </c>
    </row>
    <row r="20" spans="2:25" x14ac:dyDescent="0.3">
      <c r="C20" t="s">
        <v>251</v>
      </c>
      <c r="F20">
        <v>750</v>
      </c>
      <c r="J20">
        <v>656</v>
      </c>
    </row>
    <row r="21" spans="2:25" x14ac:dyDescent="0.3">
      <c r="C21" t="s">
        <v>252</v>
      </c>
      <c r="F21">
        <v>486.6</v>
      </c>
      <c r="J21">
        <v>486.6</v>
      </c>
    </row>
    <row r="22" spans="2:25" x14ac:dyDescent="0.3">
      <c r="C22" t="s">
        <v>263</v>
      </c>
      <c r="F22">
        <v>121</v>
      </c>
      <c r="J22">
        <v>83</v>
      </c>
    </row>
    <row r="23" spans="2:25" x14ac:dyDescent="0.3">
      <c r="C23" t="s">
        <v>253</v>
      </c>
      <c r="F23">
        <v>1691</v>
      </c>
      <c r="J23">
        <v>1433</v>
      </c>
    </row>
    <row r="24" spans="2:25" x14ac:dyDescent="0.3">
      <c r="C24" t="s">
        <v>254</v>
      </c>
      <c r="F24">
        <v>565</v>
      </c>
      <c r="J24">
        <v>553</v>
      </c>
    </row>
    <row r="28" spans="2:25" x14ac:dyDescent="0.3">
      <c r="B28" s="238" t="s">
        <v>264</v>
      </c>
      <c r="C28" s="238"/>
      <c r="D28" s="238"/>
      <c r="E28" s="238"/>
      <c r="F28" s="238"/>
      <c r="H28" s="70" t="s">
        <v>265</v>
      </c>
    </row>
    <row r="29" spans="2:25" x14ac:dyDescent="0.3">
      <c r="H29" s="70" t="s">
        <v>266</v>
      </c>
    </row>
    <row r="30" spans="2:25" x14ac:dyDescent="0.3">
      <c r="B30" s="1" t="s">
        <v>43</v>
      </c>
      <c r="C30" t="s">
        <v>267</v>
      </c>
    </row>
    <row r="31" spans="2:25" ht="52.8" x14ac:dyDescent="0.3">
      <c r="B31" s="3">
        <v>2015</v>
      </c>
      <c r="C31" s="77" t="s">
        <v>57</v>
      </c>
      <c r="D31" s="78" t="s">
        <v>56</v>
      </c>
      <c r="E31" s="78" t="s">
        <v>55</v>
      </c>
      <c r="F31" s="78" t="s">
        <v>59</v>
      </c>
      <c r="G31" s="78" t="s">
        <v>268</v>
      </c>
      <c r="H31" s="78" t="s">
        <v>61</v>
      </c>
      <c r="I31" s="78" t="s">
        <v>269</v>
      </c>
      <c r="P31" s="11" t="s">
        <v>270</v>
      </c>
      <c r="Q31" s="11" t="s">
        <v>271</v>
      </c>
      <c r="R31" s="11" t="s">
        <v>272</v>
      </c>
      <c r="S31" s="11" t="s">
        <v>118</v>
      </c>
      <c r="T31" s="11" t="s">
        <v>273</v>
      </c>
      <c r="U31" s="11" t="s">
        <v>74</v>
      </c>
      <c r="V31" s="11" t="s">
        <v>274</v>
      </c>
      <c r="W31" s="11" t="s">
        <v>275</v>
      </c>
      <c r="X31" s="11" t="s">
        <v>276</v>
      </c>
      <c r="Y31" s="11" t="s">
        <v>277</v>
      </c>
    </row>
    <row r="32" spans="2:25" x14ac:dyDescent="0.3">
      <c r="B32" s="3" t="s">
        <v>278</v>
      </c>
      <c r="C32" s="79">
        <v>0.46150000000000002</v>
      </c>
      <c r="D32" s="80">
        <v>7.5200000000000003E-2</v>
      </c>
      <c r="E32" s="80">
        <v>1.67E-2</v>
      </c>
      <c r="F32" s="80">
        <v>0.1133</v>
      </c>
      <c r="G32" s="80">
        <v>0.31640000000000001</v>
      </c>
      <c r="H32" s="80">
        <v>1.43E-2</v>
      </c>
      <c r="I32" s="80">
        <v>2.5999999999999999E-3</v>
      </c>
      <c r="J32" s="19"/>
      <c r="O32" s="247" t="s">
        <v>258</v>
      </c>
      <c r="P32" s="11">
        <v>2015</v>
      </c>
      <c r="Q32" s="81">
        <v>0.45834756076175798</v>
      </c>
      <c r="R32" s="81">
        <v>0.33422540524682398</v>
      </c>
      <c r="S32" s="81"/>
      <c r="T32" s="81">
        <v>0.11077222963578</v>
      </c>
      <c r="U32" s="81">
        <v>8.6193857352961298E-3</v>
      </c>
      <c r="V32" s="81">
        <v>5.5433145748345998E-3</v>
      </c>
      <c r="W32" s="81">
        <v>5.8279968624909202E-2</v>
      </c>
      <c r="X32" s="81">
        <v>2.0054649489471599E-2</v>
      </c>
      <c r="Y32" s="81">
        <v>4.1574859311259496E-3</v>
      </c>
    </row>
    <row r="33" spans="1:25" x14ac:dyDescent="0.3">
      <c r="B33" s="3" t="s">
        <v>279</v>
      </c>
      <c r="C33" s="79">
        <v>0.4556</v>
      </c>
      <c r="D33" s="80">
        <v>8.0399999999999999E-2</v>
      </c>
      <c r="E33" s="80">
        <v>1.47E-2</v>
      </c>
      <c r="F33" s="80">
        <v>0.1036</v>
      </c>
      <c r="G33" s="80">
        <v>0.32869999999999999</v>
      </c>
      <c r="H33" s="80">
        <v>1.4E-2</v>
      </c>
      <c r="I33" s="80">
        <v>3.0000000000000001E-3</v>
      </c>
      <c r="J33" s="19" t="s">
        <v>280</v>
      </c>
      <c r="O33" s="247"/>
      <c r="P33" s="9">
        <v>2020</v>
      </c>
      <c r="Q33" s="81">
        <v>0.41472416486959102</v>
      </c>
      <c r="R33" s="81">
        <v>0.36621606958064901</v>
      </c>
      <c r="S33" s="81"/>
      <c r="T33" s="81">
        <v>9.0810150388764194E-2</v>
      </c>
      <c r="U33" s="81">
        <v>1.3987631362280199E-2</v>
      </c>
      <c r="V33" s="81">
        <v>1.1535160611301399E-2</v>
      </c>
      <c r="W33" s="81">
        <v>6.8074425735909994E-2</v>
      </c>
      <c r="X33" s="81">
        <v>2.3117236840203E-2</v>
      </c>
      <c r="Y33" s="81">
        <v>1.1535160611301399E-2</v>
      </c>
    </row>
    <row r="34" spans="1:25" x14ac:dyDescent="0.3">
      <c r="B34" s="3" t="s">
        <v>281</v>
      </c>
      <c r="C34" s="79">
        <v>0.44130000000000003</v>
      </c>
      <c r="D34" s="80"/>
      <c r="E34" s="80"/>
      <c r="F34" s="80"/>
      <c r="G34" s="80">
        <v>0.36030000000000001</v>
      </c>
      <c r="H34" s="80">
        <v>0.19839999999999999</v>
      </c>
      <c r="I34" s="80"/>
      <c r="J34" s="19"/>
      <c r="K34" s="19"/>
      <c r="O34" s="247" t="s">
        <v>282</v>
      </c>
      <c r="P34" s="11">
        <v>2015</v>
      </c>
      <c r="Q34" s="82">
        <v>0.67974421511788896</v>
      </c>
      <c r="R34" s="82">
        <v>0.32025578488211098</v>
      </c>
    </row>
    <row r="35" spans="1:25" x14ac:dyDescent="0.3">
      <c r="B35" s="3" t="s">
        <v>283</v>
      </c>
      <c r="C35" s="79">
        <v>0.45519999999999999</v>
      </c>
      <c r="D35" s="80"/>
      <c r="E35" s="80"/>
      <c r="F35" s="80"/>
      <c r="G35" s="80">
        <v>0.36149999999999999</v>
      </c>
      <c r="H35" s="80">
        <v>0.18329999999999999</v>
      </c>
      <c r="I35" s="80"/>
      <c r="J35" s="19"/>
      <c r="K35" s="19"/>
      <c r="O35" s="247"/>
      <c r="P35" s="9">
        <v>2020</v>
      </c>
      <c r="Q35" s="82">
        <v>0.71524025875472397</v>
      </c>
      <c r="R35" s="82">
        <v>0.28475974124527598</v>
      </c>
    </row>
    <row r="37" spans="1:25" x14ac:dyDescent="0.3">
      <c r="A37" s="72"/>
      <c r="B37" s="59" t="s">
        <v>1</v>
      </c>
      <c r="C37" s="72" t="s">
        <v>284</v>
      </c>
      <c r="D37" s="72" t="s">
        <v>285</v>
      </c>
      <c r="E37" s="72" t="s">
        <v>286</v>
      </c>
      <c r="F37" s="72" t="s">
        <v>118</v>
      </c>
      <c r="G37" s="72" t="s">
        <v>273</v>
      </c>
      <c r="H37" s="72" t="s">
        <v>287</v>
      </c>
      <c r="I37" s="72" t="s">
        <v>288</v>
      </c>
      <c r="J37" s="72" t="s">
        <v>289</v>
      </c>
      <c r="K37" s="72" t="s">
        <v>290</v>
      </c>
      <c r="L37" s="72" t="s">
        <v>291</v>
      </c>
      <c r="O37" t="s">
        <v>2</v>
      </c>
      <c r="Q37" t="s">
        <v>271</v>
      </c>
      <c r="R37" t="s">
        <v>60</v>
      </c>
      <c r="S37" t="s">
        <v>59</v>
      </c>
      <c r="T37" t="s">
        <v>292</v>
      </c>
      <c r="U37" t="s">
        <v>61</v>
      </c>
      <c r="V37" t="s">
        <v>74</v>
      </c>
      <c r="W37" t="s">
        <v>285</v>
      </c>
      <c r="X37" t="s">
        <v>73</v>
      </c>
      <c r="Y37" t="s">
        <v>293</v>
      </c>
    </row>
    <row r="38" spans="1:25" ht="12.75" customHeight="1" x14ac:dyDescent="0.3">
      <c r="A38" s="230" t="s">
        <v>294</v>
      </c>
      <c r="B38" s="24">
        <v>2020</v>
      </c>
      <c r="C38" s="34">
        <v>0.41599999999999998</v>
      </c>
      <c r="D38" s="34">
        <v>0.04</v>
      </c>
      <c r="E38" s="34">
        <f>D33</f>
        <v>8.0399999999999999E-2</v>
      </c>
      <c r="F38" s="34"/>
      <c r="G38" s="34">
        <f>F33+H33</f>
        <v>0.1176</v>
      </c>
      <c r="H38" s="34">
        <f>G33</f>
        <v>0.32869999999999999</v>
      </c>
      <c r="I38" s="34">
        <f>E33</f>
        <v>1.47E-2</v>
      </c>
      <c r="J38" s="34"/>
      <c r="K38" s="34">
        <f>I33</f>
        <v>3.0000000000000001E-3</v>
      </c>
      <c r="L38" s="34">
        <f t="shared" ref="L38:L51" si="2">SUM(C38:K38)</f>
        <v>1.0004</v>
      </c>
      <c r="M38" s="242" t="s">
        <v>295</v>
      </c>
      <c r="N38" s="242"/>
      <c r="O38" s="239" t="s">
        <v>294</v>
      </c>
      <c r="P38">
        <v>2015</v>
      </c>
      <c r="Q38" s="19">
        <v>0.48599999999999999</v>
      </c>
      <c r="R38" s="19">
        <v>0.32100000000000001</v>
      </c>
      <c r="S38" s="19">
        <v>0.09</v>
      </c>
      <c r="T38" s="19">
        <v>4.0000000000000001E-3</v>
      </c>
      <c r="U38" s="19">
        <v>1.6E-2</v>
      </c>
      <c r="V38" s="19">
        <v>0.01</v>
      </c>
      <c r="W38" s="19">
        <v>0</v>
      </c>
      <c r="X38" s="19">
        <v>7.3999999999999996E-2</v>
      </c>
      <c r="Y38" s="19">
        <v>0</v>
      </c>
    </row>
    <row r="39" spans="1:25" x14ac:dyDescent="0.3">
      <c r="A39" s="230"/>
      <c r="B39" s="72">
        <f t="shared" ref="B39:B44" si="3">B38+5</f>
        <v>2025</v>
      </c>
      <c r="C39" s="34">
        <f>(C38+C40)/2</f>
        <v>0.42799999999999999</v>
      </c>
      <c r="D39" s="34">
        <f t="shared" ref="D39:D44" si="4">D38</f>
        <v>0.04</v>
      </c>
      <c r="E39" s="34">
        <f>(E38+E40)/2</f>
        <v>8.5199999999999998E-2</v>
      </c>
      <c r="F39" s="34"/>
      <c r="G39" s="34">
        <f>(G38+G40)/2</f>
        <v>8.3799999999999999E-2</v>
      </c>
      <c r="H39" s="34">
        <f>(H38+H40)/2</f>
        <v>0.33934999999999998</v>
      </c>
      <c r="I39" s="34">
        <f>(I38+I40)/2</f>
        <v>1.235E-2</v>
      </c>
      <c r="J39" s="34"/>
      <c r="K39" s="34">
        <f>(K38+K40)/2</f>
        <v>1.15E-2</v>
      </c>
      <c r="L39" s="34">
        <f t="shared" si="2"/>
        <v>1.0001999999999998</v>
      </c>
      <c r="M39" s="242"/>
      <c r="N39" s="242"/>
      <c r="O39" s="239"/>
      <c r="P39">
        <v>2030</v>
      </c>
      <c r="Q39" s="19">
        <v>0.46500000000000002</v>
      </c>
      <c r="R39" s="19">
        <v>0.35</v>
      </c>
      <c r="S39" s="19">
        <v>0.05</v>
      </c>
      <c r="T39" s="19">
        <v>0</v>
      </c>
      <c r="U39" s="19">
        <v>0.01</v>
      </c>
      <c r="V39" s="19">
        <v>5.0000000000000001E-3</v>
      </c>
      <c r="W39" s="19">
        <v>0</v>
      </c>
      <c r="X39" s="19">
        <v>0.1</v>
      </c>
      <c r="Y39" s="19">
        <v>0.02</v>
      </c>
    </row>
    <row r="40" spans="1:25" x14ac:dyDescent="0.3">
      <c r="A40" s="230"/>
      <c r="B40" s="72">
        <f t="shared" si="3"/>
        <v>2030</v>
      </c>
      <c r="C40" s="34">
        <v>0.44</v>
      </c>
      <c r="D40" s="34">
        <f t="shared" si="4"/>
        <v>0.04</v>
      </c>
      <c r="E40" s="34">
        <v>0.09</v>
      </c>
      <c r="F40" s="34"/>
      <c r="G40" s="34">
        <v>0.05</v>
      </c>
      <c r="H40" s="34">
        <v>0.35</v>
      </c>
      <c r="I40" s="34">
        <v>0.01</v>
      </c>
      <c r="J40" s="34"/>
      <c r="K40" s="34">
        <v>0.02</v>
      </c>
      <c r="L40" s="34">
        <f t="shared" si="2"/>
        <v>1</v>
      </c>
      <c r="M40" s="242"/>
      <c r="N40" s="242"/>
      <c r="O40" s="239"/>
      <c r="P40">
        <v>2050</v>
      </c>
      <c r="Q40" s="19">
        <v>0.48499999999999999</v>
      </c>
      <c r="R40" s="19">
        <v>0.38</v>
      </c>
      <c r="S40" s="19">
        <v>0</v>
      </c>
      <c r="T40" s="19">
        <v>0</v>
      </c>
      <c r="U40" s="19">
        <v>0.01</v>
      </c>
      <c r="V40" s="19">
        <v>5.0000000000000001E-3</v>
      </c>
      <c r="W40">
        <v>0</v>
      </c>
      <c r="X40" s="19">
        <v>0.1</v>
      </c>
      <c r="Y40" s="19">
        <v>0.02</v>
      </c>
    </row>
    <row r="41" spans="1:25" x14ac:dyDescent="0.3">
      <c r="A41" s="230"/>
      <c r="B41" s="72">
        <f t="shared" si="3"/>
        <v>2035</v>
      </c>
      <c r="C41" s="34">
        <f>(C40+C42)/2</f>
        <v>0.44125000000000003</v>
      </c>
      <c r="D41" s="34">
        <f t="shared" si="4"/>
        <v>0.04</v>
      </c>
      <c r="E41" s="34">
        <f>(E40+E42)/2</f>
        <v>9.2499999999999999E-2</v>
      </c>
      <c r="F41" s="34"/>
      <c r="G41" s="34">
        <f>(G40+G42)/2</f>
        <v>0.04</v>
      </c>
      <c r="H41" s="34">
        <f>(H40+H42)/2</f>
        <v>0.35749999999999998</v>
      </c>
      <c r="I41" s="34">
        <f>(I40+I42)/2</f>
        <v>8.7500000000000008E-3</v>
      </c>
      <c r="J41" s="34"/>
      <c r="K41" s="34">
        <f>(K40+K42)/2</f>
        <v>0.02</v>
      </c>
      <c r="L41" s="34">
        <f t="shared" si="2"/>
        <v>1</v>
      </c>
      <c r="M41" s="242"/>
      <c r="N41" s="242"/>
    </row>
    <row r="42" spans="1:25" ht="12.75" customHeight="1" x14ac:dyDescent="0.3">
      <c r="A42" s="230"/>
      <c r="B42" s="72">
        <f t="shared" si="3"/>
        <v>2040</v>
      </c>
      <c r="C42" s="34">
        <f>(C40+C44)/2</f>
        <v>0.4425</v>
      </c>
      <c r="D42" s="34">
        <f t="shared" si="4"/>
        <v>0.04</v>
      </c>
      <c r="E42" s="34">
        <f>(E40+E44)/2</f>
        <v>9.5000000000000001E-2</v>
      </c>
      <c r="F42" s="34"/>
      <c r="G42" s="34">
        <f>(G40+G44)/2</f>
        <v>3.0000000000000002E-2</v>
      </c>
      <c r="H42" s="34">
        <f>(H40+H44)/2</f>
        <v>0.36499999999999999</v>
      </c>
      <c r="I42" s="34">
        <f>(I40+I44)/2</f>
        <v>7.4999999999999997E-3</v>
      </c>
      <c r="J42" s="34"/>
      <c r="K42" s="34">
        <f>(K40+K44)/2</f>
        <v>0.02</v>
      </c>
      <c r="L42" s="34">
        <f t="shared" si="2"/>
        <v>1</v>
      </c>
      <c r="M42" s="242"/>
      <c r="N42" s="242"/>
      <c r="O42" s="242" t="s">
        <v>296</v>
      </c>
      <c r="P42">
        <v>2015</v>
      </c>
      <c r="Q42" s="19">
        <v>0.438</v>
      </c>
      <c r="R42" s="19">
        <v>0.35399999999999998</v>
      </c>
      <c r="V42" s="19">
        <v>0.20799999999999999</v>
      </c>
    </row>
    <row r="43" spans="1:25" x14ac:dyDescent="0.3">
      <c r="A43" s="230"/>
      <c r="B43" s="72">
        <f t="shared" si="3"/>
        <v>2045</v>
      </c>
      <c r="C43" s="34">
        <f>(C42+C44)/2</f>
        <v>0.44374999999999998</v>
      </c>
      <c r="D43" s="34">
        <f t="shared" si="4"/>
        <v>0.04</v>
      </c>
      <c r="E43" s="34">
        <f>(E42+E44)/2</f>
        <v>9.7500000000000003E-2</v>
      </c>
      <c r="F43" s="34"/>
      <c r="G43" s="34">
        <f>(G42+G44)/2</f>
        <v>0.02</v>
      </c>
      <c r="H43" s="34">
        <f>(H42+H44)/2</f>
        <v>0.3725</v>
      </c>
      <c r="I43" s="34">
        <f>(I42+I44)/2</f>
        <v>6.2500000000000003E-3</v>
      </c>
      <c r="J43" s="34"/>
      <c r="K43" s="34">
        <f>(K42+K44)/2</f>
        <v>0.02</v>
      </c>
      <c r="L43" s="34">
        <f t="shared" si="2"/>
        <v>0.99999999999999989</v>
      </c>
      <c r="M43" s="242"/>
      <c r="N43" s="242"/>
      <c r="O43" s="242"/>
      <c r="P43">
        <v>2030</v>
      </c>
      <c r="Q43" s="19">
        <v>0.55000000000000004</v>
      </c>
      <c r="R43" s="19">
        <v>0.35</v>
      </c>
      <c r="V43" s="19">
        <v>0.15</v>
      </c>
    </row>
    <row r="44" spans="1:25" x14ac:dyDescent="0.3">
      <c r="A44" s="230"/>
      <c r="B44" s="72">
        <f t="shared" si="3"/>
        <v>2050</v>
      </c>
      <c r="C44" s="34">
        <v>0.44500000000000001</v>
      </c>
      <c r="D44" s="34">
        <f t="shared" si="4"/>
        <v>0.04</v>
      </c>
      <c r="E44" s="34">
        <v>0.1</v>
      </c>
      <c r="F44" s="34"/>
      <c r="G44" s="34">
        <v>0.01</v>
      </c>
      <c r="H44" s="34">
        <v>0.38</v>
      </c>
      <c r="I44" s="34">
        <v>5.0000000000000001E-3</v>
      </c>
      <c r="J44" s="34"/>
      <c r="K44" s="34">
        <v>0.02</v>
      </c>
      <c r="L44" s="34">
        <f t="shared" si="2"/>
        <v>1</v>
      </c>
      <c r="M44" s="242"/>
      <c r="N44" s="242"/>
      <c r="O44" s="242"/>
      <c r="P44">
        <v>2050</v>
      </c>
      <c r="Q44" s="19">
        <v>0.66</v>
      </c>
      <c r="R44" s="19">
        <v>0.24</v>
      </c>
      <c r="V44" s="19">
        <v>0.1</v>
      </c>
    </row>
    <row r="45" spans="1:25" ht="12.75" customHeight="1" x14ac:dyDescent="0.3">
      <c r="A45" s="230" t="s">
        <v>297</v>
      </c>
      <c r="B45" s="24">
        <v>2020</v>
      </c>
      <c r="C45" s="34">
        <f>C35</f>
        <v>0.45519999999999999</v>
      </c>
      <c r="D45" s="34"/>
      <c r="E45" s="34"/>
      <c r="F45" s="34"/>
      <c r="G45" s="34">
        <f>H35</f>
        <v>0.18329999999999999</v>
      </c>
      <c r="H45" s="34">
        <f>G35</f>
        <v>0.36149999999999999</v>
      </c>
      <c r="I45" s="72"/>
      <c r="J45" s="72"/>
      <c r="K45" s="72"/>
      <c r="L45" s="34">
        <f t="shared" si="2"/>
        <v>1</v>
      </c>
      <c r="M45" s="242" t="s">
        <v>298</v>
      </c>
      <c r="N45" s="242"/>
    </row>
    <row r="46" spans="1:25" x14ac:dyDescent="0.3">
      <c r="A46" s="230"/>
      <c r="B46" s="72">
        <f t="shared" ref="B46:B51" si="5">B45+5</f>
        <v>2025</v>
      </c>
      <c r="C46" s="34">
        <f>(C45+C47)/2</f>
        <v>0.50260000000000005</v>
      </c>
      <c r="D46" s="34"/>
      <c r="E46" s="34"/>
      <c r="F46" s="34"/>
      <c r="G46" s="34">
        <f>(G45+G47)/2</f>
        <v>0.14165</v>
      </c>
      <c r="H46" s="34">
        <f>(H45+H47)/2</f>
        <v>0.35575000000000001</v>
      </c>
      <c r="I46" s="72"/>
      <c r="J46" s="72"/>
      <c r="K46" s="72"/>
      <c r="L46" s="34">
        <f t="shared" si="2"/>
        <v>1</v>
      </c>
      <c r="M46" s="242"/>
      <c r="N46" s="242"/>
    </row>
    <row r="47" spans="1:25" x14ac:dyDescent="0.3">
      <c r="A47" s="230"/>
      <c r="B47" s="72">
        <f t="shared" si="5"/>
        <v>2030</v>
      </c>
      <c r="C47" s="34">
        <v>0.55000000000000004</v>
      </c>
      <c r="D47" s="34"/>
      <c r="E47" s="34"/>
      <c r="F47" s="34"/>
      <c r="G47" s="34">
        <v>0.1</v>
      </c>
      <c r="H47" s="34">
        <v>0.35</v>
      </c>
      <c r="I47" s="72"/>
      <c r="J47" s="72"/>
      <c r="K47" s="72"/>
      <c r="L47" s="34">
        <f t="shared" si="2"/>
        <v>1</v>
      </c>
      <c r="M47" s="242"/>
      <c r="N47" s="242"/>
    </row>
    <row r="48" spans="1:25" x14ac:dyDescent="0.3">
      <c r="A48" s="230"/>
      <c r="B48" s="72">
        <f t="shared" si="5"/>
        <v>2035</v>
      </c>
      <c r="C48" s="34">
        <f>(C47+C49)/2</f>
        <v>0.57750000000000001</v>
      </c>
      <c r="D48" s="34"/>
      <c r="E48" s="34"/>
      <c r="F48" s="34"/>
      <c r="G48" s="34">
        <f>(G47+G49)/2</f>
        <v>8.7500000000000008E-2</v>
      </c>
      <c r="H48" s="34">
        <f>(H47+H49)/2</f>
        <v>0.33499999999999996</v>
      </c>
      <c r="I48" s="72"/>
      <c r="J48" s="72"/>
      <c r="K48" s="72"/>
      <c r="L48" s="34">
        <f>SUM(C48:K48)</f>
        <v>1</v>
      </c>
      <c r="M48" s="242"/>
      <c r="N48" s="242"/>
    </row>
    <row r="49" spans="1:29" x14ac:dyDescent="0.3">
      <c r="A49" s="230"/>
      <c r="B49" s="72">
        <f t="shared" si="5"/>
        <v>2040</v>
      </c>
      <c r="C49" s="34">
        <f>(C47+C51)/2</f>
        <v>0.60499999999999998</v>
      </c>
      <c r="D49" s="34"/>
      <c r="E49" s="34"/>
      <c r="F49" s="34"/>
      <c r="G49" s="34">
        <f>(G47+G51)/2</f>
        <v>7.5000000000000011E-2</v>
      </c>
      <c r="H49" s="34">
        <f>(H47+H51)/2</f>
        <v>0.31999999999999995</v>
      </c>
      <c r="I49" s="72"/>
      <c r="J49" s="72"/>
      <c r="K49" s="72"/>
      <c r="L49" s="34">
        <f t="shared" si="2"/>
        <v>0.99999999999999989</v>
      </c>
      <c r="M49" s="242"/>
      <c r="N49" s="242"/>
    </row>
    <row r="50" spans="1:29" x14ac:dyDescent="0.3">
      <c r="A50" s="230"/>
      <c r="B50" s="72">
        <f t="shared" si="5"/>
        <v>2045</v>
      </c>
      <c r="C50" s="34">
        <f>(C49+C51)/2</f>
        <v>0.63250000000000006</v>
      </c>
      <c r="D50" s="34"/>
      <c r="E50" s="34"/>
      <c r="F50" s="34"/>
      <c r="G50" s="34">
        <f>(G49+G51)/2</f>
        <v>6.25E-2</v>
      </c>
      <c r="H50" s="34">
        <f>(H49+H51)/2</f>
        <v>0.30499999999999994</v>
      </c>
      <c r="I50" s="72"/>
      <c r="J50" s="72"/>
      <c r="K50" s="72"/>
      <c r="L50" s="34">
        <f t="shared" si="2"/>
        <v>1</v>
      </c>
      <c r="M50" s="242"/>
      <c r="N50" s="242"/>
      <c r="AB50" s="31"/>
      <c r="AC50" s="31"/>
    </row>
    <row r="51" spans="1:29" x14ac:dyDescent="0.3">
      <c r="A51" s="230"/>
      <c r="B51" s="72">
        <f t="shared" si="5"/>
        <v>2050</v>
      </c>
      <c r="C51" s="34">
        <v>0.66</v>
      </c>
      <c r="D51" s="34"/>
      <c r="E51" s="34"/>
      <c r="F51" s="34"/>
      <c r="G51" s="34">
        <v>0.05</v>
      </c>
      <c r="H51" s="34">
        <v>0.28999999999999998</v>
      </c>
      <c r="I51" s="72"/>
      <c r="J51" s="72"/>
      <c r="K51" s="72"/>
      <c r="L51" s="34">
        <f t="shared" si="2"/>
        <v>1</v>
      </c>
      <c r="M51" s="242"/>
      <c r="N51" s="242"/>
      <c r="Y51" s="31"/>
      <c r="AA51" s="31"/>
    </row>
    <row r="52" spans="1:29" s="216" customFormat="1" x14ac:dyDescent="0.3">
      <c r="A52" s="215"/>
      <c r="B52" s="41"/>
      <c r="C52" s="48"/>
      <c r="D52" s="48"/>
      <c r="E52" s="48"/>
      <c r="F52" s="48"/>
      <c r="G52" s="48"/>
      <c r="H52" s="48"/>
      <c r="I52" s="41"/>
      <c r="J52" s="83"/>
      <c r="K52" s="269"/>
      <c r="L52" s="48"/>
      <c r="M52" s="215"/>
      <c r="N52" s="215"/>
      <c r="Y52" s="31"/>
      <c r="AA52" s="31"/>
    </row>
    <row r="53" spans="1:29" ht="15" thickBot="1" x14ac:dyDescent="0.35">
      <c r="J53" s="83"/>
      <c r="K53" s="84" t="s">
        <v>110</v>
      </c>
      <c r="L53" s="42" t="s">
        <v>284</v>
      </c>
      <c r="M53" s="42" t="s">
        <v>285</v>
      </c>
      <c r="N53" s="42" t="s">
        <v>286</v>
      </c>
      <c r="O53" s="42" t="s">
        <v>118</v>
      </c>
      <c r="P53" s="42" t="s">
        <v>273</v>
      </c>
      <c r="Q53" s="42" t="s">
        <v>301</v>
      </c>
      <c r="R53" s="42" t="s">
        <v>288</v>
      </c>
      <c r="S53" s="42" t="s">
        <v>289</v>
      </c>
      <c r="T53" s="42" t="s">
        <v>302</v>
      </c>
      <c r="U53" s="42" t="s">
        <v>291</v>
      </c>
    </row>
    <row r="54" spans="1:29" ht="15" thickBot="1" x14ac:dyDescent="0.35">
      <c r="B54" s="1" t="s">
        <v>29</v>
      </c>
      <c r="K54">
        <v>2015</v>
      </c>
      <c r="L54" s="85">
        <v>0.4450426994876</v>
      </c>
      <c r="M54" s="85">
        <v>4.4353969251033701E-3</v>
      </c>
      <c r="N54" s="85">
        <v>6.9478531028973098E-2</v>
      </c>
      <c r="O54" s="86">
        <v>4.6024542818639999E-4</v>
      </c>
      <c r="P54" s="85">
        <v>0.121112306095158</v>
      </c>
      <c r="Q54" s="85">
        <v>0.32245275339129897</v>
      </c>
      <c r="R54" s="85">
        <v>1.7503849726014299E-2</v>
      </c>
      <c r="S54" s="85"/>
      <c r="T54" s="85">
        <v>1.95142179176661E-2</v>
      </c>
    </row>
    <row r="55" spans="1:29" ht="14.7" customHeight="1" thickBot="1" x14ac:dyDescent="0.35">
      <c r="B55" s="1" t="s">
        <v>294</v>
      </c>
      <c r="C55">
        <v>2015</v>
      </c>
      <c r="D55">
        <v>2020</v>
      </c>
      <c r="E55">
        <v>2025</v>
      </c>
      <c r="F55">
        <v>2030</v>
      </c>
      <c r="G55">
        <v>2040</v>
      </c>
      <c r="H55">
        <v>2050</v>
      </c>
      <c r="J55" s="248" t="s">
        <v>294</v>
      </c>
      <c r="K55" s="87">
        <v>2020</v>
      </c>
      <c r="L55" s="85">
        <v>0.44695836962948399</v>
      </c>
      <c r="M55" s="85">
        <v>1.14849599262023E-2</v>
      </c>
      <c r="N55" s="85">
        <v>7.4344583604081804E-2</v>
      </c>
      <c r="O55" s="86">
        <v>5.1165599974224599E-4</v>
      </c>
      <c r="P55" s="85">
        <v>0.102068232630758</v>
      </c>
      <c r="Q55" s="85">
        <v>0.32407096925102402</v>
      </c>
      <c r="R55" s="85">
        <v>1.83834720502974E-2</v>
      </c>
      <c r="S55" s="85"/>
      <c r="T55" s="85">
        <v>2.2177756908410302E-2</v>
      </c>
      <c r="U55" s="88"/>
    </row>
    <row r="56" spans="1:29" ht="15" thickBot="1" x14ac:dyDescent="0.35">
      <c r="B56" t="s">
        <v>303</v>
      </c>
      <c r="C56" s="19">
        <v>0.48</v>
      </c>
      <c r="D56" s="19">
        <f>1-SUM(D57:D61)</f>
        <v>0.4900000000000001</v>
      </c>
      <c r="E56" s="19">
        <f>1-SUM(E57:E61)</f>
        <v>0.48</v>
      </c>
      <c r="F56" s="19">
        <f>1-SUM(F57:F61)</f>
        <v>0.36999999999999988</v>
      </c>
      <c r="G56" s="19">
        <f>1-SUM(G57:G61)</f>
        <v>0.30000000000000004</v>
      </c>
      <c r="H56" s="19">
        <v>0.05</v>
      </c>
      <c r="J56" s="248"/>
      <c r="K56" s="3">
        <f t="shared" ref="K56:K61" si="6">K55+5</f>
        <v>2025</v>
      </c>
      <c r="L56" s="17">
        <v>0.44244630343804597</v>
      </c>
      <c r="M56" s="17">
        <v>1.6202456512891199E-2</v>
      </c>
      <c r="N56" s="17">
        <v>7.1952933203248304E-2</v>
      </c>
      <c r="O56" s="17">
        <v>4.5892844664889598E-4</v>
      </c>
      <c r="P56" s="17">
        <v>9.79660094038977E-2</v>
      </c>
      <c r="Q56" s="17">
        <v>0.32223840362029399</v>
      </c>
      <c r="R56" s="17">
        <v>2.3874664838680702E-2</v>
      </c>
      <c r="S56" s="17"/>
      <c r="T56" s="17">
        <v>2.48603005362934E-2</v>
      </c>
      <c r="U56" s="89"/>
    </row>
    <row r="57" spans="1:29" ht="15" thickBot="1" x14ac:dyDescent="0.35">
      <c r="B57" t="s">
        <v>272</v>
      </c>
      <c r="C57" s="19">
        <v>0.36</v>
      </c>
      <c r="D57" s="19">
        <v>0.35</v>
      </c>
      <c r="E57" s="19">
        <v>0.31</v>
      </c>
      <c r="F57" s="19">
        <v>0.28000000000000003</v>
      </c>
      <c r="G57" s="19">
        <v>0.15</v>
      </c>
      <c r="H57" s="19">
        <v>0.05</v>
      </c>
      <c r="J57" s="248"/>
      <c r="K57" s="3">
        <f t="shared" si="6"/>
        <v>2030</v>
      </c>
      <c r="L57" s="17">
        <v>0.41820628472615701</v>
      </c>
      <c r="M57" s="17">
        <v>4.2689059852871997E-2</v>
      </c>
      <c r="N57" s="17">
        <v>6.6904961396342E-2</v>
      </c>
      <c r="O57" s="17">
        <v>3.4410700515058901E-4</v>
      </c>
      <c r="P57" s="17">
        <v>8.4772914283416795E-2</v>
      </c>
      <c r="Q57" s="17">
        <v>0.307079581583386</v>
      </c>
      <c r="R57" s="17">
        <v>5.0458196579862398E-2</v>
      </c>
      <c r="S57" s="17"/>
      <c r="T57" s="17">
        <v>2.9544894572813299E-2</v>
      </c>
      <c r="U57" s="89"/>
    </row>
    <row r="58" spans="1:29" ht="15" thickBot="1" x14ac:dyDescent="0.35">
      <c r="B58" t="s">
        <v>72</v>
      </c>
      <c r="C58" s="19">
        <v>0.08</v>
      </c>
      <c r="D58" s="19">
        <v>0.06</v>
      </c>
      <c r="E58" s="19">
        <v>0.02</v>
      </c>
      <c r="F58" s="19">
        <v>0</v>
      </c>
      <c r="G58" s="19">
        <v>0</v>
      </c>
      <c r="H58" s="19">
        <v>0</v>
      </c>
      <c r="J58" s="248"/>
      <c r="K58" s="3">
        <f t="shared" si="6"/>
        <v>2035</v>
      </c>
      <c r="L58" s="17">
        <v>0.349300707445513</v>
      </c>
      <c r="M58" s="17">
        <v>0.109564734735778</v>
      </c>
      <c r="N58" s="17">
        <v>7.2206390043181204E-2</v>
      </c>
      <c r="O58" s="17">
        <v>1.7953716938090599E-4</v>
      </c>
      <c r="P58" s="17">
        <v>5.5901746806820397E-2</v>
      </c>
      <c r="Q58" s="17">
        <v>0.271504379846702</v>
      </c>
      <c r="R58" s="17">
        <v>0.10126522871999601</v>
      </c>
      <c r="S58" s="17"/>
      <c r="T58" s="17">
        <v>4.0077275232627503E-2</v>
      </c>
      <c r="U58" s="89"/>
    </row>
    <row r="59" spans="1:29" ht="15" thickBot="1" x14ac:dyDescent="0.35">
      <c r="B59" t="s">
        <v>304</v>
      </c>
      <c r="C59" s="19">
        <v>0.02</v>
      </c>
      <c r="D59" s="19">
        <v>0.03</v>
      </c>
      <c r="E59" s="19">
        <v>0.04</v>
      </c>
      <c r="F59" s="19">
        <v>0.06</v>
      </c>
      <c r="G59" s="19">
        <v>0.1</v>
      </c>
      <c r="H59" s="19">
        <v>0.2</v>
      </c>
      <c r="J59" s="248"/>
      <c r="K59" s="3">
        <f t="shared" si="6"/>
        <v>2040</v>
      </c>
      <c r="L59" s="17">
        <v>0.24887781308909701</v>
      </c>
      <c r="M59" s="17">
        <v>0.19310814324384301</v>
      </c>
      <c r="N59" s="17">
        <v>9.0884342821553901E-2</v>
      </c>
      <c r="O59" s="17">
        <v>5.7983851015957902E-5</v>
      </c>
      <c r="P59" s="17">
        <v>2.1135460651644102E-2</v>
      </c>
      <c r="Q59" s="17">
        <v>0.23165376836321699</v>
      </c>
      <c r="R59" s="17">
        <v>0.15824244215621999</v>
      </c>
      <c r="S59" s="17"/>
      <c r="T59" s="17">
        <v>5.6040045823408297E-2</v>
      </c>
      <c r="U59" s="89"/>
    </row>
    <row r="60" spans="1:29" ht="15" thickBot="1" x14ac:dyDescent="0.35">
      <c r="B60" t="s">
        <v>305</v>
      </c>
      <c r="C60" s="19">
        <v>0.03</v>
      </c>
      <c r="D60" s="19">
        <v>0.05</v>
      </c>
      <c r="E60" s="19">
        <v>0.12</v>
      </c>
      <c r="F60" s="19">
        <v>0.24</v>
      </c>
      <c r="G60" s="19">
        <v>0.35</v>
      </c>
      <c r="H60" s="19">
        <v>0.6</v>
      </c>
      <c r="J60" s="248"/>
      <c r="K60" s="3">
        <f t="shared" si="6"/>
        <v>2045</v>
      </c>
      <c r="L60" s="17">
        <v>0.19168617036701699</v>
      </c>
      <c r="M60" s="17">
        <v>0.23577484270427901</v>
      </c>
      <c r="N60" s="17">
        <v>0.102502585635614</v>
      </c>
      <c r="O60" s="17">
        <v>8.6663014382820906E-6</v>
      </c>
      <c r="P60" s="17">
        <v>3.28356532713486E-3</v>
      </c>
      <c r="Q60" s="17">
        <v>0.21069216916221301</v>
      </c>
      <c r="R60" s="17">
        <v>0.18694711114658699</v>
      </c>
      <c r="S60" s="17"/>
      <c r="T60" s="17">
        <v>6.9104889355716806E-2</v>
      </c>
      <c r="U60" s="89"/>
    </row>
    <row r="61" spans="1:29" ht="15" thickBot="1" x14ac:dyDescent="0.35">
      <c r="B61" t="s">
        <v>73</v>
      </c>
      <c r="C61" s="19">
        <v>0.02</v>
      </c>
      <c r="D61" s="19">
        <v>0.02</v>
      </c>
      <c r="E61" s="19">
        <v>0.03</v>
      </c>
      <c r="F61" s="19">
        <v>0.05</v>
      </c>
      <c r="G61" s="19">
        <v>0.1</v>
      </c>
      <c r="H61" s="19">
        <v>0.1</v>
      </c>
      <c r="J61" s="248"/>
      <c r="K61" s="90">
        <f t="shared" si="6"/>
        <v>2050</v>
      </c>
      <c r="L61" s="91">
        <v>0.17890779538780799</v>
      </c>
      <c r="M61" s="91">
        <v>0.24229423860989799</v>
      </c>
      <c r="N61" s="91">
        <v>0.104599300664899</v>
      </c>
      <c r="O61" s="91">
        <v>0</v>
      </c>
      <c r="P61" s="91">
        <v>0</v>
      </c>
      <c r="Q61" s="91">
        <v>0.20471329345585701</v>
      </c>
      <c r="R61" s="91">
        <v>0.19109948396790999</v>
      </c>
      <c r="S61" s="91"/>
      <c r="T61" s="91">
        <v>7.83858879136273E-2</v>
      </c>
      <c r="U61" s="92"/>
    </row>
    <row r="62" spans="1:29" ht="14.7" customHeight="1" thickBot="1" x14ac:dyDescent="0.35">
      <c r="A62" s="19"/>
      <c r="B62" t="s">
        <v>245</v>
      </c>
      <c r="C62" s="19">
        <f t="shared" ref="C62:H62" si="7">1-SUM(C56:C61)</f>
        <v>1.0000000000000009E-2</v>
      </c>
      <c r="D62" s="19">
        <f t="shared" si="7"/>
        <v>0</v>
      </c>
      <c r="E62" s="19">
        <f t="shared" si="7"/>
        <v>0</v>
      </c>
      <c r="F62" s="19">
        <f t="shared" si="7"/>
        <v>0</v>
      </c>
      <c r="G62" s="19">
        <f t="shared" si="7"/>
        <v>0</v>
      </c>
      <c r="H62" s="19">
        <f t="shared" si="7"/>
        <v>0</v>
      </c>
      <c r="K62">
        <v>2015</v>
      </c>
      <c r="L62" s="85">
        <v>0.78084935617317197</v>
      </c>
      <c r="M62" s="85"/>
      <c r="N62" s="85"/>
      <c r="O62" s="85"/>
      <c r="P62" s="85">
        <v>8.7150873914614596E-2</v>
      </c>
      <c r="Q62" s="85">
        <v>0.13199976991221399</v>
      </c>
    </row>
    <row r="63" spans="1:29" ht="12.75" customHeight="1" x14ac:dyDescent="0.3">
      <c r="A63" s="19"/>
      <c r="B63" t="s">
        <v>306</v>
      </c>
      <c r="C63" s="19">
        <f t="shared" ref="C63:H63" si="8">SUM(C56:C62)</f>
        <v>1</v>
      </c>
      <c r="D63" s="19">
        <f t="shared" si="8"/>
        <v>1.0000000000000002</v>
      </c>
      <c r="E63" s="19">
        <f t="shared" si="8"/>
        <v>1</v>
      </c>
      <c r="F63" s="19">
        <f t="shared" si="8"/>
        <v>1</v>
      </c>
      <c r="G63" s="19">
        <f t="shared" si="8"/>
        <v>1</v>
      </c>
      <c r="H63" s="19">
        <f t="shared" si="8"/>
        <v>1</v>
      </c>
      <c r="J63" s="266" t="s">
        <v>297</v>
      </c>
      <c r="K63" s="87">
        <v>2020</v>
      </c>
      <c r="L63" s="85">
        <v>0.80258786934979598</v>
      </c>
      <c r="M63" s="85"/>
      <c r="N63" s="85"/>
      <c r="O63" s="85"/>
      <c r="P63" s="85">
        <v>6.2236682747967599E-2</v>
      </c>
      <c r="Q63" s="85">
        <v>0.13517544790223601</v>
      </c>
      <c r="R63" s="93"/>
      <c r="S63" s="93"/>
      <c r="T63" s="93"/>
      <c r="U63" s="88"/>
    </row>
    <row r="64" spans="1:29" x14ac:dyDescent="0.3">
      <c r="A64" s="19"/>
      <c r="B64" s="1" t="s">
        <v>296</v>
      </c>
      <c r="C64">
        <v>2015</v>
      </c>
      <c r="D64">
        <v>2020</v>
      </c>
      <c r="E64">
        <v>2025</v>
      </c>
      <c r="F64">
        <v>2030</v>
      </c>
      <c r="G64">
        <v>2040</v>
      </c>
      <c r="H64">
        <v>2050</v>
      </c>
      <c r="J64" s="267"/>
      <c r="K64" s="3">
        <f t="shared" ref="K64:K68" si="9">K63+5</f>
        <v>2025</v>
      </c>
      <c r="L64" s="17">
        <v>0.82408014231233895</v>
      </c>
      <c r="M64" s="17"/>
      <c r="N64" s="17"/>
      <c r="O64" s="17"/>
      <c r="P64" s="17">
        <v>3.5565510981207797E-2</v>
      </c>
      <c r="Q64" s="17">
        <v>0.140354346706454</v>
      </c>
      <c r="R64" s="3"/>
      <c r="S64" s="3"/>
      <c r="T64" s="3"/>
      <c r="U64" s="89"/>
    </row>
    <row r="65" spans="1:21" x14ac:dyDescent="0.3">
      <c r="A65" s="19"/>
      <c r="B65" t="s">
        <v>60</v>
      </c>
      <c r="C65" s="18">
        <f>'Tertiaire hors chauffage'!S124</f>
        <v>0</v>
      </c>
      <c r="D65" s="19">
        <v>0.3</v>
      </c>
      <c r="E65" s="19">
        <v>0.24</v>
      </c>
      <c r="F65" s="19">
        <v>0.21</v>
      </c>
      <c r="G65" s="19">
        <v>0.2</v>
      </c>
      <c r="H65" s="18">
        <v>0.15</v>
      </c>
      <c r="J65" s="267"/>
      <c r="K65" s="3">
        <f t="shared" si="9"/>
        <v>2030</v>
      </c>
      <c r="L65" s="17">
        <v>0.83992532794310704</v>
      </c>
      <c r="M65" s="17"/>
      <c r="N65" s="17"/>
      <c r="O65" s="17"/>
      <c r="P65" s="17">
        <v>6.1875148828591303E-3</v>
      </c>
      <c r="Q65" s="17">
        <v>0.15388715717403401</v>
      </c>
      <c r="R65" s="3"/>
      <c r="S65" s="3"/>
      <c r="T65" s="3"/>
      <c r="U65" s="89"/>
    </row>
    <row r="66" spans="1:21" x14ac:dyDescent="0.3">
      <c r="A66" s="19"/>
      <c r="B66" t="s">
        <v>61</v>
      </c>
      <c r="C66" s="18">
        <f>'Tertiaire hors chauffage'!S125</f>
        <v>0</v>
      </c>
      <c r="D66" s="19">
        <v>0.2</v>
      </c>
      <c r="E66" s="19">
        <v>0.15</v>
      </c>
      <c r="F66" s="19">
        <v>0.1</v>
      </c>
      <c r="G66" s="19">
        <v>0.05</v>
      </c>
      <c r="H66" s="18">
        <v>0.05</v>
      </c>
      <c r="J66" s="267"/>
      <c r="K66" s="3">
        <f t="shared" si="9"/>
        <v>2035</v>
      </c>
      <c r="L66" s="17">
        <v>0.85827527508212598</v>
      </c>
      <c r="M66" s="17"/>
      <c r="N66" s="17"/>
      <c r="O66" s="17"/>
      <c r="P66" s="17">
        <v>0</v>
      </c>
      <c r="Q66" s="17">
        <v>0.141724724917874</v>
      </c>
      <c r="R66" s="3"/>
      <c r="S66" s="3"/>
      <c r="T66" s="3"/>
      <c r="U66" s="89"/>
    </row>
    <row r="67" spans="1:21" x14ac:dyDescent="0.3">
      <c r="A67" s="19"/>
      <c r="B67" t="s">
        <v>303</v>
      </c>
      <c r="C67" s="18">
        <f>'Tertiaire hors chauffage'!S126</f>
        <v>0</v>
      </c>
      <c r="D67" s="19">
        <v>0.48</v>
      </c>
      <c r="E67" s="19">
        <f>1-E65-E66</f>
        <v>0.61</v>
      </c>
      <c r="F67" s="19">
        <f>1-F65-F66</f>
        <v>0.69000000000000006</v>
      </c>
      <c r="G67" s="19">
        <f>1-G65-G66</f>
        <v>0.75</v>
      </c>
      <c r="H67" s="18">
        <v>0.8</v>
      </c>
      <c r="J67" s="267"/>
      <c r="K67" s="3">
        <f t="shared" si="9"/>
        <v>2040</v>
      </c>
      <c r="L67" s="17">
        <v>0.87859994214450898</v>
      </c>
      <c r="M67" s="17"/>
      <c r="N67" s="17"/>
      <c r="O67" s="17"/>
      <c r="P67" s="17">
        <v>0</v>
      </c>
      <c r="Q67" s="17">
        <v>0.121400057855491</v>
      </c>
      <c r="R67" s="3"/>
      <c r="S67" s="3"/>
      <c r="T67" s="3"/>
      <c r="U67" s="89"/>
    </row>
    <row r="68" spans="1:21" x14ac:dyDescent="0.3">
      <c r="A68" s="19"/>
      <c r="J68" s="267"/>
      <c r="K68" s="3">
        <f t="shared" si="9"/>
        <v>2045</v>
      </c>
      <c r="L68" s="17">
        <v>0.90114890178043205</v>
      </c>
      <c r="M68" s="17"/>
      <c r="N68" s="17"/>
      <c r="O68" s="17"/>
      <c r="P68" s="17">
        <v>0</v>
      </c>
      <c r="Q68" s="17">
        <v>9.8851098219568098E-2</v>
      </c>
      <c r="R68" s="3"/>
      <c r="S68" s="3"/>
      <c r="T68" s="3"/>
      <c r="U68" s="89"/>
    </row>
    <row r="69" spans="1:21" ht="15" thickBot="1" x14ac:dyDescent="0.35">
      <c r="J69" s="268"/>
      <c r="K69" s="90">
        <f>K68+5</f>
        <v>2050</v>
      </c>
      <c r="L69" s="91">
        <v>0.92564409863252595</v>
      </c>
      <c r="M69" s="91"/>
      <c r="N69" s="91"/>
      <c r="O69" s="91"/>
      <c r="P69" s="91">
        <v>0</v>
      </c>
      <c r="Q69" s="91">
        <v>7.4355901367473998E-2</v>
      </c>
      <c r="R69" s="90"/>
      <c r="S69" s="90"/>
      <c r="T69" s="90"/>
      <c r="U69" s="92"/>
    </row>
  </sheetData>
  <mergeCells count="18">
    <mergeCell ref="A45:A51"/>
    <mergeCell ref="M45:N51"/>
    <mergeCell ref="J55:J61"/>
    <mergeCell ref="O34:O35"/>
    <mergeCell ref="A38:A44"/>
    <mergeCell ref="M38:N44"/>
    <mergeCell ref="O38:O40"/>
    <mergeCell ref="O42:O44"/>
    <mergeCell ref="W11:X11"/>
    <mergeCell ref="Y11:Z11"/>
    <mergeCell ref="AA11:AB11"/>
    <mergeCell ref="B28:F28"/>
    <mergeCell ref="O32:O33"/>
    <mergeCell ref="H2:K2"/>
    <mergeCell ref="B3:F3"/>
    <mergeCell ref="C5:F5"/>
    <mergeCell ref="H5:I5"/>
    <mergeCell ref="U11:V11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&amp;C&amp;"Arial,Normal"&amp;10&amp;A</oddHeader>
    <oddFooter>&amp;C&amp;"Arial,Normal"&amp;10Page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G58"/>
  <sheetViews>
    <sheetView topLeftCell="A28" zoomScale="55" zoomScaleNormal="55" workbookViewId="0">
      <selection activeCell="J72" sqref="J72"/>
    </sheetView>
  </sheetViews>
  <sheetFormatPr baseColWidth="10" defaultColWidth="9.21875" defaultRowHeight="14.4" x14ac:dyDescent="0.3"/>
  <cols>
    <col min="2" max="2" width="21.77734375" customWidth="1"/>
    <col min="3" max="3" width="17" bestFit="1" customWidth="1"/>
    <col min="4" max="4" width="12.44140625" bestFit="1" customWidth="1"/>
    <col min="5" max="5" width="12.109375" bestFit="1" customWidth="1"/>
    <col min="6" max="6" width="13.109375" bestFit="1" customWidth="1"/>
    <col min="10" max="10" width="25.77734375" customWidth="1"/>
    <col min="11" max="11" width="16.21875" customWidth="1"/>
    <col min="12" max="12" width="46" customWidth="1"/>
    <col min="14" max="15" width="25.21875" customWidth="1"/>
    <col min="20" max="20" width="15.33203125" customWidth="1"/>
    <col min="21" max="21" width="24.21875" customWidth="1"/>
  </cols>
  <sheetData>
    <row r="3" spans="1:10" ht="17.399999999999999" x14ac:dyDescent="0.3">
      <c r="B3" s="219" t="s">
        <v>307</v>
      </c>
      <c r="C3" s="219"/>
      <c r="D3" s="219"/>
      <c r="E3" s="219"/>
    </row>
    <row r="5" spans="1:10" x14ac:dyDescent="0.3">
      <c r="B5" s="106" t="s">
        <v>81</v>
      </c>
      <c r="C5" s="196">
        <v>2020</v>
      </c>
      <c r="D5" s="196">
        <v>2025</v>
      </c>
      <c r="E5" s="196">
        <v>2030</v>
      </c>
      <c r="F5" s="196">
        <v>2035</v>
      </c>
      <c r="G5" s="196">
        <v>2040</v>
      </c>
      <c r="H5" s="196">
        <v>2045</v>
      </c>
      <c r="I5" s="196">
        <v>2050</v>
      </c>
      <c r="J5" t="s">
        <v>308</v>
      </c>
    </row>
    <row r="6" spans="1:10" x14ac:dyDescent="0.3">
      <c r="B6" s="212" t="s">
        <v>307</v>
      </c>
      <c r="C6" s="213">
        <v>2.0390098754221402E-3</v>
      </c>
      <c r="D6" s="213">
        <v>2.2177719452343148E-4</v>
      </c>
      <c r="E6" s="213">
        <v>1.5614029998498591E-3</v>
      </c>
      <c r="F6" s="213">
        <v>2.4092508150153069E-3</v>
      </c>
      <c r="G6" s="213">
        <v>-9.3311937365436748E-4</v>
      </c>
      <c r="H6" s="213">
        <v>-7.394898284844853E-4</v>
      </c>
      <c r="I6" s="213">
        <v>-2.1100066202016654E-3</v>
      </c>
    </row>
    <row r="7" spans="1:10" x14ac:dyDescent="0.3">
      <c r="B7" s="106" t="s">
        <v>478</v>
      </c>
      <c r="C7" s="197"/>
      <c r="D7" s="197">
        <v>1.0002217771945234</v>
      </c>
      <c r="E7" s="197">
        <v>1.0015614029998499</v>
      </c>
      <c r="F7" s="197">
        <v>1.0024092508150153</v>
      </c>
      <c r="G7" s="197">
        <v>0.99906688062634563</v>
      </c>
      <c r="H7" s="197">
        <v>0.99926051017151551</v>
      </c>
      <c r="I7" s="197">
        <v>0.99788999337979833</v>
      </c>
    </row>
    <row r="9" spans="1:10" x14ac:dyDescent="0.3">
      <c r="B9" s="194"/>
      <c r="I9" s="194"/>
    </row>
    <row r="10" spans="1:10" x14ac:dyDescent="0.3">
      <c r="A10" s="250" t="s">
        <v>1</v>
      </c>
      <c r="B10" s="94" t="s">
        <v>309</v>
      </c>
      <c r="C10" s="95">
        <v>2020</v>
      </c>
      <c r="D10" s="95">
        <v>2030</v>
      </c>
      <c r="E10" s="95">
        <v>2040</v>
      </c>
      <c r="F10" s="95">
        <v>2050</v>
      </c>
    </row>
    <row r="11" spans="1:10" x14ac:dyDescent="0.3">
      <c r="A11" s="250"/>
      <c r="B11" s="96" t="s">
        <v>310</v>
      </c>
      <c r="C11" s="97">
        <v>9313601.9835946579</v>
      </c>
      <c r="D11" s="97">
        <v>9230749.8731170073</v>
      </c>
      <c r="E11" s="97">
        <v>9119123.809648212</v>
      </c>
      <c r="F11" s="97">
        <v>8801373.0648605581</v>
      </c>
    </row>
    <row r="12" spans="1:10" x14ac:dyDescent="0.3">
      <c r="A12" s="250"/>
      <c r="B12" s="96" t="s">
        <v>311</v>
      </c>
      <c r="C12" s="97">
        <v>1090935.6840342756</v>
      </c>
      <c r="D12" s="97">
        <v>1107157.4083567674</v>
      </c>
      <c r="E12" s="97">
        <v>1120640.1933748738</v>
      </c>
      <c r="F12" s="97">
        <v>1108833.7009845451</v>
      </c>
    </row>
    <row r="13" spans="1:10" x14ac:dyDescent="0.3">
      <c r="A13" s="250"/>
      <c r="B13" s="96" t="s">
        <v>312</v>
      </c>
      <c r="C13" s="97">
        <v>3260805.2316419794</v>
      </c>
      <c r="D13" s="97">
        <v>3235511.5446888753</v>
      </c>
      <c r="E13" s="97">
        <v>3200234.2003221242</v>
      </c>
      <c r="F13" s="97">
        <v>3092626.0627124375</v>
      </c>
    </row>
    <row r="14" spans="1:10" x14ac:dyDescent="0.3">
      <c r="A14" s="250"/>
      <c r="B14" s="96" t="s">
        <v>313</v>
      </c>
      <c r="C14" s="97">
        <v>1872271.2795167491</v>
      </c>
      <c r="D14" s="97">
        <v>1826330.7154714039</v>
      </c>
      <c r="E14" s="97">
        <v>1773892.5933971948</v>
      </c>
      <c r="F14" s="97">
        <v>1681311.6620466853</v>
      </c>
    </row>
    <row r="15" spans="1:10" x14ac:dyDescent="0.3">
      <c r="A15" s="250"/>
      <c r="B15" s="96" t="s">
        <v>314</v>
      </c>
      <c r="C15" s="97">
        <v>1926168.2126107346</v>
      </c>
      <c r="D15" s="97">
        <v>2139260.4656035663</v>
      </c>
      <c r="E15" s="97">
        <v>2352009.2459812993</v>
      </c>
      <c r="F15" s="97">
        <v>2511959.942298166</v>
      </c>
    </row>
    <row r="16" spans="1:10" x14ac:dyDescent="0.3">
      <c r="A16" s="250"/>
      <c r="B16" s="96" t="s">
        <v>315</v>
      </c>
      <c r="C16" s="97">
        <v>2610934.711895911</v>
      </c>
      <c r="D16" s="97">
        <v>2834209.1356062721</v>
      </c>
      <c r="E16" s="97">
        <v>3055420.8892211821</v>
      </c>
      <c r="F16" s="97">
        <v>3207960.7999332868</v>
      </c>
    </row>
    <row r="17" spans="1:18" x14ac:dyDescent="0.3">
      <c r="A17" s="250"/>
      <c r="B17" s="96" t="s">
        <v>316</v>
      </c>
      <c r="C17" s="97">
        <v>306554.62184873951</v>
      </c>
      <c r="D17" s="97">
        <v>311112.95158182364</v>
      </c>
      <c r="E17" s="97">
        <v>314901.63511576847</v>
      </c>
      <c r="F17" s="97">
        <v>311583.99241414474</v>
      </c>
    </row>
    <row r="18" spans="1:18" x14ac:dyDescent="0.3">
      <c r="A18" s="250"/>
      <c r="B18" s="96" t="s">
        <v>317</v>
      </c>
      <c r="C18" s="97">
        <v>1422107.0846039292</v>
      </c>
      <c r="D18" s="97">
        <v>1443253.1791181338</v>
      </c>
      <c r="E18" s="97">
        <v>1460828.8844278508</v>
      </c>
      <c r="F18" s="97">
        <v>1445438.3378371303</v>
      </c>
    </row>
    <row r="21" spans="1:18" ht="17.399999999999999" x14ac:dyDescent="0.3">
      <c r="B21" s="219" t="s">
        <v>318</v>
      </c>
      <c r="C21" s="219"/>
      <c r="D21" s="219"/>
      <c r="E21" s="219"/>
    </row>
    <row r="24" spans="1:18" ht="43.2" x14ac:dyDescent="0.3">
      <c r="B24" s="98" t="s">
        <v>43</v>
      </c>
      <c r="C24" s="99" t="s">
        <v>319</v>
      </c>
      <c r="D24" s="100" t="s">
        <v>320</v>
      </c>
      <c r="E24" s="101" t="s">
        <v>321</v>
      </c>
      <c r="F24" s="101" t="s">
        <v>322</v>
      </c>
      <c r="J24" s="106" t="s">
        <v>323</v>
      </c>
      <c r="K24" s="106"/>
      <c r="L24" s="198" t="s">
        <v>324</v>
      </c>
      <c r="P24" s="102" t="s">
        <v>164</v>
      </c>
      <c r="Q24" s="102" t="s">
        <v>165</v>
      </c>
      <c r="R24" s="102" t="s">
        <v>52</v>
      </c>
    </row>
    <row r="25" spans="1:18" ht="43.2" x14ac:dyDescent="0.3">
      <c r="B25" s="96" t="s">
        <v>310</v>
      </c>
      <c r="C25" s="103">
        <v>234167.92101999701</v>
      </c>
      <c r="D25" s="104">
        <v>0.42703713968075602</v>
      </c>
      <c r="E25" s="105">
        <v>9313601.9835946597</v>
      </c>
      <c r="F25" s="105">
        <v>25.142573349437701</v>
      </c>
      <c r="J25" s="199" t="s">
        <v>325</v>
      </c>
      <c r="K25" s="200">
        <v>0.998</v>
      </c>
      <c r="L25" s="201" t="s">
        <v>326</v>
      </c>
      <c r="O25" s="96" t="s">
        <v>310</v>
      </c>
      <c r="P25" s="107">
        <v>25.092288202738786</v>
      </c>
      <c r="Q25" s="107">
        <v>24.59493504607191</v>
      </c>
      <c r="R25" s="107">
        <v>24.107439904762099</v>
      </c>
    </row>
    <row r="26" spans="1:18" x14ac:dyDescent="0.3">
      <c r="B26" s="96" t="s">
        <v>311</v>
      </c>
      <c r="C26" s="108">
        <v>58010.279829999701</v>
      </c>
      <c r="D26" s="104">
        <v>5.0020395428779098E-2</v>
      </c>
      <c r="E26" s="109">
        <v>1090935.68403428</v>
      </c>
      <c r="F26" s="105">
        <v>53.1747936005521</v>
      </c>
      <c r="J26" s="202" t="s">
        <v>327</v>
      </c>
      <c r="K26" s="200">
        <v>1</v>
      </c>
      <c r="L26" s="110"/>
      <c r="O26" s="96" t="s">
        <v>311</v>
      </c>
      <c r="P26" s="107">
        <v>53.174793600552071</v>
      </c>
      <c r="Q26" s="107">
        <v>53.174793600552071</v>
      </c>
      <c r="R26" s="107">
        <v>53.174793600552071</v>
      </c>
    </row>
    <row r="27" spans="1:18" x14ac:dyDescent="0.3">
      <c r="B27" s="96" t="s">
        <v>312</v>
      </c>
      <c r="C27" s="108">
        <v>196121.59098000301</v>
      </c>
      <c r="D27" s="104">
        <v>0.149510891879341</v>
      </c>
      <c r="E27" s="109">
        <v>3260805.2316419799</v>
      </c>
      <c r="F27" s="105">
        <v>60.145141168473202</v>
      </c>
      <c r="J27" s="202" t="s">
        <v>328</v>
      </c>
      <c r="K27" s="106">
        <v>1.0029999999999999</v>
      </c>
      <c r="L27" s="110" t="s">
        <v>329</v>
      </c>
      <c r="O27" s="96" t="s">
        <v>312</v>
      </c>
      <c r="P27" s="107">
        <v>60.325576591978582</v>
      </c>
      <c r="Q27" s="107">
        <v>60.50655332175451</v>
      </c>
      <c r="R27" s="107">
        <v>60.688072981719763</v>
      </c>
    </row>
    <row r="28" spans="1:18" ht="28.8" x14ac:dyDescent="0.3">
      <c r="B28" s="96" t="s">
        <v>313</v>
      </c>
      <c r="C28" s="108">
        <v>234402.67068999901</v>
      </c>
      <c r="D28" s="104">
        <v>8.5845344617429806E-2</v>
      </c>
      <c r="E28" s="109">
        <v>1872271.27951675</v>
      </c>
      <c r="F28" s="105">
        <v>125.196959038169</v>
      </c>
      <c r="J28" s="202" t="s">
        <v>330</v>
      </c>
      <c r="K28" s="200">
        <v>1</v>
      </c>
      <c r="L28" s="110"/>
      <c r="O28" s="96" t="s">
        <v>313</v>
      </c>
      <c r="P28" s="107">
        <v>125.19695903816934</v>
      </c>
      <c r="Q28" s="107">
        <v>125.19695903816934</v>
      </c>
      <c r="R28" s="107">
        <v>125.19695903816934</v>
      </c>
    </row>
    <row r="29" spans="1:18" x14ac:dyDescent="0.3">
      <c r="B29" s="96" t="s">
        <v>314</v>
      </c>
      <c r="C29" s="108">
        <v>71786.848419999893</v>
      </c>
      <c r="D29" s="104">
        <v>8.8316568123283104E-2</v>
      </c>
      <c r="E29" s="109">
        <v>1926168.21261073</v>
      </c>
      <c r="F29" s="105">
        <v>37.269251953182099</v>
      </c>
      <c r="J29" s="199" t="s">
        <v>331</v>
      </c>
      <c r="K29" s="106">
        <v>1.0029999999999999</v>
      </c>
      <c r="L29" s="110" t="s">
        <v>332</v>
      </c>
      <c r="O29" s="96" t="s">
        <v>314</v>
      </c>
      <c r="P29" s="107">
        <v>37.381059709041637</v>
      </c>
      <c r="Q29" s="107">
        <v>37.49320288816876</v>
      </c>
      <c r="R29" s="107">
        <v>37.605682496833261</v>
      </c>
    </row>
    <row r="30" spans="1:18" x14ac:dyDescent="0.3">
      <c r="B30" s="96" t="s">
        <v>315</v>
      </c>
      <c r="C30" s="108">
        <v>113612.79024</v>
      </c>
      <c r="D30" s="104">
        <v>0.119713736234936</v>
      </c>
      <c r="E30" s="109">
        <v>2610934.7118959101</v>
      </c>
      <c r="F30" s="105">
        <v>43.514221065106902</v>
      </c>
      <c r="J30" s="199" t="s">
        <v>333</v>
      </c>
      <c r="K30" s="106">
        <v>1.0049999999999999</v>
      </c>
      <c r="L30" s="110" t="s">
        <v>334</v>
      </c>
      <c r="O30" s="96" t="s">
        <v>315</v>
      </c>
      <c r="P30" s="107">
        <v>43.731792170432421</v>
      </c>
      <c r="Q30" s="107">
        <v>45.968241796408684</v>
      </c>
      <c r="R30" s="107">
        <v>48.319063751559945</v>
      </c>
    </row>
    <row r="31" spans="1:18" x14ac:dyDescent="0.3">
      <c r="B31" s="96" t="s">
        <v>316</v>
      </c>
      <c r="C31" s="108">
        <v>79312.648260000205</v>
      </c>
      <c r="D31" s="104">
        <v>1.40558088160512E-2</v>
      </c>
      <c r="E31" s="109">
        <v>306554.62184873997</v>
      </c>
      <c r="F31" s="105">
        <v>258.722728699014</v>
      </c>
      <c r="J31" s="202" t="s">
        <v>335</v>
      </c>
      <c r="K31" s="106">
        <v>1</v>
      </c>
      <c r="L31" s="110"/>
      <c r="O31" s="96" t="s">
        <v>316</v>
      </c>
      <c r="P31" s="107">
        <v>258.72272869901389</v>
      </c>
      <c r="Q31" s="107">
        <v>258.72272869901389</v>
      </c>
      <c r="R31" s="107">
        <v>258.72272869901389</v>
      </c>
    </row>
    <row r="32" spans="1:18" x14ac:dyDescent="0.3">
      <c r="B32" s="96" t="s">
        <v>317</v>
      </c>
      <c r="C32" s="108">
        <v>19004.924760000202</v>
      </c>
      <c r="D32" s="104">
        <v>6.5204905985751696E-2</v>
      </c>
      <c r="E32" s="109">
        <v>1422107.0846039299</v>
      </c>
      <c r="F32" s="105">
        <v>13.363919613193801</v>
      </c>
      <c r="J32" s="202" t="s">
        <v>336</v>
      </c>
      <c r="K32" s="106">
        <v>1</v>
      </c>
      <c r="L32" s="110"/>
      <c r="O32" s="96" t="s">
        <v>317</v>
      </c>
      <c r="P32" s="107">
        <v>13.36391961319376</v>
      </c>
      <c r="Q32" s="107">
        <v>13.36391961319376</v>
      </c>
      <c r="R32" s="107">
        <v>13.36391961319376</v>
      </c>
    </row>
    <row r="35" spans="2:18" ht="17.399999999999999" x14ac:dyDescent="0.3">
      <c r="B35" s="219" t="s">
        <v>337</v>
      </c>
      <c r="C35" s="219"/>
      <c r="D35" s="219"/>
      <c r="E35" s="219"/>
    </row>
    <row r="37" spans="2:18" x14ac:dyDescent="0.3">
      <c r="B37" t="s">
        <v>338</v>
      </c>
      <c r="J37" s="111" t="s">
        <v>339</v>
      </c>
      <c r="O37" s="111" t="s">
        <v>340</v>
      </c>
    </row>
    <row r="38" spans="2:18" x14ac:dyDescent="0.3">
      <c r="C38" s="112" t="s">
        <v>341</v>
      </c>
      <c r="D38" s="102">
        <v>2030</v>
      </c>
      <c r="E38" s="102">
        <v>2040</v>
      </c>
      <c r="F38" s="102">
        <v>2050</v>
      </c>
      <c r="J38" s="113" t="s">
        <v>342</v>
      </c>
      <c r="K38" s="114" t="s">
        <v>164</v>
      </c>
      <c r="L38" s="114" t="s">
        <v>165</v>
      </c>
      <c r="M38" s="114" t="s">
        <v>52</v>
      </c>
      <c r="O38" s="113" t="s">
        <v>342</v>
      </c>
      <c r="P38" s="114" t="s">
        <v>164</v>
      </c>
      <c r="Q38" s="114" t="s">
        <v>165</v>
      </c>
      <c r="R38" s="114" t="s">
        <v>52</v>
      </c>
    </row>
    <row r="39" spans="2:18" x14ac:dyDescent="0.3">
      <c r="B39" s="115" t="s">
        <v>310</v>
      </c>
      <c r="C39" s="116">
        <v>234167.92101999678</v>
      </c>
      <c r="D39" s="116">
        <v>231620.63614364641</v>
      </c>
      <c r="E39" s="116">
        <v>224284.2577753856</v>
      </c>
      <c r="F39" s="116">
        <v>212178.57224051771</v>
      </c>
      <c r="J39" s="117" t="s">
        <v>310</v>
      </c>
      <c r="K39" s="118">
        <v>-1.0931645543202917E-3</v>
      </c>
      <c r="L39" s="118">
        <v>-3.2134845682706414E-3</v>
      </c>
      <c r="M39" s="118">
        <v>-5.5332362693485404E-3</v>
      </c>
      <c r="O39" s="117" t="s">
        <v>310</v>
      </c>
      <c r="P39" s="119">
        <v>2.16E-3</v>
      </c>
      <c r="Q39" s="119">
        <v>2.16E-3</v>
      </c>
      <c r="R39" s="119">
        <v>2.16E-3</v>
      </c>
    </row>
    <row r="40" spans="2:18" x14ac:dyDescent="0.3">
      <c r="B40" s="115" t="s">
        <v>311</v>
      </c>
      <c r="C40" s="120">
        <v>58010.279829999694</v>
      </c>
      <c r="D40" s="116">
        <v>58872.86667269325</v>
      </c>
      <c r="E40" s="116">
        <v>59589.810983191674</v>
      </c>
      <c r="F40" s="116">
        <v>58962.003187189453</v>
      </c>
      <c r="J40" s="121" t="s">
        <v>311</v>
      </c>
      <c r="K40" s="118">
        <v>1.4770981896217172E-3</v>
      </c>
      <c r="L40" s="118">
        <v>1.2111614620906597E-3</v>
      </c>
      <c r="M40" s="118">
        <v>-1.0585773248377173E-3</v>
      </c>
      <c r="O40" s="121" t="s">
        <v>311</v>
      </c>
      <c r="P40" s="119">
        <v>2.8800000000000002E-3</v>
      </c>
      <c r="Q40" s="119">
        <v>2.8800000000000002E-3</v>
      </c>
      <c r="R40" s="119">
        <v>2.8800000000000002E-3</v>
      </c>
    </row>
    <row r="41" spans="2:18" x14ac:dyDescent="0.3">
      <c r="B41" s="115" t="s">
        <v>312</v>
      </c>
      <c r="C41" s="120">
        <v>196121.59098000271</v>
      </c>
      <c r="D41" s="116">
        <v>195184.09950335967</v>
      </c>
      <c r="E41" s="116">
        <v>193635.14128389303</v>
      </c>
      <c r="F41" s="116">
        <v>187685.51619906104</v>
      </c>
      <c r="J41" s="121" t="s">
        <v>312</v>
      </c>
      <c r="K41" s="118">
        <v>-4.7904680337040872E-4</v>
      </c>
      <c r="L41" s="118">
        <v>-7.9643666902651233E-4</v>
      </c>
      <c r="M41" s="118">
        <v>-3.1159251256259735E-3</v>
      </c>
      <c r="O41" s="121" t="s">
        <v>312</v>
      </c>
      <c r="P41" s="119">
        <v>4.64E-3</v>
      </c>
      <c r="Q41" s="119">
        <v>4.64E-3</v>
      </c>
      <c r="R41" s="119">
        <v>4.64E-3</v>
      </c>
    </row>
    <row r="42" spans="2:18" x14ac:dyDescent="0.3">
      <c r="B42" s="115" t="s">
        <v>313</v>
      </c>
      <c r="C42" s="120">
        <v>234402.67068999933</v>
      </c>
      <c r="D42" s="116">
        <v>228651.05177502384</v>
      </c>
      <c r="E42" s="116">
        <v>222085.95835366059</v>
      </c>
      <c r="F42" s="116">
        <v>210495.10728365529</v>
      </c>
      <c r="J42" s="121" t="s">
        <v>313</v>
      </c>
      <c r="K42" s="118">
        <v>-2.4812567148616571E-3</v>
      </c>
      <c r="L42" s="118">
        <v>-2.9090149231195683E-3</v>
      </c>
      <c r="M42" s="118">
        <v>-5.3458694273328389E-3</v>
      </c>
      <c r="O42" s="121" t="s">
        <v>313</v>
      </c>
      <c r="P42" s="119">
        <v>2.0122074695686078E-3</v>
      </c>
      <c r="Q42" s="119">
        <v>2.0122074695686078E-3</v>
      </c>
      <c r="R42" s="119">
        <v>2.0122074695686078E-3</v>
      </c>
    </row>
    <row r="43" spans="2:18" x14ac:dyDescent="0.3">
      <c r="B43" s="115" t="s">
        <v>314</v>
      </c>
      <c r="C43" s="120">
        <v>71786.848419999878</v>
      </c>
      <c r="D43" s="116">
        <v>79967.823197919119</v>
      </c>
      <c r="E43" s="116">
        <v>88184.359854425682</v>
      </c>
      <c r="F43" s="116">
        <v>94463.968034828431</v>
      </c>
      <c r="J43" s="121" t="s">
        <v>343</v>
      </c>
      <c r="K43" s="118">
        <v>1.0850752408186226E-2</v>
      </c>
      <c r="L43" s="118">
        <v>9.828513439359865E-3</v>
      </c>
      <c r="M43" s="118">
        <v>6.9025988508961689E-3</v>
      </c>
      <c r="O43" s="121" t="s">
        <v>343</v>
      </c>
      <c r="P43" s="119">
        <v>2.8496126430135361E-3</v>
      </c>
      <c r="Q43" s="119">
        <v>2.8496126430135361E-3</v>
      </c>
      <c r="R43" s="119">
        <v>2.8496126430135361E-3</v>
      </c>
    </row>
    <row r="44" spans="2:18" x14ac:dyDescent="0.3">
      <c r="B44" s="115" t="s">
        <v>315</v>
      </c>
      <c r="C44" s="120">
        <v>113612.79023999983</v>
      </c>
      <c r="D44" s="116">
        <v>123945.04488587441</v>
      </c>
      <c r="E44" s="116">
        <v>140452.32622551735</v>
      </c>
      <c r="F44" s="116">
        <v>155005.66240448173</v>
      </c>
      <c r="J44" s="121" t="s">
        <v>315</v>
      </c>
      <c r="K44" s="118">
        <v>8.7422109522554692E-3</v>
      </c>
      <c r="L44" s="118">
        <v>1.2581472583871767E-2</v>
      </c>
      <c r="M44" s="118">
        <v>9.908116731975225E-3</v>
      </c>
      <c r="O44" s="121" t="s">
        <v>315</v>
      </c>
      <c r="P44" s="119">
        <v>2.5858544720225763E-3</v>
      </c>
      <c r="Q44" s="119">
        <v>2.5858544720225763E-3</v>
      </c>
      <c r="R44" s="119">
        <v>2.5858544720225763E-3</v>
      </c>
    </row>
    <row r="45" spans="2:18" x14ac:dyDescent="0.3">
      <c r="B45" s="115" t="s">
        <v>316</v>
      </c>
      <c r="C45" s="120">
        <v>79312.648260000235</v>
      </c>
      <c r="D45" s="116">
        <v>80491.991766853607</v>
      </c>
      <c r="E45" s="116">
        <v>81472.21030893283</v>
      </c>
      <c r="F45" s="116">
        <v>80613.860736320377</v>
      </c>
      <c r="J45" s="121" t="s">
        <v>316</v>
      </c>
      <c r="K45" s="118">
        <v>1.4770981896217172E-3</v>
      </c>
      <c r="L45" s="118">
        <v>1.2111614620906597E-3</v>
      </c>
      <c r="M45" s="118">
        <v>-1.0585773248377173E-3</v>
      </c>
      <c r="O45" s="121" t="s">
        <v>316</v>
      </c>
      <c r="P45" s="119">
        <v>2.0122074695686078E-3</v>
      </c>
      <c r="Q45" s="119">
        <v>2.0122074695686078E-3</v>
      </c>
      <c r="R45" s="119">
        <v>2.0122074695686078E-3</v>
      </c>
    </row>
    <row r="46" spans="2:18" x14ac:dyDescent="0.3">
      <c r="B46" s="115" t="s">
        <v>317</v>
      </c>
      <c r="C46" s="120">
        <v>19004.924760000245</v>
      </c>
      <c r="D46" s="116">
        <v>19287.519467221075</v>
      </c>
      <c r="E46" s="116">
        <v>19522.399780125317</v>
      </c>
      <c r="F46" s="116">
        <v>19316.721752683814</v>
      </c>
      <c r="J46" s="121" t="s">
        <v>317</v>
      </c>
      <c r="K46" s="118">
        <v>1.4770981896217172E-3</v>
      </c>
      <c r="L46" s="118">
        <v>1.2111614620906597E-3</v>
      </c>
      <c r="M46" s="118">
        <v>-1.0585773248378283E-3</v>
      </c>
      <c r="O46" s="121" t="s">
        <v>317</v>
      </c>
      <c r="P46" s="119">
        <v>2.5999999999999999E-3</v>
      </c>
      <c r="Q46" s="119">
        <v>2.5999999999999999E-3</v>
      </c>
      <c r="R46" s="119">
        <v>2.5999999999999999E-3</v>
      </c>
    </row>
    <row r="47" spans="2:18" x14ac:dyDescent="0.3">
      <c r="B47" s="122" t="s">
        <v>306</v>
      </c>
      <c r="C47" s="116">
        <v>1006419.6741999986</v>
      </c>
      <c r="D47" s="116">
        <v>1018021.0334125913</v>
      </c>
      <c r="E47" s="116">
        <v>1029226.464565132</v>
      </c>
      <c r="F47" s="116">
        <v>1018721.4118387379</v>
      </c>
    </row>
    <row r="51" spans="1:33" ht="17.399999999999999" x14ac:dyDescent="0.3">
      <c r="B51" s="219" t="s">
        <v>344</v>
      </c>
      <c r="C51" s="219"/>
      <c r="D51" s="219"/>
      <c r="E51" s="219"/>
    </row>
    <row r="54" spans="1:33" x14ac:dyDescent="0.3">
      <c r="C54">
        <v>2020</v>
      </c>
      <c r="D54">
        <f t="shared" ref="D54:AG54" si="0">C54+1</f>
        <v>2021</v>
      </c>
      <c r="E54">
        <f t="shared" si="0"/>
        <v>2022</v>
      </c>
      <c r="F54">
        <f t="shared" si="0"/>
        <v>2023</v>
      </c>
      <c r="G54">
        <f t="shared" si="0"/>
        <v>2024</v>
      </c>
      <c r="H54">
        <f t="shared" si="0"/>
        <v>2025</v>
      </c>
      <c r="I54">
        <f t="shared" si="0"/>
        <v>2026</v>
      </c>
      <c r="J54">
        <f t="shared" si="0"/>
        <v>2027</v>
      </c>
      <c r="K54">
        <f t="shared" si="0"/>
        <v>2028</v>
      </c>
      <c r="L54">
        <f t="shared" si="0"/>
        <v>2029</v>
      </c>
      <c r="M54">
        <f t="shared" si="0"/>
        <v>2030</v>
      </c>
      <c r="N54">
        <f t="shared" si="0"/>
        <v>2031</v>
      </c>
      <c r="O54">
        <f t="shared" si="0"/>
        <v>2032</v>
      </c>
      <c r="P54">
        <f t="shared" si="0"/>
        <v>2033</v>
      </c>
      <c r="Q54">
        <f t="shared" si="0"/>
        <v>2034</v>
      </c>
      <c r="R54">
        <f t="shared" si="0"/>
        <v>2035</v>
      </c>
      <c r="S54">
        <f t="shared" si="0"/>
        <v>2036</v>
      </c>
      <c r="T54">
        <f t="shared" si="0"/>
        <v>2037</v>
      </c>
      <c r="U54">
        <f t="shared" si="0"/>
        <v>2038</v>
      </c>
      <c r="V54">
        <f t="shared" si="0"/>
        <v>2039</v>
      </c>
      <c r="W54">
        <f t="shared" si="0"/>
        <v>2040</v>
      </c>
      <c r="X54">
        <f t="shared" si="0"/>
        <v>2041</v>
      </c>
      <c r="Y54">
        <f t="shared" si="0"/>
        <v>2042</v>
      </c>
      <c r="Z54">
        <f t="shared" si="0"/>
        <v>2043</v>
      </c>
      <c r="AA54">
        <f t="shared" si="0"/>
        <v>2044</v>
      </c>
      <c r="AB54">
        <f t="shared" si="0"/>
        <v>2045</v>
      </c>
      <c r="AC54">
        <f t="shared" si="0"/>
        <v>2046</v>
      </c>
      <c r="AD54">
        <f t="shared" si="0"/>
        <v>2047</v>
      </c>
      <c r="AE54">
        <f t="shared" si="0"/>
        <v>2048</v>
      </c>
      <c r="AF54">
        <f t="shared" si="0"/>
        <v>2049</v>
      </c>
      <c r="AG54">
        <f t="shared" si="0"/>
        <v>2050</v>
      </c>
    </row>
    <row r="55" spans="1:33" x14ac:dyDescent="0.3">
      <c r="A55" s="249" t="s">
        <v>1</v>
      </c>
      <c r="B55" t="s">
        <v>345</v>
      </c>
      <c r="C55">
        <v>0.5</v>
      </c>
      <c r="D55">
        <f>C55+($H55-$C55)/5</f>
        <v>1.1000000000000001</v>
      </c>
      <c r="E55">
        <f>D55+($H55-$C55)/5</f>
        <v>1.7000000000000002</v>
      </c>
      <c r="F55">
        <f>E55+($H55-$C55)/5</f>
        <v>2.3000000000000003</v>
      </c>
      <c r="G55">
        <f>F55+($H55-$C55)/5</f>
        <v>2.9000000000000004</v>
      </c>
      <c r="H55">
        <v>3.5</v>
      </c>
      <c r="I55">
        <f>H55+($M55-$H55)/5</f>
        <v>4.2</v>
      </c>
      <c r="J55">
        <f>I55+($M55-$H55)/5</f>
        <v>4.9000000000000004</v>
      </c>
      <c r="K55">
        <f>J55+($M55-$H55)/5</f>
        <v>5.6000000000000005</v>
      </c>
      <c r="L55">
        <f>K55+($M55-$H55)/5</f>
        <v>6.3000000000000007</v>
      </c>
      <c r="M55">
        <v>7</v>
      </c>
      <c r="N55">
        <f>M55+($R55-$M55)/5</f>
        <v>6.3</v>
      </c>
      <c r="O55">
        <f>N55+($R55-$M55)/5</f>
        <v>5.6</v>
      </c>
      <c r="P55">
        <f>O55+($R55-$M55)/5</f>
        <v>4.8999999999999995</v>
      </c>
      <c r="Q55">
        <f>P55+($R55-$M55)/5</f>
        <v>4.1999999999999993</v>
      </c>
      <c r="R55">
        <v>3.5</v>
      </c>
      <c r="S55">
        <f>R55+($W55-$R55)/5</f>
        <v>3</v>
      </c>
      <c r="T55">
        <f>S55+($W55-$R55)/5</f>
        <v>2.5</v>
      </c>
      <c r="U55">
        <f>T55+($W55-$R55)/5</f>
        <v>2</v>
      </c>
      <c r="V55">
        <f>U55+($W55-$R55)/5</f>
        <v>1.5</v>
      </c>
      <c r="W55">
        <v>1</v>
      </c>
      <c r="X55">
        <f>W55+($AB55-$W55)/5</f>
        <v>0.8</v>
      </c>
      <c r="Y55">
        <f>X55+($AB55-$W55)/5</f>
        <v>0.60000000000000009</v>
      </c>
      <c r="Z55">
        <f>Y55+($AB55-$W55)/5</f>
        <v>0.40000000000000008</v>
      </c>
      <c r="AA55">
        <f>Z55+($AB55-$W55)/5</f>
        <v>0.20000000000000007</v>
      </c>
      <c r="AB55">
        <v>0</v>
      </c>
      <c r="AC55">
        <f>AB55+($AG55-$AB55)/5</f>
        <v>0</v>
      </c>
      <c r="AD55">
        <f>AC55+($AG55-$AB55)/5</f>
        <v>0</v>
      </c>
      <c r="AE55">
        <f>AD55+($AG55-$AB55)/5</f>
        <v>0</v>
      </c>
      <c r="AF55">
        <f>AE55+($AG55-$AB55)/5</f>
        <v>0</v>
      </c>
      <c r="AG55">
        <v>0</v>
      </c>
    </row>
    <row r="56" spans="1:33" x14ac:dyDescent="0.3">
      <c r="A56" s="249"/>
      <c r="B56" t="s">
        <v>346</v>
      </c>
      <c r="C56" s="71">
        <f>'Construction neuve rési'!$C12*'Construction neuve rési'!$C13+(1-'Construction neuve rési'!$C12)*'Construction neuve rési'!$C14</f>
        <v>87.806000000000012</v>
      </c>
      <c r="D56" s="71">
        <f>'Construction neuve rési'!$C12*'Construction neuve rési'!$C13+(1-'Construction neuve rési'!$C12)*'Construction neuve rési'!$C14</f>
        <v>87.806000000000012</v>
      </c>
      <c r="E56" s="71">
        <f>'Construction neuve rési'!$C12*'Construction neuve rési'!$C13+(1-'Construction neuve rési'!$C12)*'Construction neuve rési'!$C14</f>
        <v>87.806000000000012</v>
      </c>
      <c r="F56" s="71">
        <f>'Construction neuve rési'!$C12*'Construction neuve rési'!$C13+(1-'Construction neuve rési'!$C12)*'Construction neuve rési'!$C14</f>
        <v>87.806000000000012</v>
      </c>
      <c r="G56" s="71">
        <f>'Construction neuve rési'!$C12*'Construction neuve rési'!$C13+(1-'Construction neuve rési'!$C12)*'Construction neuve rési'!$C14</f>
        <v>87.806000000000012</v>
      </c>
      <c r="H56" s="71">
        <f>'Construction neuve rési'!$H12*'Construction neuve rési'!$H13+(1-'Construction neuve rési'!$H12)*'Construction neuve rési'!$H14</f>
        <v>91.151749999999993</v>
      </c>
      <c r="I56" s="71">
        <f>'Construction neuve rési'!$H12*'Construction neuve rési'!$H13+(1-'Construction neuve rési'!$H12)*'Construction neuve rési'!$H14</f>
        <v>91.151749999999993</v>
      </c>
      <c r="J56" s="71">
        <f>'Construction neuve rési'!$H12*'Construction neuve rési'!$H13+(1-'Construction neuve rési'!$H12)*'Construction neuve rési'!$H14</f>
        <v>91.151749999999993</v>
      </c>
      <c r="K56" s="71">
        <f>'Construction neuve rési'!$H12*'Construction neuve rési'!$H13+(1-'Construction neuve rési'!$H12)*'Construction neuve rési'!$H14</f>
        <v>91.151749999999993</v>
      </c>
      <c r="L56" s="71">
        <f>'Construction neuve rési'!$H12*'Construction neuve rési'!$H13+(1-'Construction neuve rési'!$H12)*'Construction neuve rési'!$H14</f>
        <v>91.151749999999993</v>
      </c>
      <c r="M56" s="71">
        <f>'Construction neuve rési'!$M12*'Construction neuve rési'!$M13+(1-'Construction neuve rési'!$M12)*'Construction neuve rési'!$M14</f>
        <v>94.52000000000001</v>
      </c>
      <c r="N56" s="71">
        <f>'Construction neuve rési'!$M12*'Construction neuve rési'!$M13+(1-'Construction neuve rési'!$M12)*'Construction neuve rési'!$M14</f>
        <v>94.52000000000001</v>
      </c>
      <c r="O56" s="71">
        <f>'Construction neuve rési'!$M12*'Construction neuve rési'!$M13+(1-'Construction neuve rési'!$M12)*'Construction neuve rési'!$M14</f>
        <v>94.52000000000001</v>
      </c>
      <c r="P56" s="71">
        <f>'Construction neuve rési'!$M12*'Construction neuve rési'!$M13+(1-'Construction neuve rési'!$M12)*'Construction neuve rési'!$M14</f>
        <v>94.52000000000001</v>
      </c>
      <c r="Q56" s="71">
        <f>'Construction neuve rési'!$M12*'Construction neuve rési'!$M13+(1-'Construction neuve rési'!$M12)*'Construction neuve rési'!$M14</f>
        <v>94.52000000000001</v>
      </c>
      <c r="R56" s="71">
        <f>'Construction neuve rési'!$R12*'Construction neuve rési'!$R13+(1-'Construction neuve rési'!$R12)*'Construction neuve rési'!$R14</f>
        <v>94.52000000000001</v>
      </c>
      <c r="S56" s="71">
        <f>'Construction neuve rési'!$R12*'Construction neuve rési'!$R13+(1-'Construction neuve rési'!$R12)*'Construction neuve rési'!$R14</f>
        <v>94.52000000000001</v>
      </c>
      <c r="T56" s="71">
        <f>'Construction neuve rési'!$R12*'Construction neuve rési'!$R13+(1-'Construction neuve rési'!$R12)*'Construction neuve rési'!$R14</f>
        <v>94.52000000000001</v>
      </c>
      <c r="U56" s="71">
        <f>'Construction neuve rési'!$R12*'Construction neuve rési'!$R13+(1-'Construction neuve rési'!$R12)*'Construction neuve rési'!$R14</f>
        <v>94.52000000000001</v>
      </c>
      <c r="V56" s="71">
        <f>'Construction neuve rési'!$R12*'Construction neuve rési'!$R13+(1-'Construction neuve rési'!$R12)*'Construction neuve rési'!$R14</f>
        <v>94.52000000000001</v>
      </c>
      <c r="W56" s="71">
        <f>'Construction neuve rési'!$R12*'Construction neuve rési'!$R13+(1-'Construction neuve rési'!$R12)*'Construction neuve rési'!$R14</f>
        <v>94.52000000000001</v>
      </c>
      <c r="X56" s="71">
        <f>'Construction neuve rési'!$R12*'Construction neuve rési'!$R13+(1-'Construction neuve rési'!$R12)*'Construction neuve rési'!$R14</f>
        <v>94.52000000000001</v>
      </c>
      <c r="Y56" s="71">
        <f>'Construction neuve rési'!$R12*'Construction neuve rési'!$R13+(1-'Construction neuve rési'!$R12)*'Construction neuve rési'!$R14</f>
        <v>94.52000000000001</v>
      </c>
      <c r="Z56" s="71">
        <f>'Construction neuve rési'!$R12*'Construction neuve rési'!$R13+(1-'Construction neuve rési'!$R12)*'Construction neuve rési'!$R14</f>
        <v>94.52000000000001</v>
      </c>
      <c r="AA56" s="71">
        <f>'Construction neuve rési'!$R12*'Construction neuve rési'!$R13+(1-'Construction neuve rési'!$R12)*'Construction neuve rési'!$R14</f>
        <v>94.52000000000001</v>
      </c>
      <c r="AB56" s="71">
        <f>'Construction neuve rési'!$R12*'Construction neuve rési'!$R13+(1-'Construction neuve rési'!$R12)*'Construction neuve rési'!$R14</f>
        <v>94.52000000000001</v>
      </c>
      <c r="AC56" s="71">
        <f>'Construction neuve rési'!$R12*'Construction neuve rési'!$R13+(1-'Construction neuve rési'!$R12)*'Construction neuve rési'!$R14</f>
        <v>94.52000000000001</v>
      </c>
      <c r="AD56" s="71">
        <f>'Construction neuve rési'!$R12*'Construction neuve rési'!$R13+(1-'Construction neuve rési'!$R12)*'Construction neuve rési'!$R14</f>
        <v>94.52000000000001</v>
      </c>
      <c r="AE56" s="71">
        <f>'Construction neuve rési'!$R12*'Construction neuve rési'!$R13+(1-'Construction neuve rési'!$R12)*'Construction neuve rési'!$R14</f>
        <v>94.52000000000001</v>
      </c>
      <c r="AF56" s="71">
        <f>'Construction neuve rési'!$R12*'Construction neuve rési'!$R13+(1-'Construction neuve rési'!$R12)*'Construction neuve rési'!$R14</f>
        <v>94.52000000000001</v>
      </c>
      <c r="AG56" s="71">
        <f>'Construction neuve rési'!$R12*'Construction neuve rési'!$R13+(1-'Construction neuve rési'!$R12)*'Construction neuve rési'!$R14</f>
        <v>94.52000000000001</v>
      </c>
    </row>
    <row r="57" spans="1:33" x14ac:dyDescent="0.3">
      <c r="A57" s="249"/>
      <c r="B57" t="s">
        <v>347</v>
      </c>
      <c r="C57" s="71">
        <f t="shared" ref="C57:AG57" si="1">C56*C55/1000</f>
        <v>4.3903000000000005E-2</v>
      </c>
      <c r="D57" s="71">
        <f t="shared" si="1"/>
        <v>9.6586600000000022E-2</v>
      </c>
      <c r="E57" s="71">
        <f t="shared" si="1"/>
        <v>0.14927020000000005</v>
      </c>
      <c r="F57" s="71">
        <f t="shared" si="1"/>
        <v>0.20195380000000004</v>
      </c>
      <c r="G57" s="71">
        <f t="shared" si="1"/>
        <v>0.25463740000000007</v>
      </c>
      <c r="H57" s="71">
        <f t="shared" si="1"/>
        <v>0.31903112499999997</v>
      </c>
      <c r="I57" s="71">
        <f t="shared" si="1"/>
        <v>0.38283734999999997</v>
      </c>
      <c r="J57" s="71">
        <f t="shared" si="1"/>
        <v>0.44664357500000001</v>
      </c>
      <c r="K57" s="71">
        <f t="shared" si="1"/>
        <v>0.51044979999999995</v>
      </c>
      <c r="L57" s="71">
        <f t="shared" si="1"/>
        <v>0.57425602500000006</v>
      </c>
      <c r="M57" s="71">
        <f t="shared" si="1"/>
        <v>0.66164000000000012</v>
      </c>
      <c r="N57" s="71">
        <f t="shared" si="1"/>
        <v>0.59547600000000001</v>
      </c>
      <c r="O57" s="71">
        <f t="shared" si="1"/>
        <v>0.529312</v>
      </c>
      <c r="P57" s="71">
        <f t="shared" si="1"/>
        <v>0.463148</v>
      </c>
      <c r="Q57" s="71">
        <f t="shared" si="1"/>
        <v>0.396984</v>
      </c>
      <c r="R57" s="71">
        <f t="shared" si="1"/>
        <v>0.33082000000000006</v>
      </c>
      <c r="S57" s="71">
        <f t="shared" si="1"/>
        <v>0.28356000000000003</v>
      </c>
      <c r="T57" s="71">
        <f t="shared" si="1"/>
        <v>0.23630000000000001</v>
      </c>
      <c r="U57" s="71">
        <f t="shared" si="1"/>
        <v>0.18904000000000001</v>
      </c>
      <c r="V57" s="71">
        <f t="shared" si="1"/>
        <v>0.14178000000000002</v>
      </c>
      <c r="W57" s="71">
        <f t="shared" si="1"/>
        <v>9.4520000000000007E-2</v>
      </c>
      <c r="X57" s="71">
        <f t="shared" si="1"/>
        <v>7.5616000000000017E-2</v>
      </c>
      <c r="Y57" s="71">
        <f t="shared" si="1"/>
        <v>5.6712000000000019E-2</v>
      </c>
      <c r="Z57" s="71">
        <f t="shared" si="1"/>
        <v>3.7808000000000015E-2</v>
      </c>
      <c r="AA57" s="71">
        <f t="shared" si="1"/>
        <v>1.8904000000000008E-2</v>
      </c>
      <c r="AB57" s="71">
        <f t="shared" si="1"/>
        <v>0</v>
      </c>
      <c r="AC57" s="71">
        <f t="shared" si="1"/>
        <v>0</v>
      </c>
      <c r="AD57" s="71">
        <f t="shared" si="1"/>
        <v>0</v>
      </c>
      <c r="AE57" s="71">
        <f t="shared" si="1"/>
        <v>0</v>
      </c>
      <c r="AF57" s="71">
        <f t="shared" si="1"/>
        <v>0</v>
      </c>
      <c r="AG57" s="71">
        <f t="shared" si="1"/>
        <v>0</v>
      </c>
    </row>
    <row r="58" spans="1:33" x14ac:dyDescent="0.3">
      <c r="A58" s="249"/>
      <c r="B58" t="s">
        <v>348</v>
      </c>
      <c r="C58">
        <f>C57</f>
        <v>4.3903000000000005E-2</v>
      </c>
      <c r="D58" s="71">
        <f t="shared" ref="D58:AG58" si="2">C58+D57</f>
        <v>0.14048960000000002</v>
      </c>
      <c r="E58" s="71">
        <f t="shared" si="2"/>
        <v>0.28975980000000007</v>
      </c>
      <c r="F58" s="71">
        <f t="shared" si="2"/>
        <v>0.49171360000000008</v>
      </c>
      <c r="G58" s="71">
        <f>F58+G57</f>
        <v>0.74635100000000021</v>
      </c>
      <c r="H58" s="71">
        <f t="shared" si="2"/>
        <v>1.0653821250000002</v>
      </c>
      <c r="I58" s="71">
        <f t="shared" si="2"/>
        <v>1.4482194750000001</v>
      </c>
      <c r="J58" s="71">
        <f t="shared" si="2"/>
        <v>1.8948630500000001</v>
      </c>
      <c r="K58" s="71">
        <f t="shared" si="2"/>
        <v>2.4053128500000001</v>
      </c>
      <c r="L58" s="71">
        <f t="shared" si="2"/>
        <v>2.979568875</v>
      </c>
      <c r="M58" s="71">
        <f t="shared" si="2"/>
        <v>3.6412088750000002</v>
      </c>
      <c r="N58" s="71">
        <f t="shared" si="2"/>
        <v>4.2366848749999999</v>
      </c>
      <c r="O58" s="71">
        <f t="shared" si="2"/>
        <v>4.7659968749999999</v>
      </c>
      <c r="P58" s="71">
        <f t="shared" si="2"/>
        <v>5.2291448750000002</v>
      </c>
      <c r="Q58" s="71">
        <f t="shared" si="2"/>
        <v>5.626128875</v>
      </c>
      <c r="R58" s="71">
        <f t="shared" si="2"/>
        <v>5.9569488750000001</v>
      </c>
      <c r="S58" s="71">
        <f t="shared" si="2"/>
        <v>6.2405088749999997</v>
      </c>
      <c r="T58" s="71">
        <f t="shared" si="2"/>
        <v>6.4768088749999997</v>
      </c>
      <c r="U58" s="71">
        <f t="shared" si="2"/>
        <v>6.665848875</v>
      </c>
      <c r="V58" s="71">
        <f t="shared" si="2"/>
        <v>6.8076288749999998</v>
      </c>
      <c r="W58" s="71">
        <f t="shared" si="2"/>
        <v>6.902148875</v>
      </c>
      <c r="X58" s="71">
        <f t="shared" si="2"/>
        <v>6.9777648750000001</v>
      </c>
      <c r="Y58" s="71">
        <f t="shared" si="2"/>
        <v>7.0344768750000002</v>
      </c>
      <c r="Z58" s="71">
        <f t="shared" si="2"/>
        <v>7.0722848750000002</v>
      </c>
      <c r="AA58" s="71">
        <f t="shared" si="2"/>
        <v>7.0911888750000003</v>
      </c>
      <c r="AB58" s="71">
        <f t="shared" si="2"/>
        <v>7.0911888750000003</v>
      </c>
      <c r="AC58" s="71">
        <f t="shared" si="2"/>
        <v>7.0911888750000003</v>
      </c>
      <c r="AD58" s="71">
        <f t="shared" si="2"/>
        <v>7.0911888750000003</v>
      </c>
      <c r="AE58" s="71">
        <f t="shared" si="2"/>
        <v>7.0911888750000003</v>
      </c>
      <c r="AF58" s="71">
        <f t="shared" si="2"/>
        <v>7.0911888750000003</v>
      </c>
      <c r="AG58" s="71">
        <f t="shared" si="2"/>
        <v>7.0911888750000003</v>
      </c>
    </row>
  </sheetData>
  <mergeCells count="6">
    <mergeCell ref="B3:E3"/>
    <mergeCell ref="B21:E21"/>
    <mergeCell ref="B35:E35"/>
    <mergeCell ref="B51:E51"/>
    <mergeCell ref="A55:A58"/>
    <mergeCell ref="A10:A1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2"/>
  <sheetViews>
    <sheetView zoomScale="70" zoomScaleNormal="70" workbookViewId="0">
      <selection activeCell="I35" sqref="I35"/>
    </sheetView>
  </sheetViews>
  <sheetFormatPr baseColWidth="10" defaultColWidth="9.21875" defaultRowHeight="14.4" x14ac:dyDescent="0.3"/>
  <cols>
    <col min="1" max="1" width="8.44140625" customWidth="1"/>
    <col min="2" max="2" width="30.77734375" customWidth="1"/>
    <col min="3" max="10" width="17.21875" customWidth="1"/>
    <col min="11" max="1025" width="8.44140625" customWidth="1"/>
  </cols>
  <sheetData>
    <row r="1" spans="1:15" x14ac:dyDescent="0.3">
      <c r="A1" s="70"/>
    </row>
    <row r="5" spans="1:15" x14ac:dyDescent="0.3">
      <c r="B5" s="238" t="s">
        <v>182</v>
      </c>
      <c r="C5" s="238"/>
      <c r="D5" s="238"/>
      <c r="E5" s="238"/>
    </row>
    <row r="8" spans="1:15" x14ac:dyDescent="0.3">
      <c r="C8" s="220" t="s">
        <v>81</v>
      </c>
      <c r="D8" s="220"/>
      <c r="E8" s="220"/>
      <c r="F8" s="220"/>
      <c r="H8" s="220" t="s">
        <v>29</v>
      </c>
      <c r="I8" s="220"/>
      <c r="J8" s="220"/>
      <c r="K8" s="220"/>
      <c r="L8" s="220" t="s">
        <v>2</v>
      </c>
      <c r="M8" s="220"/>
      <c r="N8" s="220"/>
      <c r="O8" s="220"/>
    </row>
    <row r="9" spans="1:15" ht="12.75" customHeight="1" x14ac:dyDescent="0.3">
      <c r="B9" s="242" t="s">
        <v>183</v>
      </c>
      <c r="C9" s="220" t="s">
        <v>184</v>
      </c>
      <c r="D9" s="220"/>
      <c r="E9" s="220"/>
      <c r="F9" s="220"/>
      <c r="L9" s="220" t="s">
        <v>186</v>
      </c>
      <c r="M9" s="220"/>
      <c r="N9" s="220"/>
      <c r="O9" s="220"/>
    </row>
    <row r="10" spans="1:15" ht="23.55" customHeight="1" x14ac:dyDescent="0.3">
      <c r="B10" s="242"/>
      <c r="C10" s="220" t="s">
        <v>187</v>
      </c>
      <c r="D10" s="220"/>
      <c r="E10" s="220"/>
      <c r="F10" s="220"/>
      <c r="H10" s="240" t="s">
        <v>188</v>
      </c>
      <c r="I10" s="240"/>
      <c r="J10" s="240"/>
      <c r="K10" s="240"/>
      <c r="L10" s="240" t="s">
        <v>189</v>
      </c>
      <c r="M10" s="240"/>
      <c r="N10" s="240"/>
      <c r="O10" s="240"/>
    </row>
    <row r="11" spans="1:15" ht="48.45" customHeight="1" x14ac:dyDescent="0.3">
      <c r="B11" s="68" t="s">
        <v>190</v>
      </c>
      <c r="C11" s="242" t="s">
        <v>191</v>
      </c>
      <c r="D11" s="242"/>
      <c r="E11" s="242"/>
      <c r="F11" s="242"/>
      <c r="H11" s="243" t="s">
        <v>192</v>
      </c>
      <c r="I11" s="243"/>
      <c r="J11" s="243"/>
      <c r="K11" s="243"/>
      <c r="L11" s="251"/>
      <c r="M11" s="251"/>
      <c r="N11" s="251"/>
      <c r="O11" s="251"/>
    </row>
    <row r="12" spans="1:15" ht="12.75" customHeight="1" x14ac:dyDescent="0.3">
      <c r="B12" s="68" t="s">
        <v>193</v>
      </c>
      <c r="C12" s="242" t="s">
        <v>194</v>
      </c>
      <c r="D12" s="242"/>
      <c r="E12" s="242"/>
      <c r="F12" s="242"/>
      <c r="H12" s="240" t="s">
        <v>195</v>
      </c>
      <c r="I12" s="240"/>
      <c r="J12" s="240"/>
      <c r="K12" s="240"/>
      <c r="L12" s="251"/>
      <c r="M12" s="251"/>
      <c r="N12" s="251"/>
      <c r="O12" s="251"/>
    </row>
    <row r="13" spans="1:15" ht="23.55" customHeight="1" x14ac:dyDescent="0.3">
      <c r="B13" s="68" t="s">
        <v>196</v>
      </c>
      <c r="C13" s="242"/>
      <c r="D13" s="242"/>
      <c r="E13" s="242"/>
      <c r="F13" s="242"/>
      <c r="H13" s="251"/>
      <c r="I13" s="251"/>
      <c r="J13" s="251"/>
      <c r="K13" s="251"/>
      <c r="L13" s="251"/>
      <c r="M13" s="251"/>
      <c r="N13" s="251"/>
      <c r="O13" s="251"/>
    </row>
    <row r="14" spans="1:15" ht="34.35" customHeight="1" x14ac:dyDescent="0.3">
      <c r="B14" s="68" t="s">
        <v>197</v>
      </c>
      <c r="C14" s="242"/>
      <c r="D14" s="242"/>
      <c r="E14" s="242"/>
      <c r="F14" s="242"/>
      <c r="H14" s="240" t="s">
        <v>198</v>
      </c>
      <c r="I14" s="240"/>
      <c r="J14" s="240"/>
      <c r="K14" s="240"/>
      <c r="L14" s="251"/>
      <c r="M14" s="251"/>
      <c r="N14" s="251"/>
      <c r="O14" s="251"/>
    </row>
    <row r="15" spans="1:15" ht="23.55" customHeight="1" x14ac:dyDescent="0.3">
      <c r="B15" s="242" t="s">
        <v>199</v>
      </c>
      <c r="C15" s="240" t="s">
        <v>200</v>
      </c>
      <c r="D15" s="240"/>
      <c r="E15" s="240"/>
      <c r="F15" s="240"/>
      <c r="H15" s="240" t="s">
        <v>201</v>
      </c>
      <c r="I15" s="240"/>
      <c r="J15" s="240"/>
      <c r="K15" s="240"/>
      <c r="L15" s="240" t="s">
        <v>202</v>
      </c>
      <c r="M15" s="240"/>
      <c r="N15" s="240"/>
      <c r="O15" s="240"/>
    </row>
    <row r="16" spans="1:15" ht="12.75" customHeight="1" x14ac:dyDescent="0.3">
      <c r="B16" s="242"/>
      <c r="C16" s="240" t="s">
        <v>203</v>
      </c>
      <c r="D16" s="240"/>
      <c r="E16" s="240"/>
      <c r="F16" s="240"/>
      <c r="H16" s="240"/>
      <c r="I16" s="240"/>
      <c r="J16" s="240"/>
      <c r="K16" s="240"/>
      <c r="L16" s="240" t="s">
        <v>204</v>
      </c>
      <c r="M16" s="240"/>
      <c r="N16" s="240"/>
      <c r="O16" s="240"/>
    </row>
    <row r="17" spans="1:25" ht="13.05" customHeight="1" x14ac:dyDescent="0.3">
      <c r="B17" s="242"/>
      <c r="C17" s="240" t="s">
        <v>349</v>
      </c>
      <c r="D17" s="240"/>
      <c r="E17" s="240"/>
      <c r="F17" s="240"/>
      <c r="H17" s="240"/>
      <c r="I17" s="240"/>
      <c r="J17" s="240"/>
      <c r="K17" s="240"/>
      <c r="L17" s="240" t="s">
        <v>350</v>
      </c>
      <c r="M17" s="240"/>
      <c r="N17" s="240"/>
      <c r="O17" s="240"/>
    </row>
    <row r="18" spans="1:25" ht="116.25" customHeight="1" x14ac:dyDescent="0.3">
      <c r="B18" s="67" t="s">
        <v>351</v>
      </c>
      <c r="C18" s="240" t="s">
        <v>352</v>
      </c>
      <c r="D18" s="240"/>
      <c r="E18" s="240"/>
      <c r="F18" s="240"/>
      <c r="H18" s="220"/>
      <c r="I18" s="220"/>
      <c r="J18" s="220"/>
      <c r="K18" s="220"/>
      <c r="L18" s="220"/>
      <c r="M18" s="220"/>
      <c r="N18" s="220"/>
      <c r="O18" s="220"/>
    </row>
    <row r="19" spans="1:25" ht="56.55" customHeight="1" x14ac:dyDescent="0.3">
      <c r="B19" s="67" t="s">
        <v>353</v>
      </c>
      <c r="C19" s="242" t="s">
        <v>354</v>
      </c>
      <c r="D19" s="242"/>
      <c r="E19" s="242"/>
      <c r="F19" s="242"/>
      <c r="H19" s="240"/>
      <c r="I19" s="240"/>
      <c r="J19" s="240"/>
      <c r="K19" s="240"/>
      <c r="L19" s="220"/>
      <c r="M19" s="220"/>
      <c r="N19" s="220"/>
      <c r="O19" s="220"/>
      <c r="Q19" s="239"/>
      <c r="R19" s="240"/>
      <c r="S19" s="240"/>
      <c r="T19" s="240"/>
      <c r="U19" s="240"/>
      <c r="V19" s="220"/>
      <c r="W19" s="220"/>
      <c r="X19" s="220"/>
      <c r="Y19" s="220"/>
    </row>
    <row r="20" spans="1:25" ht="31.95" customHeight="1" x14ac:dyDescent="0.3">
      <c r="B20" s="214" t="s">
        <v>355</v>
      </c>
      <c r="C20" s="252" t="s">
        <v>493</v>
      </c>
      <c r="D20" s="252"/>
      <c r="E20" s="252"/>
      <c r="F20" s="252"/>
      <c r="H20" s="220"/>
      <c r="I20" s="220"/>
      <c r="J20" s="220"/>
      <c r="K20" s="220"/>
      <c r="L20" s="220"/>
      <c r="M20" s="220"/>
      <c r="N20" s="220"/>
      <c r="O20" s="220"/>
      <c r="Q20" s="239"/>
      <c r="R20" s="220"/>
      <c r="S20" s="220"/>
      <c r="T20" s="220"/>
      <c r="U20" s="220"/>
      <c r="V20" s="220"/>
      <c r="W20" s="220"/>
      <c r="X20" s="220"/>
      <c r="Y20" s="220"/>
    </row>
    <row r="21" spans="1:25" x14ac:dyDescent="0.3">
      <c r="B21" s="68"/>
    </row>
    <row r="22" spans="1:25" x14ac:dyDescent="0.3">
      <c r="B22" s="68"/>
    </row>
    <row r="23" spans="1:25" x14ac:dyDescent="0.3">
      <c r="B23" s="68"/>
    </row>
    <row r="24" spans="1:25" ht="13.8" customHeight="1" x14ac:dyDescent="0.3">
      <c r="B24" s="253" t="s">
        <v>228</v>
      </c>
      <c r="C24" s="253"/>
      <c r="D24" s="253"/>
      <c r="E24" s="253"/>
    </row>
    <row r="25" spans="1:25" x14ac:dyDescent="0.3">
      <c r="B25" s="68"/>
    </row>
    <row r="26" spans="1:25" x14ac:dyDescent="0.3">
      <c r="B26" s="124" t="s">
        <v>229</v>
      </c>
    </row>
    <row r="27" spans="1:25" x14ac:dyDescent="0.3">
      <c r="B27" s="68"/>
      <c r="C27" s="239" t="s">
        <v>230</v>
      </c>
      <c r="D27" s="239"/>
      <c r="E27" s="239"/>
      <c r="F27" s="239"/>
      <c r="G27" s="239"/>
      <c r="J27" s="239" t="s">
        <v>231</v>
      </c>
      <c r="K27" s="239"/>
      <c r="L27" s="239"/>
      <c r="M27" s="239"/>
      <c r="N27" s="239"/>
    </row>
    <row r="28" spans="1:25" x14ac:dyDescent="0.3">
      <c r="B28" s="68"/>
      <c r="C28">
        <v>2020</v>
      </c>
      <c r="D28">
        <v>2025</v>
      </c>
      <c r="E28">
        <v>2030</v>
      </c>
      <c r="F28">
        <v>2040</v>
      </c>
      <c r="G28">
        <v>2050</v>
      </c>
      <c r="J28">
        <v>2015</v>
      </c>
      <c r="K28">
        <v>2020</v>
      </c>
      <c r="L28">
        <v>2025</v>
      </c>
      <c r="M28">
        <v>2030</v>
      </c>
      <c r="N28">
        <v>2050</v>
      </c>
    </row>
    <row r="29" spans="1:25" ht="27" x14ac:dyDescent="0.3">
      <c r="B29" s="68" t="s">
        <v>232</v>
      </c>
      <c r="C29" s="69">
        <v>1</v>
      </c>
      <c r="D29" s="69">
        <v>0.95284948723465301</v>
      </c>
      <c r="E29" s="69">
        <v>0.90569897446930503</v>
      </c>
      <c r="F29" s="69">
        <v>0.86821723041283105</v>
      </c>
      <c r="G29" s="69">
        <v>0.85527761372129096</v>
      </c>
      <c r="J29" s="69">
        <v>1</v>
      </c>
      <c r="K29" s="69">
        <v>0.99466666666666703</v>
      </c>
      <c r="L29" s="69">
        <v>0.98933333333333295</v>
      </c>
      <c r="M29" s="69">
        <v>0.98399999999999999</v>
      </c>
      <c r="N29" s="69">
        <v>0.94699999999999995</v>
      </c>
    </row>
    <row r="30" spans="1:25" ht="27" x14ac:dyDescent="0.3">
      <c r="A30" s="31"/>
      <c r="B30" s="68" t="s">
        <v>233</v>
      </c>
      <c r="C30" s="69">
        <v>1</v>
      </c>
      <c r="D30" s="69">
        <v>1.0833797193571599</v>
      </c>
      <c r="E30" s="69">
        <v>1.1667594387143301</v>
      </c>
      <c r="F30" s="69">
        <v>1.23790389075473</v>
      </c>
      <c r="G30" s="69">
        <v>1.2390882867861499</v>
      </c>
      <c r="H30" s="31"/>
      <c r="I30" s="31"/>
      <c r="J30">
        <v>1</v>
      </c>
      <c r="K30">
        <v>1.04</v>
      </c>
      <c r="L30">
        <v>1.08</v>
      </c>
      <c r="M30">
        <v>1.1200000000000001</v>
      </c>
      <c r="N30">
        <v>1.27</v>
      </c>
      <c r="Q30" s="31"/>
      <c r="R30" s="31"/>
      <c r="S30" s="31"/>
    </row>
    <row r="31" spans="1:25" x14ac:dyDescent="0.3">
      <c r="A31" s="31"/>
      <c r="B31" s="68"/>
      <c r="C31" s="31" t="s">
        <v>234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</row>
    <row r="32" spans="1:25" x14ac:dyDescent="0.3">
      <c r="A32" s="31"/>
      <c r="B32" s="68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</row>
    <row r="33" spans="1:34" x14ac:dyDescent="0.3">
      <c r="A33" s="31"/>
      <c r="B33" s="1" t="s">
        <v>235</v>
      </c>
      <c r="D33">
        <v>2020</v>
      </c>
      <c r="E33">
        <v>2030</v>
      </c>
      <c r="F33">
        <v>2040</v>
      </c>
      <c r="G33">
        <v>2050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</row>
    <row r="34" spans="1:34" x14ac:dyDescent="0.3">
      <c r="A34" s="31"/>
      <c r="B34" t="s">
        <v>236</v>
      </c>
      <c r="C34" s="70" t="s">
        <v>237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</row>
    <row r="35" spans="1:34" ht="27" x14ac:dyDescent="0.3">
      <c r="A35" s="31"/>
      <c r="B35" s="68" t="s">
        <v>241</v>
      </c>
      <c r="D35">
        <v>1</v>
      </c>
      <c r="E35">
        <v>0.93</v>
      </c>
      <c r="F35">
        <v>0.91500000000000004</v>
      </c>
      <c r="G35">
        <v>0.9</v>
      </c>
      <c r="H35" t="s">
        <v>356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spans="1:34" x14ac:dyDescent="0.3">
      <c r="A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</row>
    <row r="37" spans="1:34" x14ac:dyDescent="0.3">
      <c r="B37" s="68"/>
    </row>
    <row r="38" spans="1:34" x14ac:dyDescent="0.3">
      <c r="B38" s="68"/>
    </row>
    <row r="39" spans="1:34" x14ac:dyDescent="0.3">
      <c r="B39" s="124" t="s">
        <v>245</v>
      </c>
      <c r="C39" s="31"/>
      <c r="D39" s="31"/>
      <c r="E39" s="31"/>
      <c r="F39" s="31"/>
      <c r="G39" s="31"/>
    </row>
    <row r="40" spans="1:34" x14ac:dyDescent="0.3">
      <c r="B40" s="68"/>
      <c r="C40" s="31" t="s">
        <v>81</v>
      </c>
      <c r="D40" s="31"/>
      <c r="E40" s="31" t="s">
        <v>2</v>
      </c>
    </row>
    <row r="41" spans="1:34" ht="27" x14ac:dyDescent="0.3">
      <c r="B41" s="68" t="s">
        <v>357</v>
      </c>
      <c r="C41" s="19">
        <v>0.1</v>
      </c>
      <c r="D41" s="31"/>
      <c r="E41" s="19">
        <v>0.1</v>
      </c>
    </row>
    <row r="42" spans="1:34" x14ac:dyDescent="0.3">
      <c r="B42" s="68"/>
    </row>
    <row r="43" spans="1:34" x14ac:dyDescent="0.3">
      <c r="B43" s="1" t="s">
        <v>199</v>
      </c>
    </row>
    <row r="44" spans="1:34" x14ac:dyDescent="0.3">
      <c r="C44">
        <v>2019</v>
      </c>
      <c r="D44">
        <v>2020</v>
      </c>
      <c r="E44">
        <v>2021</v>
      </c>
      <c r="F44">
        <v>2022</v>
      </c>
      <c r="G44">
        <v>2023</v>
      </c>
      <c r="H44">
        <v>2024</v>
      </c>
      <c r="I44">
        <v>2025</v>
      </c>
      <c r="J44">
        <v>2026</v>
      </c>
      <c r="K44">
        <v>2027</v>
      </c>
      <c r="L44">
        <v>2028</v>
      </c>
      <c r="M44">
        <v>2029</v>
      </c>
      <c r="N44">
        <v>2030</v>
      </c>
      <c r="O44">
        <v>2031</v>
      </c>
      <c r="P44">
        <v>2032</v>
      </c>
      <c r="Q44">
        <v>2033</v>
      </c>
      <c r="R44">
        <v>2034</v>
      </c>
      <c r="S44">
        <v>2035</v>
      </c>
      <c r="T44">
        <v>2036</v>
      </c>
      <c r="U44">
        <v>2037</v>
      </c>
      <c r="V44">
        <v>2038</v>
      </c>
      <c r="W44">
        <v>2039</v>
      </c>
      <c r="X44">
        <v>2040</v>
      </c>
      <c r="Y44">
        <v>2041</v>
      </c>
      <c r="Z44">
        <v>2042</v>
      </c>
      <c r="AA44">
        <v>2043</v>
      </c>
      <c r="AB44">
        <v>2044</v>
      </c>
      <c r="AC44">
        <v>2045</v>
      </c>
      <c r="AD44">
        <v>2046</v>
      </c>
      <c r="AE44">
        <v>2047</v>
      </c>
      <c r="AF44">
        <v>2048</v>
      </c>
      <c r="AG44">
        <v>2049</v>
      </c>
      <c r="AH44">
        <v>2050</v>
      </c>
    </row>
    <row r="45" spans="1:34" x14ac:dyDescent="0.3">
      <c r="A45" t="s">
        <v>1</v>
      </c>
      <c r="B45" t="s">
        <v>358</v>
      </c>
      <c r="C45" s="71">
        <v>2.8543225266280001</v>
      </c>
      <c r="D45" s="71">
        <v>3.3300429477326698</v>
      </c>
      <c r="E45" s="71">
        <v>3.3100626900462702</v>
      </c>
      <c r="F45" s="71">
        <v>3.4760755249997701</v>
      </c>
      <c r="G45">
        <v>0</v>
      </c>
      <c r="H45">
        <f t="shared" ref="H45:AH45" si="0">G45</f>
        <v>0</v>
      </c>
      <c r="I45">
        <f t="shared" si="0"/>
        <v>0</v>
      </c>
      <c r="J45">
        <f t="shared" si="0"/>
        <v>0</v>
      </c>
      <c r="K45">
        <f t="shared" si="0"/>
        <v>0</v>
      </c>
      <c r="L45">
        <f t="shared" si="0"/>
        <v>0</v>
      </c>
      <c r="M45">
        <f t="shared" si="0"/>
        <v>0</v>
      </c>
      <c r="N45">
        <f t="shared" si="0"/>
        <v>0</v>
      </c>
      <c r="O45">
        <f t="shared" si="0"/>
        <v>0</v>
      </c>
      <c r="P45">
        <f t="shared" si="0"/>
        <v>0</v>
      </c>
      <c r="Q45">
        <f t="shared" si="0"/>
        <v>0</v>
      </c>
      <c r="R45">
        <f t="shared" si="0"/>
        <v>0</v>
      </c>
      <c r="S45">
        <f t="shared" si="0"/>
        <v>0</v>
      </c>
      <c r="T45">
        <f t="shared" si="0"/>
        <v>0</v>
      </c>
      <c r="U45">
        <f t="shared" si="0"/>
        <v>0</v>
      </c>
      <c r="V45">
        <f t="shared" si="0"/>
        <v>0</v>
      </c>
      <c r="W45">
        <f t="shared" si="0"/>
        <v>0</v>
      </c>
      <c r="X45">
        <f t="shared" si="0"/>
        <v>0</v>
      </c>
      <c r="Y45">
        <f t="shared" si="0"/>
        <v>0</v>
      </c>
      <c r="Z45">
        <f t="shared" si="0"/>
        <v>0</v>
      </c>
      <c r="AA45">
        <f t="shared" si="0"/>
        <v>0</v>
      </c>
      <c r="AB45">
        <f t="shared" si="0"/>
        <v>0</v>
      </c>
      <c r="AC45">
        <f t="shared" si="0"/>
        <v>0</v>
      </c>
      <c r="AD45">
        <f t="shared" si="0"/>
        <v>0</v>
      </c>
      <c r="AE45">
        <f t="shared" si="0"/>
        <v>0</v>
      </c>
      <c r="AF45">
        <f t="shared" si="0"/>
        <v>0</v>
      </c>
      <c r="AG45">
        <f t="shared" si="0"/>
        <v>0</v>
      </c>
      <c r="AH45">
        <f t="shared" si="0"/>
        <v>0</v>
      </c>
    </row>
    <row r="46" spans="1:34" x14ac:dyDescent="0.3">
      <c r="B46" s="68"/>
    </row>
    <row r="47" spans="1:34" x14ac:dyDescent="0.3">
      <c r="B47" s="68"/>
    </row>
    <row r="48" spans="1:34" x14ac:dyDescent="0.3">
      <c r="B48" s="68"/>
    </row>
    <row r="49" spans="2:2" x14ac:dyDescent="0.3">
      <c r="B49" s="68"/>
    </row>
    <row r="50" spans="2:2" x14ac:dyDescent="0.3">
      <c r="B50" s="68"/>
    </row>
    <row r="51" spans="2:2" x14ac:dyDescent="0.3">
      <c r="B51" s="68"/>
    </row>
    <row r="52" spans="2:2" x14ac:dyDescent="0.3">
      <c r="B52" s="68"/>
    </row>
    <row r="53" spans="2:2" x14ac:dyDescent="0.3">
      <c r="B53" s="68"/>
    </row>
    <row r="54" spans="2:2" x14ac:dyDescent="0.3">
      <c r="B54" s="68"/>
    </row>
    <row r="55" spans="2:2" x14ac:dyDescent="0.3">
      <c r="B55" s="68"/>
    </row>
    <row r="56" spans="2:2" x14ac:dyDescent="0.3">
      <c r="B56" s="68"/>
    </row>
    <row r="57" spans="2:2" x14ac:dyDescent="0.3">
      <c r="B57" s="68"/>
    </row>
    <row r="58" spans="2:2" x14ac:dyDescent="0.3">
      <c r="B58" s="68"/>
    </row>
    <row r="59" spans="2:2" x14ac:dyDescent="0.3">
      <c r="B59" s="68"/>
    </row>
    <row r="60" spans="2:2" x14ac:dyDescent="0.3">
      <c r="B60" s="68"/>
    </row>
    <row r="61" spans="2:2" x14ac:dyDescent="0.3">
      <c r="B61" s="68"/>
    </row>
    <row r="62" spans="2:2" x14ac:dyDescent="0.3">
      <c r="B62" s="68"/>
    </row>
    <row r="63" spans="2:2" x14ac:dyDescent="0.3">
      <c r="B63" s="68"/>
    </row>
    <row r="64" spans="2:2" x14ac:dyDescent="0.3">
      <c r="B64" s="68"/>
    </row>
    <row r="65" spans="2:2" x14ac:dyDescent="0.3">
      <c r="B65" s="68"/>
    </row>
    <row r="66" spans="2:2" x14ac:dyDescent="0.3">
      <c r="B66" s="68"/>
    </row>
    <row r="67" spans="2:2" x14ac:dyDescent="0.3">
      <c r="B67" s="68"/>
    </row>
    <row r="68" spans="2:2" x14ac:dyDescent="0.3">
      <c r="B68" s="68"/>
    </row>
    <row r="69" spans="2:2" x14ac:dyDescent="0.3">
      <c r="B69" s="68"/>
    </row>
    <row r="70" spans="2:2" x14ac:dyDescent="0.3">
      <c r="B70" s="68"/>
    </row>
    <row r="71" spans="2:2" x14ac:dyDescent="0.3">
      <c r="B71" s="68"/>
    </row>
    <row r="72" spans="2:2" x14ac:dyDescent="0.3">
      <c r="B72" s="68"/>
    </row>
    <row r="73" spans="2:2" x14ac:dyDescent="0.3">
      <c r="B73" s="68"/>
    </row>
    <row r="74" spans="2:2" x14ac:dyDescent="0.3">
      <c r="B74" s="68"/>
    </row>
    <row r="75" spans="2:2" x14ac:dyDescent="0.3">
      <c r="B75" s="68"/>
    </row>
    <row r="76" spans="2:2" x14ac:dyDescent="0.3">
      <c r="B76" s="68"/>
    </row>
    <row r="77" spans="2:2" x14ac:dyDescent="0.3">
      <c r="B77" s="68"/>
    </row>
    <row r="78" spans="2:2" x14ac:dyDescent="0.3">
      <c r="B78" s="68"/>
    </row>
    <row r="79" spans="2:2" x14ac:dyDescent="0.3">
      <c r="B79" s="68"/>
    </row>
    <row r="80" spans="2:2" x14ac:dyDescent="0.3">
      <c r="B80" s="68"/>
    </row>
    <row r="81" spans="2:2" x14ac:dyDescent="0.3">
      <c r="B81" s="68"/>
    </row>
    <row r="82" spans="2:2" x14ac:dyDescent="0.3">
      <c r="B82" s="68"/>
    </row>
  </sheetData>
  <mergeCells count="49">
    <mergeCell ref="B24:E24"/>
    <mergeCell ref="C27:G27"/>
    <mergeCell ref="J27:N27"/>
    <mergeCell ref="Q19:Q20"/>
    <mergeCell ref="R19:U19"/>
    <mergeCell ref="V19:Y19"/>
    <mergeCell ref="C20:F20"/>
    <mergeCell ref="H20:K20"/>
    <mergeCell ref="L20:O20"/>
    <mergeCell ref="R20:U20"/>
    <mergeCell ref="V20:Y20"/>
    <mergeCell ref="C18:F18"/>
    <mergeCell ref="H18:K18"/>
    <mergeCell ref="L18:O18"/>
    <mergeCell ref="C19:F19"/>
    <mergeCell ref="H19:K19"/>
    <mergeCell ref="L19:O19"/>
    <mergeCell ref="B15:B17"/>
    <mergeCell ref="C15:F15"/>
    <mergeCell ref="H15:K15"/>
    <mergeCell ref="L15:O15"/>
    <mergeCell ref="C16:F16"/>
    <mergeCell ref="H16:K16"/>
    <mergeCell ref="L16:O16"/>
    <mergeCell ref="C17:F17"/>
    <mergeCell ref="H17:K17"/>
    <mergeCell ref="L17:O17"/>
    <mergeCell ref="C13:F13"/>
    <mergeCell ref="H13:K13"/>
    <mergeCell ref="L13:O13"/>
    <mergeCell ref="C14:F14"/>
    <mergeCell ref="H14:K14"/>
    <mergeCell ref="L14:O14"/>
    <mergeCell ref="C11:F11"/>
    <mergeCell ref="H11:K11"/>
    <mergeCell ref="L11:O11"/>
    <mergeCell ref="C12:F12"/>
    <mergeCell ref="H12:K12"/>
    <mergeCell ref="L12:O12"/>
    <mergeCell ref="B9:B10"/>
    <mergeCell ref="C9:F9"/>
    <mergeCell ref="L9:O9"/>
    <mergeCell ref="C10:F10"/>
    <mergeCell ref="H10:K10"/>
    <mergeCell ref="L10:O10"/>
    <mergeCell ref="B5:E5"/>
    <mergeCell ref="C8:F8"/>
    <mergeCell ref="H8:K8"/>
    <mergeCell ref="L8:O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&amp;C&amp;"Arial,Normal"&amp;10&amp;A</oddHeader>
    <oddFooter>&amp;C&amp;"Arial,Normal"&amp;10Page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zoomScale="70" zoomScaleNormal="70" workbookViewId="0">
      <selection activeCell="K59" sqref="K59"/>
    </sheetView>
  </sheetViews>
  <sheetFormatPr baseColWidth="10" defaultColWidth="9.21875" defaultRowHeight="14.4" x14ac:dyDescent="0.3"/>
  <cols>
    <col min="1" max="1025" width="8.44140625" customWidth="1"/>
  </cols>
  <sheetData>
    <row r="1" spans="1:31" x14ac:dyDescent="0.3">
      <c r="A1" s="70"/>
    </row>
    <row r="2" spans="1:31" x14ac:dyDescent="0.3">
      <c r="H2" s="246" t="s">
        <v>248</v>
      </c>
      <c r="I2" s="246"/>
      <c r="J2" s="246"/>
      <c r="K2" s="246"/>
    </row>
    <row r="3" spans="1:31" x14ac:dyDescent="0.3">
      <c r="B3" s="238" t="s">
        <v>249</v>
      </c>
      <c r="C3" s="238"/>
      <c r="D3" s="238"/>
      <c r="E3" s="238"/>
      <c r="F3" s="238"/>
    </row>
    <row r="5" spans="1:31" x14ac:dyDescent="0.3">
      <c r="C5" t="s">
        <v>359</v>
      </c>
      <c r="I5" t="s">
        <v>360</v>
      </c>
    </row>
    <row r="6" spans="1:31" x14ac:dyDescent="0.3">
      <c r="A6" t="s">
        <v>43</v>
      </c>
      <c r="B6" s="72" t="s">
        <v>361</v>
      </c>
      <c r="C6" s="72">
        <v>2015</v>
      </c>
      <c r="D6" s="72">
        <v>2016</v>
      </c>
      <c r="E6" s="72">
        <v>2017</v>
      </c>
      <c r="F6" s="72">
        <v>2018</v>
      </c>
      <c r="G6" s="72">
        <v>2019</v>
      </c>
      <c r="I6" s="72">
        <v>2015</v>
      </c>
      <c r="J6" s="72">
        <v>2020</v>
      </c>
    </row>
    <row r="7" spans="1:31" x14ac:dyDescent="0.3">
      <c r="B7" s="72" t="s">
        <v>362</v>
      </c>
      <c r="C7" s="74">
        <v>22.872827718868798</v>
      </c>
      <c r="D7" s="74">
        <v>22.866386623005301</v>
      </c>
      <c r="E7" s="74">
        <v>22.946108850038499</v>
      </c>
      <c r="F7" s="74">
        <v>23.061000824742301</v>
      </c>
      <c r="G7" s="74">
        <v>23.066065485637299</v>
      </c>
      <c r="I7" s="74">
        <v>22.303103038720099</v>
      </c>
      <c r="J7" s="74">
        <v>21.8385150295858</v>
      </c>
    </row>
    <row r="8" spans="1:31" x14ac:dyDescent="0.3">
      <c r="B8" s="72" t="s">
        <v>260</v>
      </c>
      <c r="C8" s="74">
        <v>11.2784342315692</v>
      </c>
      <c r="D8" s="74">
        <v>11.3172030155824</v>
      </c>
      <c r="E8" s="74">
        <v>11.3054318645052</v>
      </c>
      <c r="F8" s="74">
        <v>11.3503932511468</v>
      </c>
      <c r="G8" s="74">
        <v>11.3608119386609</v>
      </c>
      <c r="I8" s="74">
        <v>11.0898383791216</v>
      </c>
      <c r="J8" s="74">
        <v>10.8136400768269</v>
      </c>
    </row>
    <row r="9" spans="1:31" x14ac:dyDescent="0.3">
      <c r="B9" s="72" t="s">
        <v>363</v>
      </c>
      <c r="C9" s="74">
        <v>71.376116837789795</v>
      </c>
      <c r="D9" s="74">
        <v>71.575718786025107</v>
      </c>
      <c r="E9" s="74">
        <v>71.878036951387898</v>
      </c>
      <c r="F9" s="74">
        <v>72.526878677207094</v>
      </c>
      <c r="G9" s="74">
        <v>71.6676788134492</v>
      </c>
      <c r="I9" s="74">
        <v>61.295561262873903</v>
      </c>
      <c r="J9" s="74">
        <v>60.156780270982402</v>
      </c>
    </row>
    <row r="10" spans="1:31" x14ac:dyDescent="0.3">
      <c r="B10" s="72" t="s">
        <v>364</v>
      </c>
      <c r="C10" s="74">
        <v>20.302609541528899</v>
      </c>
      <c r="D10" s="74">
        <v>20.749526128889499</v>
      </c>
      <c r="E10" s="74">
        <v>21.155494277294402</v>
      </c>
      <c r="F10" s="74">
        <v>21.6902098428695</v>
      </c>
      <c r="G10" s="74">
        <v>22.081637858522999</v>
      </c>
      <c r="I10" s="74"/>
      <c r="J10" s="74">
        <v>26.442059291257799</v>
      </c>
    </row>
    <row r="12" spans="1:31" x14ac:dyDescent="0.3">
      <c r="A12" t="s">
        <v>1</v>
      </c>
      <c r="B12" s="72" t="s">
        <v>361</v>
      </c>
      <c r="C12" s="72">
        <v>2020</v>
      </c>
      <c r="D12" s="72">
        <f t="shared" ref="D12:I12" si="0">C12+5</f>
        <v>2025</v>
      </c>
      <c r="E12" s="72">
        <f t="shared" si="0"/>
        <v>2030</v>
      </c>
      <c r="F12" s="72">
        <f t="shared" si="0"/>
        <v>2035</v>
      </c>
      <c r="G12" s="72">
        <f t="shared" si="0"/>
        <v>2040</v>
      </c>
      <c r="H12" s="72">
        <f t="shared" si="0"/>
        <v>2045</v>
      </c>
      <c r="I12" s="72">
        <f t="shared" si="0"/>
        <v>2050</v>
      </c>
      <c r="L12" t="s">
        <v>2</v>
      </c>
      <c r="M12" t="s">
        <v>255</v>
      </c>
      <c r="P12">
        <v>2030</v>
      </c>
      <c r="Q12">
        <v>2050</v>
      </c>
    </row>
    <row r="13" spans="1:31" x14ac:dyDescent="0.3">
      <c r="B13" s="72" t="s">
        <v>362</v>
      </c>
      <c r="C13" s="74">
        <v>23</v>
      </c>
      <c r="D13" s="74">
        <v>23</v>
      </c>
      <c r="E13" s="74">
        <v>23</v>
      </c>
      <c r="F13" s="74">
        <f>(E13+G13)/2</f>
        <v>22.682296583231341</v>
      </c>
      <c r="G13" s="74">
        <f>(E13+I13)/2</f>
        <v>22.364593166462679</v>
      </c>
      <c r="H13" s="74">
        <f>(G13+I13)/2</f>
        <v>22.046889749694017</v>
      </c>
      <c r="I13" s="74">
        <f>C7*0.95</f>
        <v>21.729186332925359</v>
      </c>
      <c r="J13" t="s">
        <v>365</v>
      </c>
      <c r="M13" t="s">
        <v>258</v>
      </c>
      <c r="P13" s="19">
        <v>0</v>
      </c>
      <c r="Q13" s="19">
        <v>-0.05</v>
      </c>
    </row>
    <row r="14" spans="1:31" x14ac:dyDescent="0.3">
      <c r="B14" s="72" t="s">
        <v>260</v>
      </c>
      <c r="C14" s="74">
        <v>11.4</v>
      </c>
      <c r="D14" s="74">
        <f t="shared" ref="D14:H15" si="1">C14+($I14-$C14)/6</f>
        <v>11.59</v>
      </c>
      <c r="E14" s="74">
        <f t="shared" si="1"/>
        <v>11.78</v>
      </c>
      <c r="F14" s="74">
        <f t="shared" si="1"/>
        <v>11.969999999999999</v>
      </c>
      <c r="G14" s="74">
        <f t="shared" si="1"/>
        <v>12.159999999999998</v>
      </c>
      <c r="H14" s="74">
        <f t="shared" si="1"/>
        <v>12.349999999999998</v>
      </c>
      <c r="I14" s="74">
        <f>C14*1.1</f>
        <v>12.540000000000001</v>
      </c>
      <c r="J14" t="s">
        <v>366</v>
      </c>
      <c r="M14" t="s">
        <v>282</v>
      </c>
      <c r="P14" s="19">
        <v>0</v>
      </c>
      <c r="Q14" s="19">
        <v>0</v>
      </c>
    </row>
    <row r="15" spans="1:31" x14ac:dyDescent="0.3">
      <c r="B15" s="72" t="s">
        <v>363</v>
      </c>
      <c r="C15" s="74">
        <v>71.7</v>
      </c>
      <c r="D15" s="74">
        <f t="shared" si="1"/>
        <v>71.102500000000006</v>
      </c>
      <c r="E15" s="74">
        <f t="shared" si="1"/>
        <v>70.50500000000001</v>
      </c>
      <c r="F15" s="74">
        <f t="shared" si="1"/>
        <v>69.907500000000013</v>
      </c>
      <c r="G15" s="74">
        <f t="shared" si="1"/>
        <v>69.310000000000016</v>
      </c>
      <c r="H15" s="74">
        <f t="shared" si="1"/>
        <v>68.71250000000002</v>
      </c>
      <c r="I15" s="74">
        <f>C15*0.95</f>
        <v>68.114999999999995</v>
      </c>
      <c r="J15" t="s">
        <v>367</v>
      </c>
      <c r="M15" t="s">
        <v>262</v>
      </c>
      <c r="P15" s="19">
        <v>-0.05</v>
      </c>
      <c r="Q15" s="19">
        <v>-0.04</v>
      </c>
    </row>
    <row r="16" spans="1:31" x14ac:dyDescent="0.3">
      <c r="B16" s="72" t="s">
        <v>364</v>
      </c>
      <c r="C16" s="72"/>
      <c r="D16" s="72"/>
      <c r="E16" s="72"/>
      <c r="F16" s="72"/>
      <c r="G16" s="72"/>
      <c r="H16" s="72"/>
      <c r="I16" s="72"/>
      <c r="M16" t="s">
        <v>364</v>
      </c>
      <c r="P16" s="19">
        <v>0.15</v>
      </c>
      <c r="Q16" s="19">
        <v>0.2</v>
      </c>
      <c r="AE16" s="31" t="s">
        <v>299</v>
      </c>
    </row>
    <row r="17" spans="1:32" x14ac:dyDescent="0.3">
      <c r="AE17" s="31" t="s">
        <v>110</v>
      </c>
      <c r="AF17" t="s">
        <v>368</v>
      </c>
    </row>
    <row r="18" spans="1:32" x14ac:dyDescent="0.3">
      <c r="B18" t="s">
        <v>29</v>
      </c>
      <c r="D18">
        <v>2020</v>
      </c>
      <c r="E18">
        <f>D18+5</f>
        <v>2025</v>
      </c>
      <c r="F18">
        <f>E18+5</f>
        <v>2030</v>
      </c>
      <c r="G18">
        <v>2050</v>
      </c>
      <c r="L18" s="227" t="s">
        <v>34</v>
      </c>
      <c r="M18" s="227"/>
      <c r="N18" s="227" t="s">
        <v>35</v>
      </c>
      <c r="O18" s="227"/>
      <c r="P18" s="227" t="s">
        <v>36</v>
      </c>
      <c r="Q18" s="227"/>
      <c r="R18" s="227" t="s">
        <v>37</v>
      </c>
      <c r="S18" s="227"/>
      <c r="U18" s="3" t="s">
        <v>361</v>
      </c>
      <c r="V18" s="3">
        <v>2015</v>
      </c>
      <c r="W18" s="3">
        <v>2020</v>
      </c>
      <c r="X18" s="3">
        <f t="shared" ref="X18:AC18" si="2">W18+5</f>
        <v>2025</v>
      </c>
      <c r="Y18" s="3">
        <f t="shared" si="2"/>
        <v>2030</v>
      </c>
      <c r="Z18" s="3">
        <f t="shared" si="2"/>
        <v>2035</v>
      </c>
      <c r="AA18" s="3">
        <f t="shared" si="2"/>
        <v>2040</v>
      </c>
      <c r="AB18" s="3">
        <f t="shared" si="2"/>
        <v>2045</v>
      </c>
      <c r="AC18" s="3">
        <f t="shared" si="2"/>
        <v>2050</v>
      </c>
    </row>
    <row r="19" spans="1:32" x14ac:dyDescent="0.3">
      <c r="C19" t="s">
        <v>251</v>
      </c>
      <c r="D19">
        <v>23.8</v>
      </c>
      <c r="E19">
        <v>23.7</v>
      </c>
      <c r="F19">
        <v>22.9</v>
      </c>
      <c r="G19">
        <v>16.399999999999999</v>
      </c>
      <c r="I19" t="s">
        <v>131</v>
      </c>
      <c r="J19" s="72" t="s">
        <v>361</v>
      </c>
      <c r="K19">
        <v>2015</v>
      </c>
      <c r="L19">
        <v>2030</v>
      </c>
      <c r="M19">
        <v>2050</v>
      </c>
      <c r="N19">
        <v>2030</v>
      </c>
      <c r="O19">
        <v>2050</v>
      </c>
      <c r="P19">
        <v>2030</v>
      </c>
      <c r="Q19">
        <v>2050</v>
      </c>
      <c r="R19">
        <v>2030</v>
      </c>
      <c r="S19">
        <v>2050</v>
      </c>
      <c r="U19" s="3" t="s">
        <v>364</v>
      </c>
      <c r="V19" s="125">
        <v>13.858088763558699</v>
      </c>
      <c r="W19" s="125">
        <v>13.431073040269601</v>
      </c>
      <c r="X19" s="125">
        <v>12.6683908081416</v>
      </c>
      <c r="Y19" s="125">
        <v>11.978387396464401</v>
      </c>
      <c r="Z19" s="125">
        <v>11.3296102049346</v>
      </c>
      <c r="AA19" s="125">
        <v>10.7059016742824</v>
      </c>
      <c r="AB19" s="125">
        <v>10.0819143640287</v>
      </c>
      <c r="AC19" s="125">
        <v>9.4918480460956491</v>
      </c>
    </row>
    <row r="20" spans="1:32" x14ac:dyDescent="0.3">
      <c r="C20" t="s">
        <v>252</v>
      </c>
      <c r="D20">
        <v>15.2</v>
      </c>
      <c r="E20">
        <v>15.1</v>
      </c>
      <c r="F20">
        <v>15</v>
      </c>
      <c r="G20">
        <v>13.7</v>
      </c>
      <c r="J20" t="s">
        <v>258</v>
      </c>
      <c r="K20">
        <v>22</v>
      </c>
      <c r="L20">
        <v>18</v>
      </c>
      <c r="M20">
        <v>11</v>
      </c>
      <c r="N20">
        <v>19</v>
      </c>
      <c r="O20">
        <v>15</v>
      </c>
      <c r="P20">
        <v>20</v>
      </c>
      <c r="Q20">
        <v>17</v>
      </c>
      <c r="R20">
        <v>22</v>
      </c>
      <c r="S20">
        <v>21</v>
      </c>
      <c r="U20" s="3" t="s">
        <v>362</v>
      </c>
      <c r="V20" s="125">
        <v>24.093226210580301</v>
      </c>
      <c r="W20" s="125">
        <v>23.191239548752101</v>
      </c>
      <c r="X20" s="125">
        <v>21.7699369405818</v>
      </c>
      <c r="Y20" s="125">
        <v>18.140983609579099</v>
      </c>
      <c r="Z20" s="125">
        <v>12.699546984096299</v>
      </c>
      <c r="AA20" s="125">
        <v>9.2987919595210506</v>
      </c>
      <c r="AB20" s="125">
        <v>8.0409923304662705</v>
      </c>
      <c r="AC20" s="125">
        <v>7.5641161751548598</v>
      </c>
    </row>
    <row r="21" spans="1:32" x14ac:dyDescent="0.3">
      <c r="C21" t="s">
        <v>263</v>
      </c>
      <c r="D21">
        <v>23.4</v>
      </c>
      <c r="E21">
        <v>19.399999999999999</v>
      </c>
      <c r="F21">
        <v>15.3</v>
      </c>
      <c r="G21">
        <v>9.8000000000000007</v>
      </c>
      <c r="J21" t="s">
        <v>260</v>
      </c>
      <c r="K21">
        <v>11</v>
      </c>
      <c r="L21">
        <v>10</v>
      </c>
      <c r="M21">
        <v>8</v>
      </c>
      <c r="N21">
        <v>10</v>
      </c>
      <c r="O21">
        <v>8</v>
      </c>
      <c r="P21">
        <v>10</v>
      </c>
      <c r="Q21">
        <v>8</v>
      </c>
      <c r="R21">
        <v>10</v>
      </c>
      <c r="S21">
        <v>8</v>
      </c>
      <c r="U21" s="3" t="s">
        <v>260</v>
      </c>
      <c r="V21" s="125">
        <v>8.9749615982581492</v>
      </c>
      <c r="W21" s="125">
        <v>9.0458621775000001</v>
      </c>
      <c r="X21" s="125">
        <v>8.1053636415832493</v>
      </c>
      <c r="Y21" s="125">
        <v>7.5127388379789402</v>
      </c>
      <c r="Z21" s="125">
        <v>6.9825806803564703</v>
      </c>
      <c r="AA21" s="125">
        <v>6.5200187936538798</v>
      </c>
      <c r="AB21" s="125">
        <v>6.2059559775700297</v>
      </c>
      <c r="AC21" s="125">
        <v>5.9616571182789997</v>
      </c>
    </row>
    <row r="22" spans="1:32" x14ac:dyDescent="0.3">
      <c r="C22" t="s">
        <v>253</v>
      </c>
      <c r="D22">
        <v>46.7</v>
      </c>
      <c r="E22">
        <v>46.4</v>
      </c>
      <c r="F22">
        <v>45.9</v>
      </c>
      <c r="G22">
        <v>42.9</v>
      </c>
      <c r="J22" t="s">
        <v>262</v>
      </c>
      <c r="K22">
        <v>61</v>
      </c>
      <c r="L22">
        <v>53</v>
      </c>
      <c r="M22">
        <v>43</v>
      </c>
      <c r="N22">
        <v>53</v>
      </c>
      <c r="O22">
        <v>43</v>
      </c>
      <c r="P22">
        <v>55</v>
      </c>
      <c r="Q22">
        <v>46</v>
      </c>
      <c r="R22">
        <v>55</v>
      </c>
      <c r="S22">
        <v>49</v>
      </c>
      <c r="U22" s="3" t="s">
        <v>363</v>
      </c>
      <c r="V22" s="125">
        <v>64.585579801064895</v>
      </c>
      <c r="W22" s="125">
        <v>57.716675851170898</v>
      </c>
      <c r="X22" s="125">
        <v>51.9900555768942</v>
      </c>
      <c r="Y22" s="125">
        <v>47.007451639583003</v>
      </c>
      <c r="Z22" s="125">
        <v>42.599124332702601</v>
      </c>
      <c r="AA22" s="125">
        <v>38.902948926186497</v>
      </c>
      <c r="AB22" s="125">
        <v>35.663141297341298</v>
      </c>
      <c r="AC22" s="125">
        <v>33.271600806753497</v>
      </c>
    </row>
    <row r="23" spans="1:32" x14ac:dyDescent="0.3">
      <c r="M23" t="s">
        <v>254</v>
      </c>
      <c r="N23">
        <v>21.4</v>
      </c>
      <c r="O23">
        <v>20.9</v>
      </c>
      <c r="P23">
        <v>24.9</v>
      </c>
      <c r="Q23">
        <v>29.9</v>
      </c>
    </row>
    <row r="27" spans="1:32" x14ac:dyDescent="0.3">
      <c r="B27" s="238" t="s">
        <v>264</v>
      </c>
      <c r="C27" s="238"/>
      <c r="D27" s="238"/>
      <c r="E27" s="238"/>
      <c r="F27" s="238"/>
      <c r="I27" s="70" t="s">
        <v>265</v>
      </c>
    </row>
    <row r="28" spans="1:32" x14ac:dyDescent="0.3">
      <c r="I28" s="70" t="s">
        <v>266</v>
      </c>
    </row>
    <row r="29" spans="1:32" x14ac:dyDescent="0.3">
      <c r="B29" s="1" t="s">
        <v>43</v>
      </c>
      <c r="D29" t="s">
        <v>369</v>
      </c>
    </row>
    <row r="30" spans="1:32" x14ac:dyDescent="0.3">
      <c r="B30" s="1"/>
    </row>
    <row r="31" spans="1:32" x14ac:dyDescent="0.3">
      <c r="C31" s="24" t="s">
        <v>57</v>
      </c>
      <c r="D31" s="24" t="s">
        <v>287</v>
      </c>
      <c r="E31" s="24" t="s">
        <v>370</v>
      </c>
      <c r="F31" s="24" t="s">
        <v>61</v>
      </c>
      <c r="G31" s="24" t="s">
        <v>371</v>
      </c>
      <c r="H31" s="24" t="s">
        <v>372</v>
      </c>
    </row>
    <row r="32" spans="1:32" x14ac:dyDescent="0.3">
      <c r="A32" s="233" t="s">
        <v>294</v>
      </c>
      <c r="B32" s="24">
        <v>2015</v>
      </c>
      <c r="C32" s="26">
        <v>0.30425000206643299</v>
      </c>
      <c r="D32" s="26">
        <v>0.47337470608240401</v>
      </c>
      <c r="E32" s="26">
        <v>0.13248493361541699</v>
      </c>
      <c r="F32" s="26">
        <v>1.84643270906788E-2</v>
      </c>
      <c r="G32" s="26">
        <v>6.5425304086609903E-2</v>
      </c>
      <c r="H32" s="26">
        <v>6.00072705845769E-3</v>
      </c>
      <c r="J32" s="19"/>
    </row>
    <row r="33" spans="1:26" x14ac:dyDescent="0.3">
      <c r="A33" s="233"/>
      <c r="B33" s="24">
        <v>2016</v>
      </c>
      <c r="C33" s="26">
        <v>0.30468138479638901</v>
      </c>
      <c r="D33" s="26">
        <v>0.47422962541224001</v>
      </c>
      <c r="E33" s="26">
        <v>0.13120480232456</v>
      </c>
      <c r="F33" s="26">
        <v>1.8285916140630801E-2</v>
      </c>
      <c r="G33" s="26">
        <v>6.5611151723578995E-2</v>
      </c>
      <c r="H33" s="26">
        <v>5.9871196026003897E-3</v>
      </c>
      <c r="J33" s="19"/>
    </row>
    <row r="34" spans="1:26" x14ac:dyDescent="0.3">
      <c r="A34" s="233"/>
      <c r="B34" s="24">
        <v>2017</v>
      </c>
      <c r="C34" s="26">
        <v>0.303203493418298</v>
      </c>
      <c r="D34" s="26">
        <v>0.47518894650518401</v>
      </c>
      <c r="E34" s="26">
        <v>0.13122172628082901</v>
      </c>
      <c r="F34" s="26">
        <v>1.8288274819883502E-2</v>
      </c>
      <c r="G34" s="26">
        <v>6.6077012732826707E-2</v>
      </c>
      <c r="H34" s="26">
        <v>6.0205462429781904E-3</v>
      </c>
      <c r="J34" s="19"/>
    </row>
    <row r="35" spans="1:26" x14ac:dyDescent="0.3">
      <c r="A35" s="233"/>
      <c r="B35" s="24">
        <v>2018</v>
      </c>
      <c r="C35" s="26">
        <v>0.303789552686068</v>
      </c>
      <c r="D35" s="26">
        <v>0.47639903080898699</v>
      </c>
      <c r="E35" s="26">
        <v>0.12946196260324</v>
      </c>
      <c r="F35" s="26">
        <v>1.8718286286510798E-2</v>
      </c>
      <c r="G35" s="26">
        <v>6.5281900901561898E-2</v>
      </c>
      <c r="H35" s="26">
        <v>6.3492667136329003E-3</v>
      </c>
      <c r="J35" s="19"/>
    </row>
    <row r="36" spans="1:26" x14ac:dyDescent="0.3">
      <c r="A36" s="233"/>
      <c r="B36" s="24">
        <v>2019</v>
      </c>
      <c r="C36" s="26">
        <v>0.30436996905591901</v>
      </c>
      <c r="D36" s="26">
        <v>0.47559495085709802</v>
      </c>
      <c r="E36" s="26">
        <v>0.12951810100427399</v>
      </c>
      <c r="F36" s="26">
        <v>1.9209543463861799E-2</v>
      </c>
      <c r="G36" s="26">
        <v>6.5264849886637902E-2</v>
      </c>
      <c r="H36" s="26">
        <v>6.0425857322091497E-3</v>
      </c>
      <c r="J36" s="19"/>
    </row>
    <row r="37" spans="1:26" x14ac:dyDescent="0.3">
      <c r="A37" s="233" t="s">
        <v>297</v>
      </c>
      <c r="B37" s="24">
        <v>2015</v>
      </c>
      <c r="C37" s="26">
        <v>0.37924298730601702</v>
      </c>
      <c r="D37" s="26">
        <v>0.49176796189081701</v>
      </c>
      <c r="E37" s="26">
        <v>6.5631883011703102E-3</v>
      </c>
      <c r="F37" s="26">
        <v>0.116301327704287</v>
      </c>
      <c r="G37" s="24"/>
      <c r="H37" s="26">
        <v>6.1245347977083101E-3</v>
      </c>
    </row>
    <row r="38" spans="1:26" x14ac:dyDescent="0.3">
      <c r="A38" s="233"/>
      <c r="B38" s="24">
        <v>2016</v>
      </c>
      <c r="C38" s="26">
        <v>0.38069456709482202</v>
      </c>
      <c r="D38" s="26">
        <v>0.49141195598788001</v>
      </c>
      <c r="E38" s="26">
        <v>6.5075874811472596E-3</v>
      </c>
      <c r="F38" s="26">
        <v>0.115316067356207</v>
      </c>
      <c r="G38" s="24"/>
      <c r="H38" s="26">
        <v>6.0698220799446298E-3</v>
      </c>
    </row>
    <row r="39" spans="1:26" x14ac:dyDescent="0.3">
      <c r="A39" s="233"/>
      <c r="B39" s="24">
        <v>2017</v>
      </c>
      <c r="C39" s="26">
        <v>0.38055301937458003</v>
      </c>
      <c r="D39" s="26">
        <v>0.49143380316870799</v>
      </c>
      <c r="E39" s="26">
        <v>6.5137064741819699E-3</v>
      </c>
      <c r="F39" s="26">
        <v>0.11542449743340299</v>
      </c>
      <c r="G39" s="24"/>
      <c r="H39" s="26">
        <v>6.0749735491265099E-3</v>
      </c>
    </row>
    <row r="40" spans="1:26" x14ac:dyDescent="0.3">
      <c r="A40" s="233"/>
      <c r="B40" s="24">
        <v>2018</v>
      </c>
      <c r="C40" s="26">
        <v>0.38337627494545901</v>
      </c>
      <c r="D40" s="26">
        <v>0.48989325065167499</v>
      </c>
      <c r="E40" s="26">
        <v>6.3939725312840597E-3</v>
      </c>
      <c r="F40" s="26">
        <v>0.11431967677653899</v>
      </c>
      <c r="G40" s="24"/>
      <c r="H40" s="26">
        <v>6.0168250950424001E-3</v>
      </c>
    </row>
    <row r="41" spans="1:26" x14ac:dyDescent="0.3">
      <c r="A41" s="233"/>
      <c r="B41" s="24">
        <v>2019</v>
      </c>
      <c r="C41" s="26">
        <v>0.381458947958563</v>
      </c>
      <c r="D41" s="26">
        <v>0.49084803596181698</v>
      </c>
      <c r="E41" s="26">
        <v>6.5151411670806804E-3</v>
      </c>
      <c r="F41" s="26">
        <v>0.11511449173079299</v>
      </c>
      <c r="G41" s="24"/>
      <c r="H41" s="26">
        <v>6.0633831817471602E-3</v>
      </c>
    </row>
    <row r="43" spans="1:26" x14ac:dyDescent="0.3">
      <c r="B43" s="1" t="s">
        <v>1</v>
      </c>
    </row>
    <row r="44" spans="1:26" x14ac:dyDescent="0.3">
      <c r="C44" s="72" t="s">
        <v>373</v>
      </c>
      <c r="D44" s="72" t="s">
        <v>272</v>
      </c>
      <c r="E44" s="72" t="s">
        <v>118</v>
      </c>
      <c r="F44" s="72" t="s">
        <v>273</v>
      </c>
      <c r="G44" s="72" t="s">
        <v>74</v>
      </c>
      <c r="H44" s="72" t="s">
        <v>275</v>
      </c>
      <c r="I44" s="72" t="s">
        <v>276</v>
      </c>
      <c r="M44" s="126"/>
      <c r="N44" s="127"/>
      <c r="O44" s="127"/>
      <c r="P44" s="127"/>
    </row>
    <row r="45" spans="1:26" ht="12.75" customHeight="1" x14ac:dyDescent="0.3">
      <c r="A45" s="230" t="s">
        <v>294</v>
      </c>
      <c r="B45" s="24">
        <v>2020</v>
      </c>
      <c r="C45" s="34">
        <v>0.30499999999999999</v>
      </c>
      <c r="D45" s="34">
        <v>0.47599999999999998</v>
      </c>
      <c r="E45" s="34"/>
      <c r="F45" s="34">
        <v>0.14799999999999999</v>
      </c>
      <c r="G45" s="34">
        <v>6.0000000000000001E-3</v>
      </c>
      <c r="H45" s="34">
        <v>6.5000000000000002E-2</v>
      </c>
      <c r="I45" s="34"/>
      <c r="K45" s="19"/>
      <c r="M45" s="19"/>
      <c r="P45" t="s">
        <v>2</v>
      </c>
      <c r="R45" t="s">
        <v>271</v>
      </c>
      <c r="S45" t="s">
        <v>272</v>
      </c>
      <c r="T45" t="s">
        <v>118</v>
      </c>
      <c r="U45" t="s">
        <v>273</v>
      </c>
      <c r="V45" t="s">
        <v>74</v>
      </c>
      <c r="W45" t="s">
        <v>274</v>
      </c>
      <c r="X45" t="s">
        <v>275</v>
      </c>
      <c r="Y45" t="s">
        <v>276</v>
      </c>
      <c r="Z45" t="s">
        <v>277</v>
      </c>
    </row>
    <row r="46" spans="1:26" x14ac:dyDescent="0.3">
      <c r="A46" s="230"/>
      <c r="B46" s="72">
        <f t="shared" ref="B46:B51" si="3">B45+5</f>
        <v>2025</v>
      </c>
      <c r="C46" s="34">
        <f>(C45+C47)/2</f>
        <v>0.36249999999999999</v>
      </c>
      <c r="D46" s="34">
        <f>(D45+D47)/2</f>
        <v>0.45899999999999996</v>
      </c>
      <c r="E46" s="34"/>
      <c r="F46" s="34">
        <f>(F45+F47)/2</f>
        <v>9.9000000000000005E-2</v>
      </c>
      <c r="G46" s="34">
        <f>(G45+G47)/2</f>
        <v>7.0000000000000001E-3</v>
      </c>
      <c r="H46" s="34">
        <f>(H45+H47)/2</f>
        <v>7.2500000000000009E-2</v>
      </c>
      <c r="I46" s="34"/>
      <c r="K46" s="19"/>
      <c r="P46" s="233" t="s">
        <v>294</v>
      </c>
      <c r="Q46" s="72">
        <v>2015</v>
      </c>
      <c r="R46" s="26">
        <v>0.3</v>
      </c>
      <c r="S46" s="26">
        <v>0.34</v>
      </c>
      <c r="T46" s="26">
        <v>0.04</v>
      </c>
      <c r="U46" s="26">
        <v>0.1</v>
      </c>
      <c r="V46" s="26">
        <v>0</v>
      </c>
      <c r="W46" s="26">
        <v>0.05</v>
      </c>
      <c r="X46" s="26">
        <v>0.05</v>
      </c>
      <c r="Y46" s="26">
        <v>0.04</v>
      </c>
      <c r="Z46" s="26">
        <v>7.0000000000000007E-2</v>
      </c>
    </row>
    <row r="47" spans="1:26" x14ac:dyDescent="0.3">
      <c r="A47" s="230"/>
      <c r="B47" s="72">
        <f t="shared" si="3"/>
        <v>2030</v>
      </c>
      <c r="C47" s="34">
        <v>0.42</v>
      </c>
      <c r="D47" s="34">
        <v>0.442</v>
      </c>
      <c r="E47" s="34"/>
      <c r="F47" s="34">
        <v>0.05</v>
      </c>
      <c r="G47" s="34">
        <v>8.0000000000000002E-3</v>
      </c>
      <c r="H47" s="34">
        <v>0.08</v>
      </c>
      <c r="I47" s="34"/>
      <c r="K47" s="19"/>
      <c r="P47" s="233"/>
      <c r="Q47" s="72">
        <v>2030</v>
      </c>
      <c r="R47" s="26">
        <v>0.32</v>
      </c>
      <c r="S47" s="26">
        <v>0.32</v>
      </c>
      <c r="T47" s="26">
        <v>0</v>
      </c>
      <c r="U47" s="26">
        <v>0.02</v>
      </c>
      <c r="V47" s="26">
        <v>0</v>
      </c>
      <c r="W47" s="26">
        <v>0.15</v>
      </c>
      <c r="X47" s="26">
        <v>0.06</v>
      </c>
      <c r="Y47" s="26">
        <v>0.05</v>
      </c>
      <c r="Z47" s="26">
        <v>0.08</v>
      </c>
    </row>
    <row r="48" spans="1:26" x14ac:dyDescent="0.3">
      <c r="A48" s="230"/>
      <c r="B48" s="72">
        <f t="shared" si="3"/>
        <v>2035</v>
      </c>
      <c r="C48" s="34">
        <f>(C47+C49)/2</f>
        <v>0.46499999999999997</v>
      </c>
      <c r="D48" s="34">
        <f>(D47+D49)/2</f>
        <v>0.40900000000000003</v>
      </c>
      <c r="E48" s="34"/>
      <c r="F48" s="34">
        <f>(F47+F49)/2</f>
        <v>3.7500000000000006E-2</v>
      </c>
      <c r="G48" s="34">
        <f>(G47+G49)/2</f>
        <v>8.5000000000000006E-3</v>
      </c>
      <c r="H48" s="34">
        <f>(H47+H49)/2</f>
        <v>0.08</v>
      </c>
      <c r="I48" s="34"/>
      <c r="K48" s="19"/>
      <c r="P48" s="233"/>
      <c r="Q48" s="72">
        <v>2050</v>
      </c>
      <c r="R48" s="26">
        <v>0.32</v>
      </c>
      <c r="S48" s="26">
        <v>0.25</v>
      </c>
      <c r="T48" s="26">
        <v>0</v>
      </c>
      <c r="U48" s="26">
        <v>0</v>
      </c>
      <c r="V48" s="26">
        <v>0</v>
      </c>
      <c r="W48" s="26">
        <v>0.24</v>
      </c>
      <c r="X48" s="72">
        <v>6</v>
      </c>
      <c r="Y48" s="26">
        <v>0.05</v>
      </c>
      <c r="Z48" s="26">
        <v>0.08</v>
      </c>
    </row>
    <row r="49" spans="1:30" x14ac:dyDescent="0.3">
      <c r="A49" s="230"/>
      <c r="B49" s="72">
        <f t="shared" si="3"/>
        <v>2040</v>
      </c>
      <c r="C49" s="34">
        <f>(C47+C51)/2</f>
        <v>0.51</v>
      </c>
      <c r="D49" s="34">
        <f>(D47+D51)/2</f>
        <v>0.376</v>
      </c>
      <c r="E49" s="34"/>
      <c r="F49" s="34">
        <f>(F47+F51)/2</f>
        <v>2.5000000000000001E-2</v>
      </c>
      <c r="G49" s="34">
        <f>(G47+G51)/2</f>
        <v>9.0000000000000011E-3</v>
      </c>
      <c r="H49" s="34">
        <f>(H47+H51)/2</f>
        <v>0.08</v>
      </c>
      <c r="I49" s="34"/>
      <c r="K49" s="19"/>
    </row>
    <row r="50" spans="1:30" ht="12.75" customHeight="1" x14ac:dyDescent="0.3">
      <c r="A50" s="230"/>
      <c r="B50" s="72">
        <f t="shared" si="3"/>
        <v>2045</v>
      </c>
      <c r="C50" s="34">
        <f>(C49+C51)/2</f>
        <v>0.55499999999999994</v>
      </c>
      <c r="D50" s="34">
        <f>(D49+D51)/2</f>
        <v>0.34299999999999997</v>
      </c>
      <c r="E50" s="34"/>
      <c r="F50" s="34">
        <f>(F49+F51)/2</f>
        <v>1.2500000000000001E-2</v>
      </c>
      <c r="G50" s="34">
        <f>(G49+G51)/2</f>
        <v>9.5000000000000015E-3</v>
      </c>
      <c r="H50" s="34">
        <f>(H49+H51)/2</f>
        <v>0.08</v>
      </c>
      <c r="I50" s="34"/>
      <c r="K50" s="19"/>
      <c r="P50" s="230" t="s">
        <v>296</v>
      </c>
      <c r="Q50" s="72">
        <v>2015</v>
      </c>
      <c r="R50" s="26">
        <v>0.62</v>
      </c>
      <c r="S50" s="26">
        <v>0.28000000000000003</v>
      </c>
      <c r="T50" s="72"/>
      <c r="U50" s="26">
        <v>0.1</v>
      </c>
      <c r="V50" s="72"/>
      <c r="W50" s="26"/>
      <c r="X50" s="72"/>
      <c r="Y50" s="72"/>
      <c r="Z50" s="72"/>
    </row>
    <row r="51" spans="1:30" x14ac:dyDescent="0.3">
      <c r="A51" s="230"/>
      <c r="B51" s="72">
        <f t="shared" si="3"/>
        <v>2050</v>
      </c>
      <c r="C51" s="34">
        <v>0.6</v>
      </c>
      <c r="D51" s="34">
        <v>0.31</v>
      </c>
      <c r="E51" s="34"/>
      <c r="F51" s="34">
        <v>0</v>
      </c>
      <c r="G51" s="34">
        <v>0.01</v>
      </c>
      <c r="H51" s="34">
        <v>0.08</v>
      </c>
      <c r="I51" s="34"/>
      <c r="K51" s="19"/>
      <c r="P51" s="230"/>
      <c r="Q51" s="72">
        <v>2030</v>
      </c>
      <c r="R51" s="26">
        <v>0.62</v>
      </c>
      <c r="S51" s="26">
        <v>0.28000000000000003</v>
      </c>
      <c r="T51" s="72"/>
      <c r="U51" s="26">
        <v>0.1</v>
      </c>
      <c r="V51" s="72"/>
      <c r="W51" s="26"/>
      <c r="X51" s="72"/>
      <c r="Y51" s="72"/>
      <c r="Z51" s="72"/>
    </row>
    <row r="52" spans="1:30" ht="12.75" customHeight="1" x14ac:dyDescent="0.3">
      <c r="A52" s="230" t="s">
        <v>297</v>
      </c>
      <c r="B52" s="24">
        <v>2020</v>
      </c>
      <c r="C52" s="34">
        <v>0.38200000000000001</v>
      </c>
      <c r="D52" s="34">
        <v>0.49099999999999999</v>
      </c>
      <c r="E52" s="34"/>
      <c r="F52" s="34">
        <v>0.121</v>
      </c>
      <c r="G52" s="34">
        <v>6.0000000000000001E-3</v>
      </c>
      <c r="H52" s="34"/>
      <c r="I52" s="34"/>
      <c r="K52" s="19"/>
      <c r="P52" s="230"/>
      <c r="Q52" s="72">
        <v>2050</v>
      </c>
      <c r="R52" s="26">
        <v>0.62</v>
      </c>
      <c r="S52" s="26">
        <v>0.28000000000000003</v>
      </c>
      <c r="T52" s="72"/>
      <c r="U52" s="26">
        <v>0.1</v>
      </c>
      <c r="V52" s="72"/>
      <c r="W52" s="26"/>
      <c r="X52" s="72"/>
      <c r="Y52" s="72"/>
      <c r="Z52" s="72"/>
    </row>
    <row r="53" spans="1:30" x14ac:dyDescent="0.3">
      <c r="A53" s="230"/>
      <c r="B53" s="72">
        <f t="shared" ref="B53:B58" si="4">B52+5</f>
        <v>2025</v>
      </c>
      <c r="C53" s="34">
        <f>(C52+C54)/2</f>
        <v>0.39300000000000002</v>
      </c>
      <c r="D53" s="34">
        <f>(D52+D54)/2</f>
        <v>0.49049999999999999</v>
      </c>
      <c r="E53" s="34"/>
      <c r="F53" s="34">
        <f>(F52+F54)/2</f>
        <v>0.1105</v>
      </c>
      <c r="G53" s="34">
        <f>(G52+G54)/2</f>
        <v>6.0000000000000001E-3</v>
      </c>
      <c r="H53" s="34"/>
      <c r="I53" s="34"/>
      <c r="K53" s="19"/>
    </row>
    <row r="54" spans="1:30" x14ac:dyDescent="0.3">
      <c r="A54" s="230"/>
      <c r="B54" s="72">
        <f t="shared" si="4"/>
        <v>2030</v>
      </c>
      <c r="C54" s="34">
        <v>0.40400000000000003</v>
      </c>
      <c r="D54" s="34">
        <v>0.49</v>
      </c>
      <c r="E54" s="34"/>
      <c r="F54" s="34">
        <v>0.1</v>
      </c>
      <c r="G54" s="34">
        <v>6.0000000000000001E-3</v>
      </c>
      <c r="H54" s="34"/>
      <c r="I54" s="34"/>
      <c r="K54" s="19"/>
    </row>
    <row r="55" spans="1:30" x14ac:dyDescent="0.3">
      <c r="A55" s="230"/>
      <c r="B55" s="72">
        <f t="shared" si="4"/>
        <v>2035</v>
      </c>
      <c r="C55" s="34">
        <f>(C54+C56)/2</f>
        <v>0.40400000000000003</v>
      </c>
      <c r="D55" s="34">
        <f>(D54+D56)/2</f>
        <v>0.49</v>
      </c>
      <c r="E55" s="34"/>
      <c r="F55" s="34">
        <f>(F54+F56)/2</f>
        <v>0.1</v>
      </c>
      <c r="G55" s="34">
        <f>(G54+G56)/2</f>
        <v>6.0000000000000001E-3</v>
      </c>
      <c r="H55" s="34"/>
      <c r="I55" s="34"/>
      <c r="K55" s="19"/>
    </row>
    <row r="56" spans="1:30" x14ac:dyDescent="0.3">
      <c r="A56" s="230"/>
      <c r="B56" s="72">
        <f t="shared" si="4"/>
        <v>2040</v>
      </c>
      <c r="C56" s="34">
        <f>(C54+C58)/2</f>
        <v>0.40400000000000003</v>
      </c>
      <c r="D56" s="34">
        <f>(D54+D58)/2</f>
        <v>0.49</v>
      </c>
      <c r="E56" s="34"/>
      <c r="F56" s="34">
        <f>(F54+F58)/2</f>
        <v>0.1</v>
      </c>
      <c r="G56" s="34">
        <f>(G54+G58)/2</f>
        <v>6.0000000000000001E-3</v>
      </c>
      <c r="H56" s="34"/>
      <c r="I56" s="34"/>
      <c r="K56" s="19"/>
    </row>
    <row r="57" spans="1:30" x14ac:dyDescent="0.3">
      <c r="A57" s="230"/>
      <c r="B57" s="72">
        <f t="shared" si="4"/>
        <v>2045</v>
      </c>
      <c r="C57" s="34">
        <f>(C56+C58)/2</f>
        <v>0.40400000000000003</v>
      </c>
      <c r="D57" s="34">
        <f>(D56+D58)/2</f>
        <v>0.49</v>
      </c>
      <c r="E57" s="34"/>
      <c r="F57" s="34">
        <f>(F56+F58)/2</f>
        <v>0.1</v>
      </c>
      <c r="G57" s="34">
        <f>(G56+G58)/2</f>
        <v>6.0000000000000001E-3</v>
      </c>
      <c r="H57" s="34"/>
      <c r="I57" s="34"/>
      <c r="K57" s="19"/>
    </row>
    <row r="58" spans="1:30" x14ac:dyDescent="0.3">
      <c r="A58" s="230"/>
      <c r="B58" s="72">
        <f t="shared" si="4"/>
        <v>2050</v>
      </c>
      <c r="C58" s="34">
        <v>0.40400000000000003</v>
      </c>
      <c r="D58" s="34">
        <v>0.49</v>
      </c>
      <c r="E58" s="34"/>
      <c r="F58" s="34">
        <v>0.1</v>
      </c>
      <c r="G58" s="34">
        <v>6.0000000000000001E-3</v>
      </c>
      <c r="H58" s="34"/>
      <c r="I58" s="34"/>
    </row>
    <row r="62" spans="1:30" ht="12.75" customHeight="1" x14ac:dyDescent="0.3">
      <c r="A62" s="19"/>
      <c r="D62" s="18"/>
      <c r="W62" s="31"/>
      <c r="X62" s="31"/>
    </row>
    <row r="63" spans="1:30" x14ac:dyDescent="0.3">
      <c r="A63" s="19"/>
      <c r="D63" s="18"/>
      <c r="T63" s="31" t="s">
        <v>299</v>
      </c>
      <c r="V63" s="31" t="s">
        <v>300</v>
      </c>
    </row>
    <row r="64" spans="1:30" x14ac:dyDescent="0.3">
      <c r="A64" s="19"/>
      <c r="F64" t="s">
        <v>29</v>
      </c>
      <c r="H64" t="s">
        <v>271</v>
      </c>
      <c r="I64" t="s">
        <v>272</v>
      </c>
      <c r="J64" t="s">
        <v>118</v>
      </c>
      <c r="K64" t="s">
        <v>273</v>
      </c>
      <c r="L64" t="s">
        <v>74</v>
      </c>
      <c r="M64" t="s">
        <v>274</v>
      </c>
      <c r="N64" t="s">
        <v>275</v>
      </c>
      <c r="O64" t="s">
        <v>276</v>
      </c>
      <c r="P64" t="s">
        <v>277</v>
      </c>
      <c r="T64" s="5" t="s">
        <v>110</v>
      </c>
      <c r="U64" s="3"/>
      <c r="V64" s="3" t="s">
        <v>271</v>
      </c>
      <c r="W64" s="3" t="s">
        <v>272</v>
      </c>
      <c r="X64" s="3" t="s">
        <v>118</v>
      </c>
      <c r="Y64" s="3" t="s">
        <v>273</v>
      </c>
      <c r="Z64" s="3" t="s">
        <v>74</v>
      </c>
      <c r="AA64" s="3" t="s">
        <v>274</v>
      </c>
      <c r="AB64" s="3" t="s">
        <v>73</v>
      </c>
      <c r="AC64" s="3" t="s">
        <v>276</v>
      </c>
      <c r="AD64" s="3" t="s">
        <v>277</v>
      </c>
    </row>
    <row r="65" spans="1:30" x14ac:dyDescent="0.3">
      <c r="A65" s="19"/>
      <c r="F65" s="233" t="s">
        <v>294</v>
      </c>
      <c r="G65" s="72">
        <v>2015</v>
      </c>
      <c r="H65" s="51">
        <v>0.29596380321351401</v>
      </c>
      <c r="I65" s="51">
        <v>0.34476771821396901</v>
      </c>
      <c r="J65" s="51">
        <v>4.4276957985255598E-2</v>
      </c>
      <c r="K65" s="51">
        <v>0.10220548479180799</v>
      </c>
      <c r="L65" s="51">
        <v>0</v>
      </c>
      <c r="M65" s="51">
        <v>4.6190882582455697E-2</v>
      </c>
      <c r="N65" s="51">
        <v>5.3031871354058999E-2</v>
      </c>
      <c r="O65" s="51">
        <v>4.4276957985255598E-2</v>
      </c>
      <c r="P65" s="51">
        <v>6.9286323873683997E-2</v>
      </c>
      <c r="T65" s="235" t="s">
        <v>294</v>
      </c>
      <c r="U65" s="3">
        <v>2015</v>
      </c>
      <c r="V65" s="15">
        <v>0.30848501930126099</v>
      </c>
      <c r="W65" s="15">
        <v>0.47844389558517703</v>
      </c>
      <c r="X65" s="15">
        <v>0</v>
      </c>
      <c r="Y65" s="15">
        <v>0.16479045013994501</v>
      </c>
      <c r="Z65" s="15">
        <v>9.7221935754176602E-3</v>
      </c>
      <c r="AA65" s="15">
        <v>-1.86291885413769E-2</v>
      </c>
      <c r="AB65" s="15">
        <v>5.71876299395764E-2</v>
      </c>
      <c r="AC65" s="15">
        <v>0</v>
      </c>
      <c r="AD65" s="15">
        <v>0</v>
      </c>
    </row>
    <row r="66" spans="1:30" x14ac:dyDescent="0.3">
      <c r="A66" s="19"/>
      <c r="D66" s="18"/>
      <c r="F66" s="233"/>
      <c r="G66" s="72">
        <v>2030</v>
      </c>
      <c r="H66" s="51">
        <v>0.32</v>
      </c>
      <c r="I66" s="51">
        <v>0.32</v>
      </c>
      <c r="J66" s="51">
        <v>0</v>
      </c>
      <c r="K66" s="51">
        <v>0.02</v>
      </c>
      <c r="L66" s="51">
        <v>0</v>
      </c>
      <c r="M66" s="51">
        <v>0.15</v>
      </c>
      <c r="N66" s="51">
        <v>0.06</v>
      </c>
      <c r="O66" s="51">
        <v>0.05</v>
      </c>
      <c r="P66" s="51">
        <v>0.08</v>
      </c>
      <c r="T66" s="235"/>
      <c r="U66" s="3">
        <v>2030</v>
      </c>
      <c r="V66" s="15">
        <v>0.26664099886069298</v>
      </c>
      <c r="W66" s="15">
        <v>0.449782719823278</v>
      </c>
      <c r="X66" s="15">
        <v>0</v>
      </c>
      <c r="Y66" s="15">
        <v>0.133150440156169</v>
      </c>
      <c r="Z66" s="15">
        <v>4.40945246344258E-2</v>
      </c>
      <c r="AA66" s="15">
        <v>-4.7704700456802102E-3</v>
      </c>
      <c r="AB66" s="15">
        <v>9.8151807605843702E-2</v>
      </c>
      <c r="AC66" s="15">
        <v>5.4131471289505201E-4</v>
      </c>
      <c r="AD66" s="15">
        <v>1.24086642523745E-2</v>
      </c>
    </row>
    <row r="67" spans="1:30" x14ac:dyDescent="0.3">
      <c r="A67" s="19"/>
      <c r="D67" s="18"/>
      <c r="F67" s="233"/>
      <c r="G67" s="72">
        <v>2050</v>
      </c>
      <c r="H67" s="51">
        <v>0.01</v>
      </c>
      <c r="I67" s="51">
        <v>0.1</v>
      </c>
      <c r="J67" s="51">
        <v>0</v>
      </c>
      <c r="K67" s="51">
        <v>0</v>
      </c>
      <c r="L67" s="51">
        <v>0</v>
      </c>
      <c r="M67" s="51">
        <v>0.63</v>
      </c>
      <c r="N67" s="51">
        <v>5.7000000000000002E-2</v>
      </c>
      <c r="O67" s="51">
        <v>0.20300000000000001</v>
      </c>
      <c r="P67" s="51">
        <v>0</v>
      </c>
      <c r="T67" s="235"/>
      <c r="U67" s="3">
        <v>2050</v>
      </c>
      <c r="V67" s="15">
        <v>2.06834499080428E-2</v>
      </c>
      <c r="W67" s="15">
        <v>0.21270050613842501</v>
      </c>
      <c r="X67" s="15">
        <v>0</v>
      </c>
      <c r="Y67" s="15">
        <v>0</v>
      </c>
      <c r="Z67" s="15">
        <v>0.22333553144534701</v>
      </c>
      <c r="AA67" s="15">
        <v>8.21152303949233E-2</v>
      </c>
      <c r="AB67" s="15">
        <v>0.28714568328687401</v>
      </c>
      <c r="AC67" s="15">
        <v>9.5426298877431606E-3</v>
      </c>
      <c r="AD67" s="15">
        <v>0.164476968938644</v>
      </c>
    </row>
    <row r="68" spans="1:30" x14ac:dyDescent="0.3">
      <c r="A68" s="19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.75" customHeight="1" x14ac:dyDescent="0.3">
      <c r="F69" s="230" t="s">
        <v>296</v>
      </c>
      <c r="G69" s="72">
        <v>2015</v>
      </c>
      <c r="H69" s="51">
        <v>0.61631512642602804</v>
      </c>
      <c r="I69" s="51">
        <v>0.28354316367266802</v>
      </c>
      <c r="J69" s="51">
        <v>0</v>
      </c>
      <c r="K69" s="51">
        <v>0.100141709901304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T69" s="225" t="s">
        <v>296</v>
      </c>
      <c r="U69" s="3">
        <v>2015</v>
      </c>
      <c r="V69" s="15">
        <v>0.44058055663972501</v>
      </c>
      <c r="W69" s="15">
        <v>0.45446474801494102</v>
      </c>
      <c r="X69" s="3"/>
      <c r="Y69" s="15">
        <v>0.104954695345334</v>
      </c>
      <c r="Z69" s="3"/>
      <c r="AA69" s="15"/>
      <c r="AB69" s="3"/>
      <c r="AC69" s="3"/>
      <c r="AD69" s="3"/>
    </row>
    <row r="70" spans="1:30" x14ac:dyDescent="0.3">
      <c r="A70" s="19"/>
      <c r="F70" s="230"/>
      <c r="G70" s="72">
        <v>2030</v>
      </c>
      <c r="H70" s="51">
        <v>0.61631512642602804</v>
      </c>
      <c r="I70" s="51">
        <v>0.28354316367266802</v>
      </c>
      <c r="J70" s="51">
        <v>0</v>
      </c>
      <c r="K70" s="51">
        <v>0.100141709901304</v>
      </c>
      <c r="L70" s="51">
        <v>0</v>
      </c>
      <c r="M70" s="51">
        <v>0</v>
      </c>
      <c r="N70" s="51">
        <v>0</v>
      </c>
      <c r="O70" s="51">
        <v>0</v>
      </c>
      <c r="P70" s="51">
        <v>0</v>
      </c>
      <c r="T70" s="225"/>
      <c r="U70" s="3">
        <v>2030</v>
      </c>
      <c r="V70" s="15">
        <v>0.57451986978709602</v>
      </c>
      <c r="W70" s="15">
        <v>0.42382800561380801</v>
      </c>
      <c r="X70" s="3"/>
      <c r="Y70" s="15">
        <v>1.6521245990967499E-3</v>
      </c>
      <c r="Z70" s="3"/>
      <c r="AA70" s="15"/>
      <c r="AB70" s="3"/>
      <c r="AC70" s="3"/>
      <c r="AD70" s="3"/>
    </row>
    <row r="71" spans="1:30" x14ac:dyDescent="0.3">
      <c r="A71" s="19"/>
      <c r="F71" s="230"/>
      <c r="G71" s="72">
        <v>2050</v>
      </c>
      <c r="H71" s="51">
        <v>0.88300000000000001</v>
      </c>
      <c r="I71" s="51">
        <v>0.1</v>
      </c>
      <c r="J71" s="51">
        <v>0</v>
      </c>
      <c r="K71" s="51">
        <v>1.7000000000000001E-2</v>
      </c>
      <c r="L71" s="51">
        <v>0</v>
      </c>
      <c r="M71" s="51">
        <v>0</v>
      </c>
      <c r="N71" s="51">
        <v>0</v>
      </c>
      <c r="O71" s="51">
        <v>0</v>
      </c>
      <c r="P71" s="51">
        <v>0</v>
      </c>
      <c r="T71" s="225"/>
      <c r="U71" s="3">
        <v>2050</v>
      </c>
      <c r="V71" s="15">
        <v>0.57474695449886204</v>
      </c>
      <c r="W71" s="15">
        <v>0.42525304550113802</v>
      </c>
      <c r="X71" s="3"/>
      <c r="Y71" s="15">
        <v>0</v>
      </c>
      <c r="Z71" s="3"/>
      <c r="AA71" s="15"/>
      <c r="AB71" s="3"/>
      <c r="AC71" s="3"/>
      <c r="AD71" s="3"/>
    </row>
    <row r="72" spans="1:30" x14ac:dyDescent="0.3">
      <c r="A72" s="19"/>
    </row>
    <row r="73" spans="1:30" x14ac:dyDescent="0.3">
      <c r="A73" s="19"/>
    </row>
    <row r="74" spans="1:30" x14ac:dyDescent="0.3">
      <c r="A74" s="19"/>
    </row>
    <row r="75" spans="1:30" x14ac:dyDescent="0.3">
      <c r="A75" s="19"/>
    </row>
  </sheetData>
  <mergeCells count="17">
    <mergeCell ref="F65:F67"/>
    <mergeCell ref="T65:T67"/>
    <mergeCell ref="F69:F71"/>
    <mergeCell ref="T69:T71"/>
    <mergeCell ref="R18:S18"/>
    <mergeCell ref="B27:F27"/>
    <mergeCell ref="A32:A36"/>
    <mergeCell ref="A37:A41"/>
    <mergeCell ref="A45:A51"/>
    <mergeCell ref="P46:P48"/>
    <mergeCell ref="P50:P52"/>
    <mergeCell ref="A52:A58"/>
    <mergeCell ref="H2:K2"/>
    <mergeCell ref="B3:F3"/>
    <mergeCell ref="L18:M18"/>
    <mergeCell ref="N18:O18"/>
    <mergeCell ref="P18:Q1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&amp;C&amp;"Arial,Normal"&amp;10&amp;A</oddHeader>
    <oddFooter>&amp;C&amp;"Arial,Normal"&amp;10Page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2"/>
  <sheetViews>
    <sheetView topLeftCell="A13" zoomScale="77" zoomScaleNormal="77" workbookViewId="0">
      <selection activeCell="K30" sqref="K30"/>
    </sheetView>
  </sheetViews>
  <sheetFormatPr baseColWidth="10" defaultColWidth="9.21875" defaultRowHeight="14.4" x14ac:dyDescent="0.3"/>
  <cols>
    <col min="1" max="1" width="28.77734375" customWidth="1"/>
    <col min="2" max="1025" width="8.44140625" customWidth="1"/>
  </cols>
  <sheetData>
    <row r="5" spans="1:22" x14ac:dyDescent="0.3">
      <c r="A5" t="s">
        <v>43</v>
      </c>
    </row>
    <row r="6" spans="1:22" x14ac:dyDescent="0.3">
      <c r="A6" s="128" t="s">
        <v>374</v>
      </c>
      <c r="B6" s="129">
        <v>2015</v>
      </c>
      <c r="C6" s="129">
        <v>2020</v>
      </c>
    </row>
    <row r="7" spans="1:22" x14ac:dyDescent="0.3">
      <c r="A7" s="130" t="s">
        <v>375</v>
      </c>
      <c r="B7" s="131">
        <v>6500</v>
      </c>
      <c r="C7" s="131">
        <v>6500</v>
      </c>
    </row>
    <row r="8" spans="1:22" x14ac:dyDescent="0.3">
      <c r="A8" s="130" t="s">
        <v>376</v>
      </c>
      <c r="B8" s="131">
        <v>7700</v>
      </c>
      <c r="C8" s="131">
        <v>7700</v>
      </c>
      <c r="D8" t="s">
        <v>377</v>
      </c>
    </row>
    <row r="9" spans="1:22" x14ac:dyDescent="0.3">
      <c r="A9" s="130" t="s">
        <v>378</v>
      </c>
      <c r="B9" s="131">
        <v>1270</v>
      </c>
      <c r="C9" s="131">
        <v>1270</v>
      </c>
    </row>
    <row r="10" spans="1:22" x14ac:dyDescent="0.3">
      <c r="A10" s="130" t="s">
        <v>379</v>
      </c>
      <c r="B10" s="131">
        <v>1364</v>
      </c>
      <c r="C10" s="131">
        <v>1364</v>
      </c>
    </row>
    <row r="11" spans="1:22" x14ac:dyDescent="0.3">
      <c r="A11" s="130" t="s">
        <v>380</v>
      </c>
      <c r="B11" s="131">
        <v>2296</v>
      </c>
      <c r="C11" s="131">
        <v>2296</v>
      </c>
    </row>
    <row r="12" spans="1:22" x14ac:dyDescent="0.3">
      <c r="A12" s="130" t="s">
        <v>381</v>
      </c>
      <c r="B12" s="131">
        <v>4000</v>
      </c>
      <c r="C12" s="131">
        <v>4000</v>
      </c>
    </row>
    <row r="13" spans="1:22" x14ac:dyDescent="0.3">
      <c r="A13" s="130" t="s">
        <v>382</v>
      </c>
      <c r="B13" s="131">
        <v>6363</v>
      </c>
      <c r="C13" s="131">
        <v>6363</v>
      </c>
    </row>
    <row r="14" spans="1:22" x14ac:dyDescent="0.3">
      <c r="A14" s="130" t="s">
        <v>245</v>
      </c>
      <c r="B14" s="131">
        <v>1920</v>
      </c>
      <c r="C14" s="131">
        <v>1920</v>
      </c>
    </row>
    <row r="15" spans="1:22" ht="27" x14ac:dyDescent="0.3">
      <c r="A15" s="128" t="s">
        <v>383</v>
      </c>
      <c r="B15" s="132">
        <v>31413</v>
      </c>
      <c r="C15" s="132">
        <v>31413</v>
      </c>
      <c r="V15" s="133"/>
    </row>
    <row r="16" spans="1:22" x14ac:dyDescent="0.3">
      <c r="A16" t="s">
        <v>360</v>
      </c>
    </row>
    <row r="19" spans="1:19" x14ac:dyDescent="0.3">
      <c r="A19" s="1" t="s">
        <v>81</v>
      </c>
      <c r="O19" s="1" t="s">
        <v>384</v>
      </c>
    </row>
    <row r="20" spans="1:19" x14ac:dyDescent="0.3">
      <c r="A20" t="s">
        <v>385</v>
      </c>
      <c r="B20" s="24">
        <v>2020</v>
      </c>
      <c r="C20" s="24">
        <f t="shared" ref="C20:H20" si="0">B20+5</f>
        <v>2025</v>
      </c>
      <c r="D20" s="24">
        <f t="shared" si="0"/>
        <v>2030</v>
      </c>
      <c r="E20" s="24">
        <f t="shared" si="0"/>
        <v>2035</v>
      </c>
      <c r="F20" s="24">
        <f t="shared" si="0"/>
        <v>2040</v>
      </c>
      <c r="G20" s="24">
        <f t="shared" si="0"/>
        <v>2045</v>
      </c>
      <c r="H20" s="24">
        <f t="shared" si="0"/>
        <v>2050</v>
      </c>
    </row>
    <row r="21" spans="1:19" x14ac:dyDescent="0.3">
      <c r="A21" s="24" t="s">
        <v>375</v>
      </c>
      <c r="B21" s="74">
        <f>C7/1000</f>
        <v>6.5</v>
      </c>
      <c r="C21" s="74">
        <v>6</v>
      </c>
      <c r="D21" s="74">
        <v>5.5</v>
      </c>
      <c r="E21" s="74">
        <f>(D21+F21)/2</f>
        <v>5.2</v>
      </c>
      <c r="F21" s="74">
        <f>(D21+H21)/2</f>
        <v>4.9000000000000004</v>
      </c>
      <c r="G21" s="74">
        <f>(F21+H21)/2</f>
        <v>4.5999999999999996</v>
      </c>
      <c r="H21" s="74">
        <v>4.3</v>
      </c>
      <c r="I21" t="s">
        <v>386</v>
      </c>
      <c r="S21" t="s">
        <v>387</v>
      </c>
    </row>
    <row r="22" spans="1:19" x14ac:dyDescent="0.3">
      <c r="A22" s="24" t="s">
        <v>376</v>
      </c>
      <c r="B22" s="74">
        <f>C8/1000</f>
        <v>7.7</v>
      </c>
      <c r="C22" s="74">
        <f>(B22+D22)/2</f>
        <v>8.8979999999999997</v>
      </c>
      <c r="D22" s="74">
        <v>10.096</v>
      </c>
      <c r="E22" s="74">
        <f>(D22+F22)/2</f>
        <v>13.347</v>
      </c>
      <c r="F22" s="74">
        <f>(D22+H22)/2</f>
        <v>16.597999999999999</v>
      </c>
      <c r="G22" s="74">
        <f>(F22+H22)/2</f>
        <v>19.849</v>
      </c>
      <c r="H22" s="74">
        <f>B22*3</f>
        <v>23.1</v>
      </c>
      <c r="I22" t="s">
        <v>388</v>
      </c>
      <c r="J22" t="s">
        <v>389</v>
      </c>
    </row>
    <row r="23" spans="1:19" x14ac:dyDescent="0.3">
      <c r="A23" s="24" t="s">
        <v>390</v>
      </c>
      <c r="B23" s="74">
        <f>C9/1000</f>
        <v>1.27</v>
      </c>
      <c r="C23" s="74">
        <f>(B23+D23)/2</f>
        <v>1.3017500000000002</v>
      </c>
      <c r="D23" s="74">
        <f>B23*1.05</f>
        <v>1.3335000000000001</v>
      </c>
      <c r="E23" s="74">
        <f>(D23+F23)/2</f>
        <v>1.41859</v>
      </c>
      <c r="F23" s="74">
        <f>(D23+H23)/2</f>
        <v>1.5036800000000001</v>
      </c>
      <c r="G23" s="74">
        <f>(F23+H23)/2</f>
        <v>1.5887700000000002</v>
      </c>
      <c r="H23" s="74">
        <f>B23*1.318</f>
        <v>1.6738600000000001</v>
      </c>
      <c r="I23" s="31" t="s">
        <v>391</v>
      </c>
    </row>
    <row r="24" spans="1:19" x14ac:dyDescent="0.3">
      <c r="A24" s="24" t="s">
        <v>392</v>
      </c>
      <c r="B24" s="74">
        <f>C10/1000</f>
        <v>1.3640000000000001</v>
      </c>
      <c r="C24" s="74">
        <f>$B24*('Construction neuve rési'!H9/'Construction neuve rési'!$C9)</f>
        <v>1.3779930469399537</v>
      </c>
      <c r="D24" s="74">
        <f>$B24*('Construction neuve rési'!M9/'Construction neuve rési'!$C9)</f>
        <v>1.3897852624153966</v>
      </c>
      <c r="E24" s="74">
        <f>$B24*('Construction neuve rési'!R9/'Construction neuve rési'!$C9)</f>
        <v>1.3974091050992337</v>
      </c>
      <c r="F24" s="74">
        <f>$B24*('Construction neuve rési'!W9/'Construction neuve rési'!$C9)</f>
        <v>1.4008156720852285</v>
      </c>
      <c r="G24" s="74">
        <f>$B24*('Construction neuve rési'!AB9/'Construction neuve rési'!$C9)</f>
        <v>1.4020662702392706</v>
      </c>
      <c r="H24" s="74">
        <f>$B24*('Construction neuve rési'!AG9/'Construction neuve rési'!$C9)</f>
        <v>1.3991357352350793</v>
      </c>
      <c r="I24" t="s">
        <v>393</v>
      </c>
    </row>
    <row r="25" spans="1:19" x14ac:dyDescent="0.3">
      <c r="A25" s="24" t="s">
        <v>394</v>
      </c>
      <c r="B25" s="74">
        <f>(C11+C12)/1000</f>
        <v>6.2960000000000003</v>
      </c>
      <c r="C25" s="74">
        <v>6.4</v>
      </c>
      <c r="D25" s="74">
        <v>6.5</v>
      </c>
      <c r="E25" s="74">
        <v>6.6</v>
      </c>
      <c r="F25" s="74">
        <v>6.7</v>
      </c>
      <c r="G25" s="74">
        <v>6.8</v>
      </c>
      <c r="H25" s="74">
        <v>6.9</v>
      </c>
      <c r="I25" t="s">
        <v>395</v>
      </c>
    </row>
    <row r="26" spans="1:19" x14ac:dyDescent="0.3">
      <c r="A26" s="24" t="s">
        <v>396</v>
      </c>
      <c r="B26" s="74">
        <f>C13/1000</f>
        <v>6.3630000000000004</v>
      </c>
      <c r="C26" s="74">
        <f>$B26*('Construction neuve rési'!H9/'Construction neuve rési'!$C9)</f>
        <v>6.4282769484449593</v>
      </c>
      <c r="D26" s="74">
        <f>$B26*('Construction neuve rési'!M9/'Construction neuve rési'!$C9)</f>
        <v>6.4832871149187454</v>
      </c>
      <c r="E26" s="74">
        <f>$B26*('Construction neuve rési'!R9/'Construction neuve rési'!$C9)</f>
        <v>6.5188520056791965</v>
      </c>
      <c r="F26" s="74">
        <f>$B26*('Construction neuve rési'!W9/'Construction neuve rési'!$C9)</f>
        <v>6.5347434908198743</v>
      </c>
      <c r="G26" s="74">
        <f>$B26*('Construction neuve rési'!AB9/'Construction neuve rési'!$C9)</f>
        <v>6.5405774761968321</v>
      </c>
      <c r="H26" s="74">
        <f>$B26*('Construction neuve rési'!AG9/'Construction neuve rési'!$C9)</f>
        <v>6.526906659311444</v>
      </c>
      <c r="I26" t="s">
        <v>393</v>
      </c>
    </row>
    <row r="27" spans="1:19" x14ac:dyDescent="0.3">
      <c r="A27" s="24" t="s">
        <v>397</v>
      </c>
      <c r="B27" s="74">
        <f>C14/1000</f>
        <v>1.92</v>
      </c>
      <c r="C27" s="74">
        <f t="shared" ref="C27:H27" si="1">B27</f>
        <v>1.92</v>
      </c>
      <c r="D27" s="74">
        <f t="shared" si="1"/>
        <v>1.92</v>
      </c>
      <c r="E27" s="74">
        <f t="shared" si="1"/>
        <v>1.92</v>
      </c>
      <c r="F27" s="74">
        <f t="shared" si="1"/>
        <v>1.92</v>
      </c>
      <c r="G27" s="74">
        <f t="shared" si="1"/>
        <v>1.92</v>
      </c>
      <c r="H27" s="74">
        <f t="shared" si="1"/>
        <v>1.92</v>
      </c>
      <c r="I27" t="s">
        <v>398</v>
      </c>
    </row>
    <row r="28" spans="1:19" x14ac:dyDescent="0.3">
      <c r="A28" t="s">
        <v>245</v>
      </c>
      <c r="B28" s="71"/>
    </row>
    <row r="29" spans="1:19" x14ac:dyDescent="0.3">
      <c r="A29" s="1" t="s">
        <v>119</v>
      </c>
      <c r="B29" s="134">
        <f t="shared" ref="B29:H29" si="2">SUM(B21:B28)</f>
        <v>31.412999999999997</v>
      </c>
      <c r="C29" s="134">
        <f t="shared" si="2"/>
        <v>32.326019995384918</v>
      </c>
      <c r="D29" s="134">
        <f t="shared" si="2"/>
        <v>33.222572377334146</v>
      </c>
      <c r="E29" s="134">
        <f t="shared" si="2"/>
        <v>36.401851110778424</v>
      </c>
      <c r="F29" s="134">
        <f t="shared" si="2"/>
        <v>39.557239162905105</v>
      </c>
      <c r="G29" s="134">
        <f t="shared" si="2"/>
        <v>42.700413746436098</v>
      </c>
      <c r="H29" s="134">
        <f t="shared" si="2"/>
        <v>45.819902394546524</v>
      </c>
    </row>
    <row r="32" spans="1:19" x14ac:dyDescent="0.3">
      <c r="E32" s="1" t="s">
        <v>29</v>
      </c>
      <c r="P32" s="135" t="s">
        <v>110</v>
      </c>
    </row>
    <row r="33" spans="5:24" x14ac:dyDescent="0.3">
      <c r="E33">
        <v>2015</v>
      </c>
      <c r="F33">
        <v>2020</v>
      </c>
      <c r="G33">
        <v>2025</v>
      </c>
      <c r="H33">
        <v>2030</v>
      </c>
      <c r="I33">
        <v>2050</v>
      </c>
      <c r="P33" s="3" t="s">
        <v>385</v>
      </c>
      <c r="Q33" s="3">
        <v>2019</v>
      </c>
      <c r="R33" s="3">
        <v>2020</v>
      </c>
      <c r="S33" s="3">
        <f t="shared" ref="S33:X33" si="3">R33+5</f>
        <v>2025</v>
      </c>
      <c r="T33" s="3">
        <f t="shared" si="3"/>
        <v>2030</v>
      </c>
      <c r="U33" s="3">
        <f t="shared" si="3"/>
        <v>2035</v>
      </c>
      <c r="V33" s="3">
        <f t="shared" si="3"/>
        <v>2040</v>
      </c>
      <c r="W33" s="3">
        <f t="shared" si="3"/>
        <v>2045</v>
      </c>
      <c r="X33" s="3">
        <f t="shared" si="3"/>
        <v>2050</v>
      </c>
    </row>
    <row r="34" spans="5:24" x14ac:dyDescent="0.3">
      <c r="E34" s="71">
        <v>4.1519927827443199</v>
      </c>
      <c r="F34" s="71">
        <v>3.91473605230179</v>
      </c>
      <c r="G34" s="71">
        <v>3.6774793218592499</v>
      </c>
      <c r="H34" s="71">
        <v>3.4402225914167199</v>
      </c>
      <c r="I34" s="71">
        <v>2.49119566964659</v>
      </c>
      <c r="J34" t="s">
        <v>399</v>
      </c>
      <c r="P34" s="3" t="s">
        <v>375</v>
      </c>
      <c r="Q34" s="125">
        <v>5.8458399999999999</v>
      </c>
      <c r="R34" s="125">
        <v>4.2194000000000003</v>
      </c>
      <c r="S34" s="125">
        <v>3.2559489795918299</v>
      </c>
      <c r="T34" s="125">
        <v>2.5537731092436902</v>
      </c>
      <c r="U34" s="125">
        <v>2.0648571428571398</v>
      </c>
      <c r="V34" s="125">
        <v>1.8163095238095199</v>
      </c>
      <c r="W34" s="125">
        <v>1.6042918719211801</v>
      </c>
      <c r="X34" s="125">
        <v>1.41290322580645</v>
      </c>
    </row>
    <row r="35" spans="5:24" x14ac:dyDescent="0.3">
      <c r="E35" s="71">
        <v>2.68658356530515</v>
      </c>
      <c r="F35" s="71">
        <v>3.0447947073458299</v>
      </c>
      <c r="G35" s="71">
        <v>3.4030058493865201</v>
      </c>
      <c r="H35" s="71">
        <v>3.7612169914272</v>
      </c>
      <c r="I35" s="71">
        <v>3.7612169914272</v>
      </c>
      <c r="J35" t="s">
        <v>400</v>
      </c>
      <c r="P35" s="3" t="s">
        <v>376</v>
      </c>
      <c r="Q35" s="125">
        <v>6</v>
      </c>
      <c r="R35" s="125">
        <v>7.3333333333333304</v>
      </c>
      <c r="S35" s="125">
        <v>8.6666666666666696</v>
      </c>
      <c r="T35" s="125">
        <v>9.4</v>
      </c>
      <c r="U35" s="125">
        <v>9.4</v>
      </c>
      <c r="V35" s="125">
        <v>9.1</v>
      </c>
      <c r="W35" s="125">
        <v>8.6005835464128797</v>
      </c>
      <c r="X35" s="125">
        <v>8.1790693759723094</v>
      </c>
    </row>
    <row r="36" spans="5:24" x14ac:dyDescent="0.3">
      <c r="E36" s="71">
        <v>6.8385763480494601</v>
      </c>
      <c r="F36" s="71">
        <v>6.3826712581795002</v>
      </c>
      <c r="G36" s="71">
        <v>5.9267661683095403</v>
      </c>
      <c r="H36" s="71">
        <v>5.4708610784395697</v>
      </c>
      <c r="I36" s="71">
        <v>5.1289322610371002</v>
      </c>
      <c r="J36" t="s">
        <v>401</v>
      </c>
      <c r="P36" s="3" t="s">
        <v>390</v>
      </c>
      <c r="Q36" s="125"/>
      <c r="R36" s="125"/>
      <c r="S36" s="125"/>
      <c r="T36" s="125"/>
      <c r="U36" s="125"/>
      <c r="V36" s="125"/>
      <c r="W36" s="125"/>
      <c r="X36" s="125"/>
    </row>
    <row r="37" spans="5:24" x14ac:dyDescent="0.3">
      <c r="E37" s="71">
        <v>2.1167022029676898</v>
      </c>
      <c r="F37" s="71">
        <v>1.9755887227698501</v>
      </c>
      <c r="G37" s="71">
        <v>1.8344752425719999</v>
      </c>
      <c r="H37" s="71">
        <v>1.6933617623741499</v>
      </c>
      <c r="I37" s="71">
        <v>1.5875266522257701</v>
      </c>
      <c r="J37" t="s">
        <v>401</v>
      </c>
      <c r="P37" s="3" t="s">
        <v>392</v>
      </c>
      <c r="Q37" s="125">
        <v>3.5</v>
      </c>
      <c r="R37" s="125">
        <v>3.9</v>
      </c>
      <c r="S37" s="125">
        <v>4.3</v>
      </c>
      <c r="T37" s="125">
        <v>4.7</v>
      </c>
      <c r="U37" s="125">
        <v>5.0999999999999996</v>
      </c>
      <c r="V37" s="125">
        <v>5.5</v>
      </c>
      <c r="W37" s="125">
        <v>5.5</v>
      </c>
      <c r="X37" s="125">
        <v>5.5</v>
      </c>
    </row>
    <row r="38" spans="5:24" x14ac:dyDescent="0.3">
      <c r="E38" s="71">
        <v>3.4192881740247301</v>
      </c>
      <c r="F38" s="71">
        <v>3.7042288551934601</v>
      </c>
      <c r="G38" s="71">
        <v>3.9891695363621902</v>
      </c>
      <c r="H38" s="71">
        <v>4.2741102175309198</v>
      </c>
      <c r="I38" s="71">
        <v>4.2741102175309198</v>
      </c>
      <c r="J38" t="s">
        <v>402</v>
      </c>
      <c r="P38" s="3" t="s">
        <v>394</v>
      </c>
      <c r="Q38" s="125">
        <v>8.4</v>
      </c>
      <c r="R38" s="125">
        <v>7.6333333333333302</v>
      </c>
      <c r="S38" s="125">
        <v>7.0222222222222301</v>
      </c>
      <c r="T38" s="125">
        <v>6.4111111111111203</v>
      </c>
      <c r="U38" s="125">
        <v>5.8</v>
      </c>
      <c r="V38" s="125">
        <v>5.2</v>
      </c>
      <c r="W38" s="125">
        <v>4.5999999999999996</v>
      </c>
      <c r="X38" s="125">
        <v>4.08</v>
      </c>
    </row>
    <row r="39" spans="5:24" x14ac:dyDescent="0.3">
      <c r="E39" s="71">
        <v>5.6988136233745497</v>
      </c>
      <c r="F39" s="71">
        <v>5.3188927151495804</v>
      </c>
      <c r="G39" s="71">
        <v>4.9389718069246102</v>
      </c>
      <c r="H39" s="71">
        <v>4.5590508986996401</v>
      </c>
      <c r="I39" s="71">
        <v>4.27411021753091</v>
      </c>
      <c r="J39" t="s">
        <v>401</v>
      </c>
      <c r="P39" s="3" t="s">
        <v>396</v>
      </c>
      <c r="Q39" s="125"/>
      <c r="R39" s="125"/>
      <c r="S39" s="125"/>
      <c r="T39" s="125"/>
      <c r="U39" s="125"/>
      <c r="V39" s="125"/>
      <c r="W39" s="125"/>
      <c r="X39" s="125"/>
    </row>
    <row r="40" spans="5:24" x14ac:dyDescent="0.3">
      <c r="E40" s="71">
        <v>1.13976272467491</v>
      </c>
      <c r="F40" s="71">
        <v>1.02578645220742</v>
      </c>
      <c r="G40" s="71">
        <v>0.91181017973992895</v>
      </c>
      <c r="H40" s="71">
        <v>0.79783390727243797</v>
      </c>
      <c r="I40" s="71">
        <v>0.79783390727243797</v>
      </c>
      <c r="J40" t="s">
        <v>403</v>
      </c>
      <c r="P40" s="3" t="s">
        <v>397</v>
      </c>
      <c r="Q40" s="125"/>
      <c r="R40" s="125"/>
      <c r="S40" s="125"/>
      <c r="T40" s="125"/>
      <c r="U40" s="125"/>
      <c r="V40" s="125"/>
      <c r="W40" s="125"/>
      <c r="X40" s="125"/>
    </row>
    <row r="41" spans="5:24" x14ac:dyDescent="0.3">
      <c r="E41" s="71">
        <v>1.6282324638212999</v>
      </c>
      <c r="F41" s="71">
        <v>1.6282324638212999</v>
      </c>
      <c r="G41" s="71">
        <v>1.6282324638212999</v>
      </c>
      <c r="H41" s="71">
        <v>1.6282324638212999</v>
      </c>
      <c r="I41" s="71">
        <v>1.6282324638212999</v>
      </c>
      <c r="J41" t="s">
        <v>404</v>
      </c>
      <c r="P41" s="3" t="s">
        <v>245</v>
      </c>
      <c r="Q41" s="125"/>
      <c r="R41" s="125"/>
      <c r="S41" s="125"/>
      <c r="T41" s="125"/>
      <c r="U41" s="125"/>
      <c r="V41" s="125"/>
      <c r="W41" s="125"/>
      <c r="X41" s="125"/>
    </row>
    <row r="42" spans="5:24" x14ac:dyDescent="0.3">
      <c r="E42" s="71">
        <v>27.679951884962101</v>
      </c>
      <c r="F42" s="71">
        <v>26.994931226968699</v>
      </c>
      <c r="G42" s="71">
        <v>26.309910568975301</v>
      </c>
      <c r="H42" s="71">
        <v>25.624889910981899</v>
      </c>
      <c r="I42" s="71">
        <v>23.9431583804922</v>
      </c>
      <c r="P42" s="3" t="s">
        <v>119</v>
      </c>
      <c r="Q42" s="125">
        <f t="shared" ref="Q42:X42" si="4">SUM(Q34:Q41)</f>
        <v>23.745840000000001</v>
      </c>
      <c r="R42" s="125">
        <f t="shared" si="4"/>
        <v>23.08606666666666</v>
      </c>
      <c r="S42" s="125">
        <f t="shared" si="4"/>
        <v>23.24483786848073</v>
      </c>
      <c r="T42" s="125">
        <f t="shared" si="4"/>
        <v>23.064884220354813</v>
      </c>
      <c r="U42" s="125">
        <f t="shared" si="4"/>
        <v>22.36485714285714</v>
      </c>
      <c r="V42" s="125">
        <f t="shared" si="4"/>
        <v>21.61630952380952</v>
      </c>
      <c r="W42" s="125">
        <f t="shared" si="4"/>
        <v>20.30487541833406</v>
      </c>
      <c r="X42" s="125">
        <f t="shared" si="4"/>
        <v>19.171972601778762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&amp;C&amp;"Arial,Normal"&amp;10&amp;A</oddHeader>
    <oddFooter>&amp;C&amp;"Arial,Normal"&amp;10Page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Suivi</vt:lpstr>
      <vt:lpstr>Construction neuve rési</vt:lpstr>
      <vt:lpstr>parc résidentiel</vt:lpstr>
      <vt:lpstr>Résidentiel existant</vt:lpstr>
      <vt:lpstr>Résidentiel hors chauffage</vt:lpstr>
      <vt:lpstr>Construction et parc tertiaire</vt:lpstr>
      <vt:lpstr>Tertiaire existant</vt:lpstr>
      <vt:lpstr>Tertiaire hors chauffage</vt:lpstr>
      <vt:lpstr>Hors CEREN</vt:lpstr>
      <vt:lpstr>Climatisation</vt:lpstr>
      <vt:lpstr>parc rési détail 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CHAIGNEAU Yanis</cp:lastModifiedBy>
  <cp:revision>1</cp:revision>
  <dcterms:created xsi:type="dcterms:W3CDTF">2022-05-30T15:21:49Z</dcterms:created>
  <dcterms:modified xsi:type="dcterms:W3CDTF">2023-03-02T15:08:06Z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