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0.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externalLink2.xml" ContentType="application/vnd.openxmlformats-officedocument.spreadsheetml.externalLink+xml"/>
  <Override PartName="/xl/externalLinks/_rels/externalLink2.xml.rels" ContentType="application/vnd.openxmlformats-package.relationships+xml"/>
  <Override PartName="/xl/externalLinks/_rels/externalLink1.xml.rels" ContentType="application/vnd.openxmlformats-package.relationships+xml"/>
  <Override PartName="/xl/externalLinks/_rels/externalLink3.xml.rels" ContentType="application/vnd.openxmlformats-package.relationship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charts/chart100.xml" ContentType="application/vnd.openxmlformats-officedocument.drawingml.chart+xml"/>
  <Override PartName="/xl/charts/chart91.xml" ContentType="application/vnd.openxmlformats-officedocument.drawingml.chart+xml"/>
  <Override PartName="/xl/charts/chart86.xml" ContentType="application/vnd.openxmlformats-officedocument.drawingml.chart+xml"/>
  <Override PartName="/xl/charts/chart101.xml" ContentType="application/vnd.openxmlformats-officedocument.drawingml.chart+xml"/>
  <Override PartName="/xl/charts/chart92.xml" ContentType="application/vnd.openxmlformats-officedocument.drawingml.chart+xml"/>
  <Override PartName="/xl/charts/chart87.xml" ContentType="application/vnd.openxmlformats-officedocument.drawingml.chart+xml"/>
  <Override PartName="/xl/charts/chart102.xml" ContentType="application/vnd.openxmlformats-officedocument.drawingml.chart+xml"/>
  <Override PartName="/xl/charts/chart93.xml" ContentType="application/vnd.openxmlformats-officedocument.drawingml.chart+xml"/>
  <Override PartName="/xl/charts/chart88.xml" ContentType="application/vnd.openxmlformats-officedocument.drawingml.chart+xml"/>
  <Override PartName="/xl/charts/chart103.xml" ContentType="application/vnd.openxmlformats-officedocument.drawingml.chart+xml"/>
  <Override PartName="/xl/charts/chart94.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104.xml" ContentType="application/vnd.openxmlformats-officedocument.drawingml.chart+xml"/>
  <Override PartName="/xl/charts/chart95.xml" ContentType="application/vnd.openxmlformats-officedocument.drawingml.chart+xml"/>
  <Override PartName="/xl/charts/chart10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customXml/item1.xml" ContentType="application/xml"/>
  <Override PartName="/customXml/item2.xml" ContentType="application/xml"/>
  <Override PartName="/customXml/itemProps1.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Production" sheetId="1" state="visible" r:id="rId2"/>
    <sheet name="IGCE" sheetId="2" state="visible" r:id="rId3"/>
    <sheet name="Diffus" sheetId="3" state="visible" r:id="rId4"/>
    <sheet name="VA historique" sheetId="4" state="visible" r:id="rId5"/>
    <sheet name="Mix éner %" sheetId="5" state="visible" r:id="rId6"/>
    <sheet name="Mix éner % (2)" sheetId="6" state="visible" r:id="rId7"/>
    <sheet name="3. Efficacité" sheetId="7" state="visible" r:id="rId8"/>
    <sheet name="4. Recyclage" sheetId="8" state="visible" r:id="rId9"/>
    <sheet name="5. Non-énergétique" sheetId="9" state="visible" r:id="rId10"/>
    <sheet name="6. CCUS" sheetId="10" state="visible" r:id="rId11"/>
    <sheet name="Pepit0 AME" sheetId="11" state="visible" r:id="rId12"/>
    <sheet name="Pepit0 AMS" sheetId="12" state="visible" r:id="rId13"/>
  </sheets>
  <externalReferences>
    <externalReference r:id="rId14"/>
    <externalReference r:id="rId15"/>
    <externalReference r:id="rId16"/>
  </externalReferences>
  <definedNames>
    <definedName function="false" hidden="false" name="anneeAffiche" vbProcedure="false">#REF!</definedName>
    <definedName function="false" hidden="false" name="anneeDataSet" vbProcedure="false">[2]Dataset!$H$2:$AH$2</definedName>
    <definedName function="false" hidden="false" name="année" vbProcedure="false">[1]Calcul_hypotheses!$D$6</definedName>
    <definedName function="false" hidden="false" name="calIntAnnee" vbProcedure="false">[2]Calculs_intermediaires!$B$328:$AP$328</definedName>
    <definedName function="false" hidden="false" name="calIntcode" vbProcedure="false">[2]Calculs_intermediaires!$B$1:$B$1048576</definedName>
    <definedName function="false" hidden="false" name="calIntData" vbProcedure="false">[2]Calculs_intermediaires!$B$1:$AM$1048576</definedName>
    <definedName function="false" hidden="false" name="convktoeGWh" vbProcedure="false">[2]Intro!$C$40</definedName>
    <definedName function="false" hidden="false" name="convMtoeGWh" vbProcedure="false">[2]Intro!$C$41</definedName>
    <definedName function="false" hidden="false" name="dataSet" vbProcedure="false">[2]Dataset!$H$1:$AH$1048576</definedName>
    <definedName function="false" hidden="false" name="odsAnnee" vbProcedure="false">[2]Odyssee!$A$8:$AMJ$8</definedName>
    <definedName function="false" hidden="false" name="odsCode" vbProcedure="false">[2]Odyssee!$A$1:$A$1048576</definedName>
    <definedName function="false" hidden="false" name="odsData" vbProcedure="false">[2]Odyssee!$A$1:$AMJ$1048576</definedName>
    <definedName function="false" hidden="false" name="Résultats_annuels" vbProcedure="false">[3]RES_annuels!$N$3:$BW$858</definedName>
    <definedName function="false" hidden="false" name="Résultats_annuels_années" vbProcedure="false">[3]RES_annuels!$N$1:$AX$1</definedName>
    <definedName function="false" hidden="false" name="Résultats_annuels_choix" vbProcedure="false">[3]RES_annuels!$D$3:$D$858</definedName>
    <definedName function="false" hidden="false" name="tagOutDataSet" vbProcedure="false">[2]Dataset!$H$1:$H$1048576</definedName>
    <definedName function="false" hidden="false" localSheetId="1" name="anneeAffiche" vbProcedure="false">#REF!</definedName>
    <definedName function="false" hidden="false" localSheetId="5" name="anneeAffiche" vbProcedure="false">#REF!</definedName>
    <definedName function="false" hidden="false" localSheetId="11" name="anneeAffich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<sst xmlns="http://schemas.openxmlformats.org/spreadsheetml/2006/main" count="3196" uniqueCount="850">
  <si>
    <t xml:space="preserve">Voir le détail des calculs dans les onglets IGCE et Diffus</t>
  </si>
  <si>
    <t xml:space="preserve">Production IGCE en Mt</t>
  </si>
  <si>
    <t xml:space="preserve">Historique</t>
  </si>
  <si>
    <t xml:space="preserve">AME</t>
  </si>
  <si>
    <t xml:space="preserve">AMS</t>
  </si>
  <si>
    <t xml:space="preserve">Production (Mt)</t>
  </si>
  <si>
    <t xml:space="preserve">Acier</t>
  </si>
  <si>
    <t xml:space="preserve">dont haut fourneaux </t>
  </si>
  <si>
    <t xml:space="preserve">dont procédé électrique</t>
  </si>
  <si>
    <t xml:space="preserve">dont réduction directe</t>
  </si>
  <si>
    <t xml:space="preserve">Aluminium</t>
  </si>
  <si>
    <t xml:space="preserve">Aluminium recyclé</t>
  </si>
  <si>
    <t xml:space="preserve">Ethylène</t>
  </si>
  <si>
    <t xml:space="preserve">Chlore</t>
  </si>
  <si>
    <t xml:space="preserve">Ammoniac</t>
  </si>
  <si>
    <t xml:space="preserve">Clinker</t>
  </si>
  <si>
    <t xml:space="preserve">Verre</t>
  </si>
  <si>
    <t xml:space="preserve">Papier</t>
  </si>
  <si>
    <t xml:space="preserve">Sucre</t>
  </si>
  <si>
    <t xml:space="preserve">Valeurs ajoutées industrie diffuse (Md€2014)</t>
  </si>
  <si>
    <t xml:space="preserve">Données INSEE – Voir onglet VA historique</t>
  </si>
  <si>
    <t xml:space="preserve">AME 2023</t>
  </si>
  <si>
    <t xml:space="preserve">AMS 2023</t>
  </si>
  <si>
    <t xml:space="preserve">Md€2014</t>
  </si>
  <si>
    <t xml:space="preserve">Métaux primaires</t>
  </si>
  <si>
    <t xml:space="preserve">Chimie</t>
  </si>
  <si>
    <t xml:space="preserve">Minéraux non-métalliques</t>
  </si>
  <si>
    <t xml:space="preserve">IAA </t>
  </si>
  <si>
    <t xml:space="preserve">Equipements </t>
  </si>
  <si>
    <t xml:space="preserve">Autres (textile, etc.)</t>
  </si>
  <si>
    <t xml:space="preserve">Total diffus</t>
  </si>
  <si>
    <t xml:space="preserve">Construction</t>
  </si>
  <si>
    <t xml:space="preserve">Production physique, index 2015</t>
  </si>
  <si>
    <t xml:space="preserve">Total diffus (cadrage)</t>
  </si>
  <si>
    <t xml:space="preserve">IGCE</t>
  </si>
  <si>
    <t xml:space="preserve">1. Historique</t>
  </si>
  <si>
    <t xml:space="preserve">source</t>
  </si>
  <si>
    <t xml:space="preserve">CITEPA</t>
  </si>
  <si>
    <t xml:space="preserve">dont DRI</t>
  </si>
  <si>
    <t xml:space="preserve">BNR 2019, donnée 2020 calculée avec le taux de variation 2019/2020 du CITEPA</t>
  </si>
  <si>
    <t xml:space="preserve">dont aluminium recyclé</t>
  </si>
  <si>
    <t xml:space="preserve">dont 2e fusion</t>
  </si>
  <si>
    <t xml:space="preserve">CITEPA (pâte à papier) - pas cohérent avec BNR car CITEPA ne prend en compte que la pâte à papier (kraft ou bisulfite)</t>
  </si>
  <si>
    <t xml:space="preserve">2. Consommation intérieure - Sorties Pepit0</t>
  </si>
  <si>
    <t xml:space="preserve">Sorties brutes</t>
  </si>
  <si>
    <t xml:space="preserve">variation / 2015</t>
  </si>
  <si>
    <t xml:space="preserve">Consommation</t>
  </si>
  <si>
    <t xml:space="preserve">Alu</t>
  </si>
  <si>
    <t xml:space="preserve">taux de clinker dans le ciment constant à 0,78</t>
  </si>
  <si>
    <t xml:space="preserve">NH3</t>
  </si>
  <si>
    <t xml:space="preserve">Cl2</t>
  </si>
  <si>
    <t xml:space="preserve">Papiers cartons</t>
  </si>
  <si>
    <t xml:space="preserve">Total</t>
  </si>
  <si>
    <t xml:space="preserve">taux de clinker dans le ciment passe à 58% en 2030, 40% en 2050 (reprise ADEME S2)</t>
  </si>
  <si>
    <t xml:space="preserve">3. Balance commerciale</t>
  </si>
  <si>
    <t xml:space="preserve">Comparaison avec les données BNR</t>
  </si>
  <si>
    <t xml:space="preserve">Observé</t>
  </si>
  <si>
    <t xml:space="preserve">Pepit0</t>
  </si>
  <si>
    <t xml:space="preserve">Calculé (rapporté aux productions CITEPA)</t>
  </si>
  <si>
    <t xml:space="preserve">Rapport Production / Consommation</t>
  </si>
  <si>
    <t xml:space="preserve">BNR</t>
  </si>
  <si>
    <t xml:space="preserve">production (kt)</t>
  </si>
  <si>
    <t xml:space="preserve">import (kt)</t>
  </si>
  <si>
    <t xml:space="preserve">aluminium</t>
  </si>
  <si>
    <t xml:space="preserve">export (kt)</t>
  </si>
  <si>
    <t xml:space="preserve">clinker</t>
  </si>
  <si>
    <t xml:space="preserve">solde commercial apparent (kt)</t>
  </si>
  <si>
    <t xml:space="preserve">verre</t>
  </si>
  <si>
    <t xml:space="preserve">Solde / prod</t>
  </si>
  <si>
    <t xml:space="preserve">ammoniac</t>
  </si>
  <si>
    <t xml:space="preserve">solde Pepit0 (prod - conso) Mt</t>
  </si>
  <si>
    <t xml:space="preserve">Surce</t>
  </si>
  <si>
    <t xml:space="preserve">papier</t>
  </si>
  <si>
    <t xml:space="preserve">Repris de l'observé</t>
  </si>
  <si>
    <t xml:space="preserve">Projeté</t>
  </si>
  <si>
    <t xml:space="preserve">AME : ratios gardés constants par rapport à 2019</t>
  </si>
  <si>
    <t xml:space="preserve">AMS : ratio gardé constant si exportateur. Hausse du ratio si importateur</t>
  </si>
  <si>
    <t xml:space="preserve">4. Niveau de production</t>
  </si>
  <si>
    <t xml:space="preserve">AME run1</t>
  </si>
  <si>
    <t xml:space="preserve">HF = acier primaire + ferraille traitée en HF (16% de la production des HF, constant dans le temps). Calcul : EAF+HF = Acier ; EAF = Acier - HF = MPR - 0,16HF (feraille HF) soit HF = (Acier - MPR) / (1-0,16)</t>
  </si>
  <si>
    <t xml:space="preserve">dont hauts-fourneaux</t>
  </si>
  <si>
    <t xml:space="preserve">EAF = MPR - ferraille traitée en HF - DRI</t>
  </si>
  <si>
    <t xml:space="preserve">Paramétré (pas de DRI en AMS - projet AM pas pris en compte car pas encore accord de la Commission Européenne)</t>
  </si>
  <si>
    <t xml:space="preserve">Cf hyp recyclage</t>
  </si>
  <si>
    <t xml:space="preserve">dont aluminium primaire</t>
  </si>
  <si>
    <t xml:space="preserve">TOTAL</t>
  </si>
  <si>
    <t xml:space="preserve">Total index 2019</t>
  </si>
  <si>
    <t xml:space="preserve">AMS run1</t>
  </si>
  <si>
    <t xml:space="preserve">NB: on ne suppose pas que l'on augmente le taux de recyclage dans les HF (ne passe que par le déploiement d'EAF)</t>
  </si>
  <si>
    <t xml:space="preserve">Paramétré, remplace les HF</t>
  </si>
  <si>
    <t xml:space="preserve">Baisse de l'ammoniac à 2050 à investiguer</t>
  </si>
  <si>
    <t xml:space="preserve">Total run1</t>
  </si>
  <si>
    <t xml:space="preserve">IGCE AME</t>
  </si>
  <si>
    <t xml:space="preserve">IGCE AMS</t>
  </si>
  <si>
    <t xml:space="preserve">Diffus AME</t>
  </si>
  <si>
    <t xml:space="preserve">Diffus AMS</t>
  </si>
  <si>
    <t xml:space="preserve">Diffus</t>
  </si>
  <si>
    <t xml:space="preserve">cf onglet VA historique</t>
  </si>
  <si>
    <t xml:space="preserve">2. VA en AME/AMS</t>
  </si>
  <si>
    <t xml:space="preserve">Valeur ajoutée brute (Md€) - cf Cadrage</t>
  </si>
  <si>
    <t xml:space="preserve">Evolution / 2020 brute</t>
  </si>
  <si>
    <t xml:space="preserve">Evolution / 2020 corrigée</t>
  </si>
  <si>
    <t xml:space="preserve">Md€2015</t>
  </si>
  <si>
    <t xml:space="preserve">Autres  </t>
  </si>
  <si>
    <t xml:space="preserve">Total industrie</t>
  </si>
  <si>
    <t xml:space="preserve">Evolution / 2020 brute corrigée</t>
  </si>
  <si>
    <t xml:space="preserve">Total diffus hors construction</t>
  </si>
  <si>
    <t xml:space="preserve">VA indice 2019</t>
  </si>
  <si>
    <t xml:space="preserve">VA run1</t>
  </si>
  <si>
    <t xml:space="preserve">3. Facteur de décorrélation VA / production physique </t>
  </si>
  <si>
    <t xml:space="preserve">identique AME/AMS</t>
  </si>
  <si>
    <t xml:space="preserve">Poursuite de la tendance historique 2000-2019 </t>
  </si>
  <si>
    <t xml:space="preserve">Indice 2000</t>
  </si>
  <si>
    <t xml:space="preserve">commentaires</t>
  </si>
  <si>
    <t xml:space="preserve">Indice 2019</t>
  </si>
  <si>
    <t xml:space="preserve">Comportement anormal entre 2000 et 2005 : pour cette branche spécifiquement, on prend la tendance 2005-2019</t>
  </si>
  <si>
    <t xml:space="preserve">Moyenne entre équipement de transport et machinery</t>
  </si>
  <si>
    <t xml:space="preserve">Bois 0,12 en 2050, autres autres 0,92, textiles 0,16 =&gt; on prend la moyenne du diffus 0,51</t>
  </si>
  <si>
    <t xml:space="preserve">Moyenne pondérée</t>
  </si>
  <si>
    <t xml:space="preserve">4. Niveau de production (indice 2019)</t>
  </si>
  <si>
    <t xml:space="preserve">total diffus avec construction</t>
  </si>
  <si>
    <t xml:space="preserve">total index 2019</t>
  </si>
  <si>
    <t xml:space="preserve">total index 2019 run1</t>
  </si>
  <si>
    <t xml:space="preserve">1. Valeur ajoutée historique par secteur pour l’industrie diffuse </t>
  </si>
  <si>
    <t xml:space="preserve">G€2014</t>
  </si>
  <si>
    <t xml:space="preserve">IAA</t>
  </si>
  <si>
    <t xml:space="preserve">Equipements</t>
  </si>
  <si>
    <t xml:space="preserve">Attention j'ai changé la catégorie métaux primaires (pris la catégorie "du dessus" : A.88.24 -&gt; A.38.CH, pour que ça colle mieux aux chiffres de l'AME2018)</t>
  </si>
  <si>
    <t xml:space="preserve">6.202 Valeur ajoutée brute par branche en volume aux prix de l'année précédente chaînés</t>
  </si>
  <si>
    <t xml:space="preserve">A5.AZ</t>
  </si>
  <si>
    <t xml:space="preserve">Agriculture, sylviculture et pêche</t>
  </si>
  <si>
    <t xml:space="preserve">A5.BE</t>
  </si>
  <si>
    <t xml:space="preserve">Industrie manufacturière, industries extractives et autres</t>
  </si>
  <si>
    <t xml:space="preserve">A17.DE</t>
  </si>
  <si>
    <t xml:space="preserve">    Industries extractives, énergie, eau, gestion des déchets et dépollution</t>
  </si>
  <si>
    <t xml:space="preserve">A38.BZ</t>
  </si>
  <si>
    <t xml:space="preserve">      Industries extractives</t>
  </si>
  <si>
    <t xml:space="preserve">A38.DZ</t>
  </si>
  <si>
    <t xml:space="preserve">      Production et distribution d'électricité, de gaz, de vapeur et d'air conditionné</t>
  </si>
  <si>
    <t xml:space="preserve">A38.EZ</t>
  </si>
  <si>
    <t xml:space="preserve">      Production et distribution d'eau ; assainissement, gestion des déchets et dépollution</t>
  </si>
  <si>
    <t xml:space="preserve">A17.C1</t>
  </si>
  <si>
    <t xml:space="preserve">    Fabrication de denrées alimentaires, de boissons et de produits à base de tabac</t>
  </si>
  <si>
    <t xml:space="preserve">A17.C2</t>
  </si>
  <si>
    <t xml:space="preserve">    Cokéfaction et raffinage</t>
  </si>
  <si>
    <t xml:space="preserve">A17.C3</t>
  </si>
  <si>
    <t xml:space="preserve">    Fabrication d'équipements électriques, électroniques, informatiques ; fabrication de machines</t>
  </si>
  <si>
    <t xml:space="preserve">A38.CI</t>
  </si>
  <si>
    <t xml:space="preserve">      Fabrication de produits informatiques, électroniques et optiques</t>
  </si>
  <si>
    <t xml:space="preserve">A38.CJ</t>
  </si>
  <si>
    <t xml:space="preserve">      Fabrication d équipements électriques</t>
  </si>
  <si>
    <t xml:space="preserve">A38.CK</t>
  </si>
  <si>
    <t xml:space="preserve">      Fabrication de machines et équipements n.c.a.</t>
  </si>
  <si>
    <t xml:space="preserve">A17.C4</t>
  </si>
  <si>
    <t xml:space="preserve">    Fabrication de matériels de transport</t>
  </si>
  <si>
    <t xml:space="preserve">A17.C5</t>
  </si>
  <si>
    <t xml:space="preserve">    Fabrication d'autres produits industriels</t>
  </si>
  <si>
    <t xml:space="preserve">A38.CB</t>
  </si>
  <si>
    <t xml:space="preserve">      Fabrication de textiles, industries de l'habillement, industrie du cuir et de la chaussure</t>
  </si>
  <si>
    <t xml:space="preserve">A38.CC</t>
  </si>
  <si>
    <t xml:space="preserve">      Travail du bois, industries du papier et imprimerie</t>
  </si>
  <si>
    <t xml:space="preserve">A38.CE</t>
  </si>
  <si>
    <t xml:space="preserve">      Industrie chimique</t>
  </si>
  <si>
    <t xml:space="preserve">A38.CF</t>
  </si>
  <si>
    <t xml:space="preserve">      Industrie pharmaceutique</t>
  </si>
  <si>
    <t xml:space="preserve">A38.CG</t>
  </si>
  <si>
    <t xml:space="preserve">      Fabrication de produits en caoutchouc, en plastique et d'autres produits minéraux non métalliques</t>
  </si>
  <si>
    <t xml:space="preserve">A38.CH</t>
  </si>
  <si>
    <t xml:space="preserve">      Métallurgie et fabrication de produits métalliques, hors machines et équipements</t>
  </si>
  <si>
    <t xml:space="preserve">A38.CM</t>
  </si>
  <si>
    <t xml:space="preserve">      Autres industries manufacturières ; réparation et installation de machines et d'équipements</t>
  </si>
  <si>
    <t xml:space="preserve">A5.FZ</t>
  </si>
  <si>
    <t xml:space="preserve">A5.GU</t>
  </si>
  <si>
    <t xml:space="preserve">Services principalement marchands</t>
  </si>
  <si>
    <t xml:space="preserve">A10.GI</t>
  </si>
  <si>
    <t xml:space="preserve">  Commerce de gros et de détail, transports, hébergement et restauration</t>
  </si>
  <si>
    <t xml:space="preserve">A17.GZ</t>
  </si>
  <si>
    <t xml:space="preserve">    Commerce ; réparation d'automobiles et de motocycles</t>
  </si>
  <si>
    <t xml:space="preserve">A17.HZ</t>
  </si>
  <si>
    <t xml:space="preserve">    Transports et entreposage</t>
  </si>
  <si>
    <t xml:space="preserve">A17.IZ</t>
  </si>
  <si>
    <t xml:space="preserve">    Hébergement et restauration</t>
  </si>
  <si>
    <t xml:space="preserve">A10.JZ</t>
  </si>
  <si>
    <t xml:space="preserve">  Information et communication</t>
  </si>
  <si>
    <t xml:space="preserve">A38.JA</t>
  </si>
  <si>
    <t xml:space="preserve">      Édition, audiovisuel et diffusion</t>
  </si>
  <si>
    <t xml:space="preserve">A38.JB</t>
  </si>
  <si>
    <t xml:space="preserve">      Télécommunications</t>
  </si>
  <si>
    <t xml:space="preserve">A38.JC</t>
  </si>
  <si>
    <t xml:space="preserve">      Activités informatiques et services d'information</t>
  </si>
  <si>
    <t xml:space="preserve">A10.KZ</t>
  </si>
  <si>
    <t xml:space="preserve">  Activités financières et d'assurance</t>
  </si>
  <si>
    <t xml:space="preserve">A10.LZ</t>
  </si>
  <si>
    <t xml:space="preserve">  Activités immobilières</t>
  </si>
  <si>
    <t xml:space="preserve">A10.MN</t>
  </si>
  <si>
    <t xml:space="preserve">  Activités scientifiques et techniques ; services administratifs et de soutien</t>
  </si>
  <si>
    <t xml:space="preserve">A38.MA</t>
  </si>
  <si>
    <t xml:space="preserve">      Activités juridiques, comptables, de gestion, d'architecture, d'ingénierie, de contrôle et d'analyses techniques</t>
  </si>
  <si>
    <t xml:space="preserve">A38.MB</t>
  </si>
  <si>
    <t xml:space="preserve">      Recherche-développement scientifique</t>
  </si>
  <si>
    <t xml:space="preserve">A38.MC</t>
  </si>
  <si>
    <t xml:space="preserve">      Autres activités spécialisées, scientifiques et techniques</t>
  </si>
  <si>
    <t xml:space="preserve">A38.NZ</t>
  </si>
  <si>
    <t xml:space="preserve">      Activités de services administratifs et de soutien</t>
  </si>
  <si>
    <t xml:space="preserve">A10.RU</t>
  </si>
  <si>
    <t xml:space="preserve">  Autres services</t>
  </si>
  <si>
    <t xml:space="preserve">A38.RZ</t>
  </si>
  <si>
    <t xml:space="preserve">      Arts, spectacles et activités récréatives</t>
  </si>
  <si>
    <t xml:space="preserve">A38.SZ</t>
  </si>
  <si>
    <t xml:space="preserve">      Autres activités de services</t>
  </si>
  <si>
    <t xml:space="preserve">A38.TZ</t>
  </si>
  <si>
    <t xml:space="preserve">      Activités des ménages en tant qu'employeurs</t>
  </si>
  <si>
    <t xml:space="preserve">A5.OQ</t>
  </si>
  <si>
    <t xml:space="preserve">Services principalement non marchands (*)</t>
  </si>
  <si>
    <t xml:space="preserve">A38.OZ</t>
  </si>
  <si>
    <t xml:space="preserve">      Administration publique et défense - sécurité sociale obligatoire</t>
  </si>
  <si>
    <t xml:space="preserve">A38.PZ</t>
  </si>
  <si>
    <t xml:space="preserve">      Enseignement</t>
  </si>
  <si>
    <t xml:space="preserve">A38.QA</t>
  </si>
  <si>
    <t xml:space="preserve">      Activités pour la santé humaine</t>
  </si>
  <si>
    <t xml:space="preserve">A38.QB</t>
  </si>
  <si>
    <t xml:space="preserve">      Hébergement médico-social et social et action sociale sans hébergement</t>
  </si>
  <si>
    <t xml:space="preserve">Total des branches</t>
  </si>
  <si>
    <t xml:space="preserve">Milliares d'euros 2014</t>
  </si>
  <si>
    <t xml:space="preserve">Source : Comptes nationaux - Base 2014, Insee</t>
  </si>
  <si>
    <t xml:space="preserve">6.202D Valeur ajoutée brute par branche en volume aux prix de l'année précédente chaînés</t>
  </si>
  <si>
    <t xml:space="preserve">A38.AZ</t>
  </si>
  <si>
    <t xml:space="preserve">A88.01</t>
  </si>
  <si>
    <t xml:space="preserve">  Culture et production animale, chasse et services annexes</t>
  </si>
  <si>
    <t xml:space="preserve">A88.02</t>
  </si>
  <si>
    <t xml:space="preserve">  Sylviculture et exploitation forestière</t>
  </si>
  <si>
    <t xml:space="preserve">A88.03</t>
  </si>
  <si>
    <t xml:space="preserve">  Pêche et aquaculture</t>
  </si>
  <si>
    <t xml:space="preserve">Industries extractives</t>
  </si>
  <si>
    <t xml:space="preserve">A88.05</t>
  </si>
  <si>
    <t xml:space="preserve">  Extraction de houille et de lignite</t>
  </si>
  <si>
    <t xml:space="preserve">A88.06</t>
  </si>
  <si>
    <t xml:space="preserve">  Extraction d'hydrocarbures</t>
  </si>
  <si>
    <t xml:space="preserve">A88.07</t>
  </si>
  <si>
    <t xml:space="preserve">  Extraction de minerais métalliques</t>
  </si>
  <si>
    <t xml:space="preserve">A88.08</t>
  </si>
  <si>
    <t xml:space="preserve">  Autres industries extractives</t>
  </si>
  <si>
    <t xml:space="preserve">A88.09</t>
  </si>
  <si>
    <t xml:space="preserve">  Services de soutien aux industries extractives</t>
  </si>
  <si>
    <t xml:space="preserve">A38.CA</t>
  </si>
  <si>
    <t xml:space="preserve">Fabrication de denrées alimentaires, de boissons et de produits à base de tabac</t>
  </si>
  <si>
    <t xml:space="preserve">A88.10</t>
  </si>
  <si>
    <t xml:space="preserve">  Industries alimentaires</t>
  </si>
  <si>
    <t xml:space="preserve">A88.11</t>
  </si>
  <si>
    <t xml:space="preserve">  Fabrication de boissons</t>
  </si>
  <si>
    <t xml:space="preserve">A88.12</t>
  </si>
  <si>
    <t xml:space="preserve">  Fabrication de produits à base de tabac</t>
  </si>
  <si>
    <t xml:space="preserve">Fabrication de textiles, industries de l'habillement, industrie du cuir et de la chaussure</t>
  </si>
  <si>
    <t xml:space="preserve">A88.13</t>
  </si>
  <si>
    <t xml:space="preserve">  Fabrication de textiles</t>
  </si>
  <si>
    <t xml:space="preserve">A88.14</t>
  </si>
  <si>
    <t xml:space="preserve">  Industrie de l'habillement</t>
  </si>
  <si>
    <t xml:space="preserve">A88.15</t>
  </si>
  <si>
    <t xml:space="preserve">  Industrie du cuir et de la chaussure</t>
  </si>
  <si>
    <t xml:space="preserve">Travail du bois, industries du papier et imprimerie</t>
  </si>
  <si>
    <t xml:space="preserve">A88.16</t>
  </si>
  <si>
    <t xml:space="preserve">  Travail du bois et fabrication d'articles en bois et en liège, hors meubles ; fabrication d'articles en vannerie et sparterie</t>
  </si>
  <si>
    <t xml:space="preserve">A88.17</t>
  </si>
  <si>
    <t xml:space="preserve">  Industrie du papier et du carton</t>
  </si>
  <si>
    <t xml:space="preserve">A88.18</t>
  </si>
  <si>
    <t xml:space="preserve">  Imprimerie et reproduction d'enregistrements</t>
  </si>
  <si>
    <t xml:space="preserve">A38.CD</t>
  </si>
  <si>
    <t xml:space="preserve">Cokéfaction et raffinage</t>
  </si>
  <si>
    <t xml:space="preserve">Industrie chimique</t>
  </si>
  <si>
    <t xml:space="preserve">Industrie pharmaceutique</t>
  </si>
  <si>
    <t xml:space="preserve">Fabrication de produits en caoutchouc, en plastique et d'autres produits minéraux non métalliques</t>
  </si>
  <si>
    <t xml:space="preserve">A88.22</t>
  </si>
  <si>
    <t xml:space="preserve">  Fabrication de produits en caoutchouc et en plastique</t>
  </si>
  <si>
    <t xml:space="preserve">A88.23</t>
  </si>
  <si>
    <t xml:space="preserve">  Fabrication d'autres produits minéraux non métalliques</t>
  </si>
  <si>
    <t xml:space="preserve">Métallurgie et fabrication de produits métalliques, hors machines et équipements</t>
  </si>
  <si>
    <t xml:space="preserve">A88.24</t>
  </si>
  <si>
    <t xml:space="preserve">  Métallurgie</t>
  </si>
  <si>
    <t xml:space="preserve">A88.25</t>
  </si>
  <si>
    <t xml:space="preserve">  Fabrication de produits métalliques, hors machines et équipements</t>
  </si>
  <si>
    <t xml:space="preserve">Fabrication de produits informatiques, électroniques et optiques</t>
  </si>
  <si>
    <t xml:space="preserve">Fabrication d'équipements électriques</t>
  </si>
  <si>
    <t xml:space="preserve">Fabrication de machines et équipements n.c.a.</t>
  </si>
  <si>
    <t xml:space="preserve">A38.CL</t>
  </si>
  <si>
    <t xml:space="preserve">Fabrication de matériels de transport</t>
  </si>
  <si>
    <t xml:space="preserve">A88.29</t>
  </si>
  <si>
    <t xml:space="preserve">  Industrie automobile</t>
  </si>
  <si>
    <t xml:space="preserve">A88.30</t>
  </si>
  <si>
    <t xml:space="preserve">  Fabrication d'autres matériels de transport</t>
  </si>
  <si>
    <t xml:space="preserve">Autres industries manufacturières ; réparation et installation de machines et d'équipements</t>
  </si>
  <si>
    <t xml:space="preserve">A88.31</t>
  </si>
  <si>
    <t xml:space="preserve">  Fabrication de meubles</t>
  </si>
  <si>
    <t xml:space="preserve">A88.32</t>
  </si>
  <si>
    <t xml:space="preserve">  Autres industries manufacturières</t>
  </si>
  <si>
    <t xml:space="preserve">A88.33</t>
  </si>
  <si>
    <t xml:space="preserve">  Réparation et installation de machines et d'équipements</t>
  </si>
  <si>
    <t xml:space="preserve">Production et distribution d'électricité, de gaz, de vapeur et d'air conditionné</t>
  </si>
  <si>
    <t xml:space="preserve">Production et distribution d'eau ; assainissement, gestion des déchets et dépollution</t>
  </si>
  <si>
    <t xml:space="preserve">A88.36</t>
  </si>
  <si>
    <t xml:space="preserve">  Captage, traitement et distribution d'eau</t>
  </si>
  <si>
    <t xml:space="preserve">A88.37</t>
  </si>
  <si>
    <t xml:space="preserve">  Collecte et traitement des eaux usées</t>
  </si>
  <si>
    <t xml:space="preserve">A88.38</t>
  </si>
  <si>
    <t xml:space="preserve">  Collecte, traitement et élimination des déchets ; récupération</t>
  </si>
  <si>
    <t xml:space="preserve">A88.39</t>
  </si>
  <si>
    <t xml:space="preserve">  Dépollution et autres services de gestion des déchets</t>
  </si>
  <si>
    <t xml:space="preserve">A38.FZ</t>
  </si>
  <si>
    <t xml:space="preserve">A88.41</t>
  </si>
  <si>
    <t xml:space="preserve">  Construction de bâtiments</t>
  </si>
  <si>
    <t xml:space="preserve">A88.42</t>
  </si>
  <si>
    <t xml:space="preserve">  Génie civil</t>
  </si>
  <si>
    <t xml:space="preserve">A88.43</t>
  </si>
  <si>
    <t xml:space="preserve">  Travaux de construction spécialisés</t>
  </si>
  <si>
    <t xml:space="preserve">A38.GZ</t>
  </si>
  <si>
    <t xml:space="preserve">Commerce ; réparation d'automobiles et de motocycles</t>
  </si>
  <si>
    <t xml:space="preserve">A88.45</t>
  </si>
  <si>
    <t xml:space="preserve">  Commerce et réparation d'automobiles et de motocycles</t>
  </si>
  <si>
    <t xml:space="preserve">A88.46</t>
  </si>
  <si>
    <t xml:space="preserve">  Commerce de gros, hors automobiles et motocycles</t>
  </si>
  <si>
    <t xml:space="preserve">A88.47</t>
  </si>
  <si>
    <t xml:space="preserve">  Commerce de détail, hors automobiles et motocycles</t>
  </si>
  <si>
    <t xml:space="preserve">A38.HZ</t>
  </si>
  <si>
    <t xml:space="preserve">Transports et entreposage</t>
  </si>
  <si>
    <t xml:space="preserve">A88.49</t>
  </si>
  <si>
    <t xml:space="preserve">  Transports terrestres et transport par conduites</t>
  </si>
  <si>
    <t xml:space="preserve">A88.50</t>
  </si>
  <si>
    <t xml:space="preserve">  Transports par eau</t>
  </si>
  <si>
    <t xml:space="preserve">A88.51</t>
  </si>
  <si>
    <t xml:space="preserve">  Transports aériens</t>
  </si>
  <si>
    <t xml:space="preserve">A88.52</t>
  </si>
  <si>
    <t xml:space="preserve">  Entreposage et services auxiliaires des transports</t>
  </si>
  <si>
    <t xml:space="preserve">A88.53</t>
  </si>
  <si>
    <t xml:space="preserve">  Activités de poste et de courrier</t>
  </si>
  <si>
    <t xml:space="preserve">A38.IZ</t>
  </si>
  <si>
    <t xml:space="preserve">Hébergement et restauration</t>
  </si>
  <si>
    <t xml:space="preserve">A88.55</t>
  </si>
  <si>
    <t xml:space="preserve">  Hébergement</t>
  </si>
  <si>
    <t xml:space="preserve">A88.56</t>
  </si>
  <si>
    <t xml:space="preserve">  Restauration</t>
  </si>
  <si>
    <t xml:space="preserve">Édition, audiovisuel et diffusion</t>
  </si>
  <si>
    <t xml:space="preserve">A88.58</t>
  </si>
  <si>
    <t xml:space="preserve">  Édition</t>
  </si>
  <si>
    <t xml:space="preserve">A88.59</t>
  </si>
  <si>
    <t xml:space="preserve">  Production de films cinématographiques, de vidéo et de programmes de télévision ; enregistrement sonore et édition musicale</t>
  </si>
  <si>
    <t xml:space="preserve">A88.60</t>
  </si>
  <si>
    <t xml:space="preserve">  Programmation et diffusion</t>
  </si>
  <si>
    <t xml:space="preserve">Télécommunications</t>
  </si>
  <si>
    <t xml:space="preserve">Activités informatiques et services d'information</t>
  </si>
  <si>
    <t xml:space="preserve">A88.62</t>
  </si>
  <si>
    <t xml:space="preserve">  Programmation, conseil et autres activités informatiques</t>
  </si>
  <si>
    <t xml:space="preserve">A88.63</t>
  </si>
  <si>
    <t xml:space="preserve">  Services d'information</t>
  </si>
  <si>
    <t xml:space="preserve">A38.KZ</t>
  </si>
  <si>
    <t xml:space="preserve">Activités financières et d'assurance</t>
  </si>
  <si>
    <t xml:space="preserve">A88.64</t>
  </si>
  <si>
    <t xml:space="preserve">  Activités des services financiers, hors assurance et caisses de retraite</t>
  </si>
  <si>
    <t xml:space="preserve">A88.65</t>
  </si>
  <si>
    <t xml:space="preserve">  Assurance</t>
  </si>
  <si>
    <t xml:space="preserve">A88.66</t>
  </si>
  <si>
    <t xml:space="preserve">  Activités auxiliaires de services financiers et d'assurance</t>
  </si>
  <si>
    <t xml:space="preserve">A38.LZ</t>
  </si>
  <si>
    <t xml:space="preserve">Activités immobilières</t>
  </si>
  <si>
    <t xml:space="preserve">Activités juridiques, comptables, de gestion, d'architecture, d'ingénierie, de contrôle et d'analyses techniques</t>
  </si>
  <si>
    <t xml:space="preserve">A88.69</t>
  </si>
  <si>
    <t xml:space="preserve">  Activités juridiques et comptables</t>
  </si>
  <si>
    <t xml:space="preserve">A88.70</t>
  </si>
  <si>
    <t xml:space="preserve">  Activités des sièges sociaux ; conseil de gestion</t>
  </si>
  <si>
    <t xml:space="preserve">A88.71</t>
  </si>
  <si>
    <t xml:space="preserve">  Activités d'architecture et d'ingénierie ; activités de contrôle et analyses techniques</t>
  </si>
  <si>
    <t xml:space="preserve">Recherche-développement scientifique</t>
  </si>
  <si>
    <t xml:space="preserve">Autres activités spécialisées, scientifiques et techniques</t>
  </si>
  <si>
    <t xml:space="preserve">A88.73</t>
  </si>
  <si>
    <t xml:space="preserve">  Publicité et études de marché</t>
  </si>
  <si>
    <t xml:space="preserve">A88.74</t>
  </si>
  <si>
    <t xml:space="preserve">  Autres activités spécialisées, scientifiques et techniques</t>
  </si>
  <si>
    <t xml:space="preserve">A88.75</t>
  </si>
  <si>
    <t xml:space="preserve">  Activités vétérinaires</t>
  </si>
  <si>
    <t xml:space="preserve">Activités de services administratifs et de soutien</t>
  </si>
  <si>
    <t xml:space="preserve">A88.77</t>
  </si>
  <si>
    <t xml:space="preserve">  Activités de location et location-bail</t>
  </si>
  <si>
    <t xml:space="preserve">A88.78</t>
  </si>
  <si>
    <t xml:space="preserve">  Activités liées à l'emploi</t>
  </si>
  <si>
    <t xml:space="preserve">A88.79</t>
  </si>
  <si>
    <t xml:space="preserve">  Activités des agences de voyage, voyagistes, services de réservation et activités connexes</t>
  </si>
  <si>
    <t xml:space="preserve">A88.80</t>
  </si>
  <si>
    <t xml:space="preserve">  Enquêtes et sécurité</t>
  </si>
  <si>
    <t xml:space="preserve">A88.81</t>
  </si>
  <si>
    <t xml:space="preserve">  Services relatifs aux bâtiments et aménagement paysager</t>
  </si>
  <si>
    <t xml:space="preserve">A88.82</t>
  </si>
  <si>
    <t xml:space="preserve">  Activités administratives et autres activités de soutien aux entreprises</t>
  </si>
  <si>
    <t xml:space="preserve">Administration publique et défense - sécurité sociale obligatoire</t>
  </si>
  <si>
    <t xml:space="preserve">Enseignement</t>
  </si>
  <si>
    <t xml:space="preserve">Activités pour la santé humaine</t>
  </si>
  <si>
    <t xml:space="preserve">Hébergement médico-social et social et action sociale sans hébergement</t>
  </si>
  <si>
    <t xml:space="preserve">A88.87</t>
  </si>
  <si>
    <t xml:space="preserve">  Hébergement médico-social et social</t>
  </si>
  <si>
    <t xml:space="preserve">A88.88</t>
  </si>
  <si>
    <t xml:space="preserve">  Action sociale sans hébergement</t>
  </si>
  <si>
    <t xml:space="preserve">Arts, spectacles et activités récréatives</t>
  </si>
  <si>
    <t xml:space="preserve">A88.90</t>
  </si>
  <si>
    <t xml:space="preserve">  Activités créatives, artistiques et de spectacle</t>
  </si>
  <si>
    <t xml:space="preserve">A88.91</t>
  </si>
  <si>
    <t xml:space="preserve">  Bibliothèques, archives, musées et autres activités culturelles</t>
  </si>
  <si>
    <t xml:space="preserve">A88.92</t>
  </si>
  <si>
    <t xml:space="preserve">  Organisation de jeux de hasard et d'argent</t>
  </si>
  <si>
    <t xml:space="preserve">A88.93</t>
  </si>
  <si>
    <t xml:space="preserve">  Activités sportives, récréatives et de loisirs</t>
  </si>
  <si>
    <t xml:space="preserve">Autres activités de services</t>
  </si>
  <si>
    <t xml:space="preserve">A88.94</t>
  </si>
  <si>
    <t xml:space="preserve">  Activités des organisations associatives</t>
  </si>
  <si>
    <t xml:space="preserve">A88.95</t>
  </si>
  <si>
    <t xml:space="preserve">  Réparation d'ordinateurs et de biens personnels et domestiques</t>
  </si>
  <si>
    <t xml:space="preserve">A88.96</t>
  </si>
  <si>
    <t xml:space="preserve">  Autres services personnels</t>
  </si>
  <si>
    <t xml:space="preserve">Activités des ménages en tant qu'employeurs</t>
  </si>
  <si>
    <t xml:space="preserve">A88.97</t>
  </si>
  <si>
    <t xml:space="preserve">  Activités des ménages en tant qu'employeurs de personnel domestique</t>
  </si>
  <si>
    <t xml:space="preserve">2. Evolution de la VA de l’industrie diffuse</t>
  </si>
  <si>
    <t xml:space="preserve">2020 : pour les secteurs non renseignés, hypothèse d’une baisse de 9,5 % (baisse de la VA de l’industrie selon l’INSEE)</t>
  </si>
  <si>
    <t xml:space="preserve">Md€ 2015</t>
  </si>
  <si>
    <t xml:space="preserve">TOTAL DIFFUS hors construction</t>
  </si>
  <si>
    <t xml:space="preserve">TOTAL DIFFUS y.c construction</t>
  </si>
  <si>
    <t xml:space="preserve">INSEE (G€ prix courants)</t>
  </si>
  <si>
    <t xml:space="preserve">INSEE (G€ 2014)</t>
  </si>
  <si>
    <t xml:space="preserve">EC Ref (G€ 2015)</t>
  </si>
  <si>
    <t xml:space="preserve">Total « industrie et énergie »</t>
  </si>
  <si>
    <t xml:space="preserve">dont total industrie</t>
  </si>
  <si>
    <t xml:space="preserve">Total construction</t>
  </si>
  <si>
    <t xml:space="preserve">inflation cumulée par rapport à 2014</t>
  </si>
  <si>
    <t xml:space="preserve">Ratio VA diffus / VA industrie hors construction</t>
  </si>
  <si>
    <t xml:space="preserve">VA construction on garde tel quel</t>
  </si>
  <si>
    <t xml:space="preserve">VA industrie </t>
  </si>
  <si>
    <t xml:space="preserve">cadrage</t>
  </si>
  <si>
    <t xml:space="preserve">VA industrie diffuse</t>
  </si>
  <si>
    <t xml:space="preserve">VA construction</t>
  </si>
  <si>
    <t xml:space="preserve">Année de référence 2019</t>
  </si>
  <si>
    <t xml:space="preserve">Données Run 1</t>
  </si>
  <si>
    <t xml:space="preserve">Proposition Run 2</t>
  </si>
  <si>
    <t xml:space="preserve">Consommation d'énergie 2019</t>
  </si>
  <si>
    <t xml:space="preserve">Charbon</t>
  </si>
  <si>
    <t xml:space="preserve">Pétrole brut</t>
  </si>
  <si>
    <t xml:space="preserve">Produits pétroliers raffinés</t>
  </si>
  <si>
    <t xml:space="preserve">Gaz naturel</t>
  </si>
  <si>
    <t xml:space="preserve">EnR thermiques et déchets</t>
  </si>
  <si>
    <t xml:space="preserve">Chaleur de l'environnement</t>
  </si>
  <si>
    <t xml:space="preserve">Solaire thermique et géothermie</t>
  </si>
  <si>
    <t xml:space="preserve">Électricité</t>
  </si>
  <si>
    <t xml:space="preserve">Chaleur vendue</t>
  </si>
  <si>
    <t xml:space="preserve">Hydrogène</t>
  </si>
  <si>
    <t xml:space="preserve">Gains AAP FR Relance - run1</t>
  </si>
  <si>
    <t xml:space="preserve">Gains AAP FR Relance - run2</t>
  </si>
  <si>
    <t xml:space="preserve">Biomasse solide</t>
  </si>
  <si>
    <t xml:space="preserve">Déchets</t>
  </si>
  <si>
    <t xml:space="preserve">Biocarburants</t>
  </si>
  <si>
    <t xml:space="preserve">Gaz renouvelable</t>
  </si>
  <si>
    <t xml:space="preserve">Coke</t>
  </si>
  <si>
    <t xml:space="preserve">Electricité PAC</t>
  </si>
  <si>
    <t xml:space="preserve">GWh</t>
  </si>
  <si>
    <t xml:space="preserve">%/2019</t>
  </si>
  <si>
    <t xml:space="preserve">Source</t>
  </si>
  <si>
    <t xml:space="preserve">Commentaire changement entre run1 &amp; run2</t>
  </si>
  <si>
    <t xml:space="preserve">     Dont sidérurgie (hauts fourneaux)</t>
  </si>
  <si>
    <t xml:space="preserve">Eurostat (Energie dans la ligne transformation des hauts fourneaux)</t>
  </si>
  <si>
    <t xml:space="preserve">Distinction entre la consommation des hauts fourneaux  et de la siderurgie après fabrication de l'acier liquide</t>
  </si>
  <si>
    <t xml:space="preserve">     Dont sidérurgie (arc électrique)</t>
  </si>
  <si>
    <t xml:space="preserve">https://www.mdpi.com/1996-1073/14/16/5152</t>
  </si>
  <si>
    <t xml:space="preserve">     Dont sidérurgie (réduction directe)</t>
  </si>
  <si>
    <t xml:space="preserve">  Dont sidérurgie (mise en forme de l'acier)</t>
  </si>
  <si>
    <t xml:space="preserve">Par différence -Odyssée</t>
  </si>
  <si>
    <t xml:space="preserve">     Dont aluminium (primaire)</t>
  </si>
  <si>
    <t xml:space="preserve">DGEC</t>
  </si>
  <si>
    <t xml:space="preserve">     Dont aluminium (recyclé)</t>
  </si>
  <si>
    <t xml:space="preserve">European aluminium - Enviromental report</t>
  </si>
  <si>
    <t xml:space="preserve">     Dont autres métaux primaires</t>
  </si>
  <si>
    <t xml:space="preserve">Odyssée</t>
  </si>
  <si>
    <t xml:space="preserve">     Dont Ammoniac</t>
  </si>
  <si>
    <t xml:space="preserve">     Dont pétrochimie de base</t>
  </si>
  <si>
    <t xml:space="preserve">Extrapolé à partir de données Secten de 2014 </t>
  </si>
  <si>
    <t xml:space="preserve">Consommation de pétrole réatribuée à du gaz, je pense qu'il y a un souci de scope entre Eurostat/SDES et les données du Secten sur la consommation de gaz/pétrole</t>
  </si>
  <si>
    <t xml:space="preserve">     Dont autres chimies</t>
  </si>
  <si>
    <t xml:space="preserve">Non-métalliques</t>
  </si>
  <si>
    <t xml:space="preserve">     Dont ciment</t>
  </si>
  <si>
    <t xml:space="preserve">     Dont verre</t>
  </si>
  <si>
    <t xml:space="preserve">     Dont autres non-métalliques</t>
  </si>
  <si>
    <t xml:space="preserve">Industries agroalimentaires</t>
  </si>
  <si>
    <t xml:space="preserve">Dont Sucre</t>
  </si>
  <si>
    <t xml:space="preserve">Dont autres IAA</t>
  </si>
  <si>
    <t xml:space="preserve">Equipement</t>
  </si>
  <si>
    <t xml:space="preserve">Autres</t>
  </si>
  <si>
    <t xml:space="preserve">     Dont papier-pâtes</t>
  </si>
  <si>
    <t xml:space="preserve">     Dont autres</t>
  </si>
  <si>
    <t xml:space="preserve">Total </t>
  </si>
  <si>
    <t xml:space="preserve">Total (sans HF)</t>
  </si>
  <si>
    <t xml:space="preserve">Charbon + Coke </t>
  </si>
  <si>
    <t xml:space="preserve">chaleur achetée </t>
  </si>
  <si>
    <t xml:space="preserve">Mix énergétique</t>
  </si>
  <si>
    <t xml:space="preserve">Électricité </t>
  </si>
  <si>
    <t xml:space="preserve">Gaz de réseau</t>
  </si>
  <si>
    <t xml:space="preserve">%</t>
  </si>
  <si>
    <t xml:space="preserve">Changement des données historiques pour prendre seulement ce qui rentre dans les hauts fourneaux. On se base sur le bilan statistique de Eurostat</t>
  </si>
  <si>
    <t xml:space="preserve">Ajout de biomasse solide à 2030 (FR Relance)</t>
  </si>
  <si>
    <t xml:space="preserve">Penetration du CSR et de la biomasse en lien avec la feuille de route et en ce basant sur les taux de pénétration de l'ADEME</t>
  </si>
  <si>
    <t xml:space="preserve">Changement mineur à cause d'un changement dans les données historique</t>
  </si>
  <si>
    <t xml:space="preserve">Pas de changement même si l'ADEME préconise une entré progressive du H2… (ce n'est pas le cas dans les scénarios ADEME, et les projets en France sont discutés avec de H2 déjà)</t>
  </si>
  <si>
    <t xml:space="preserve"> Siderurgie autres (casting rolling)</t>
  </si>
  <si>
    <t xml:space="preserve">Ajout d'un secteur, electrification et baisse du charbon mais pas complète car secteur de la sidérurgie très dépendant.</t>
  </si>
  <si>
    <t xml:space="preserve">Pas de changement</t>
  </si>
  <si>
    <t xml:space="preserve">Electrification proche du S3</t>
  </si>
  <si>
    <t xml:space="preserve">Changement après échange sur données historiques avec l'ADEME</t>
  </si>
  <si>
    <t xml:space="preserve">Baisse de la part d'hydrogène pour la consommation directe d'énergie - Augmentation de la consommation d'électricité, et de  biomasse, disparition du pétrole en contradiction avec les données de l'ADEME</t>
  </si>
  <si>
    <t xml:space="preserve">Le taux d'électrification est très haut dans les scénarios de l'ADEME dès 2030. On lise la courbe après les retours de l'ADEME. Mais la consommation est très liée à l'hypothèse de la part d'hydrogène dans la production d'ammoniac, qui est très ambitieux en AMS.</t>
  </si>
  <si>
    <t xml:space="preserve">On mélange le taux d'electrification de l'ADEME en S3 et la pénetration de la bomasse en S2</t>
  </si>
  <si>
    <t xml:space="preserve">Potentiel 3TWh de PAC (EDF) + 0,2TWh solaire thermique (FR chimie)</t>
  </si>
  <si>
    <t xml:space="preserve">Electrification baisse du charbon dès 2030, puis disparition du pétrole en 2050, ajout des PACs</t>
  </si>
  <si>
    <t xml:space="preserve">Ajout de + de biomasse solide à 2030 (FR Relance)</t>
  </si>
  <si>
    <t xml:space="preserve">On se base sur le mix proposé par la SFIC pour les usages thermiques. On baisse un peu l'electrification (trop haute d'après l'ADEME)</t>
  </si>
  <si>
    <t xml:space="preserve">On augmente légerement la biomasse pour se rapprocher du potentiel de S2</t>
  </si>
  <si>
    <t xml:space="preserve">La biomasse solide augmente dès 2030 avec FR Relance</t>
  </si>
  <si>
    <t xml:space="preserve">Potentiel 8TWh de PAC (EDF)</t>
  </si>
  <si>
    <t xml:space="preserve">On ajoute les PAC (donc on réduit la part de l'electricité joule et la part du gaz)</t>
  </si>
  <si>
    <t xml:space="preserve">Potentiel 3TWh de PAC (EDF)</t>
  </si>
  <si>
    <t xml:space="preserve">Ajout de chaleur vendue en lien avec les scénarios ADEME</t>
  </si>
  <si>
    <t xml:space="preserve">Mis à jour à partir des travaux de la FdR 301</t>
  </si>
  <si>
    <t xml:space="preserve">zéro charbon dès 2023, potentiel de 5TWh de PAC (EDF) + 0,2TWh solaire thermique (FR chimie)</t>
  </si>
  <si>
    <t xml:space="preserve">Potentiel 5TWh de PAC (EDF)</t>
  </si>
  <si>
    <t xml:space="preserve">Constant</t>
  </si>
  <si>
    <t xml:space="preserve">Disparition du charbon, et augmentation de la part de biomasse</t>
  </si>
  <si>
    <t xml:space="preserve">Reste constant</t>
  </si>
  <si>
    <t xml:space="preserve">Evolution simialire à AME run 1 mais avec des données historiques différentes</t>
  </si>
  <si>
    <t xml:space="preserve">Constant car pas de production d'hydrogène avec l'électrolyse</t>
  </si>
  <si>
    <t xml:space="preserve">Ajustement du point 2030 avec données Fr Relance</t>
  </si>
  <si>
    <t xml:space="preserve">Baisse de la part de charbon et augmentation de la biomasse et de l'électricité</t>
  </si>
  <si>
    <t xml:space="preserve">Augmentation de la part de biomasse </t>
  </si>
  <si>
    <t xml:space="preserve">Baisse du charbon et augmentation de l'électricité</t>
  </si>
  <si>
    <t xml:space="preserve">Augmentation de la biomasse et constant</t>
  </si>
  <si>
    <t xml:space="preserve">Mêmes données que dans l'onglet précédent, seule la présentation des chiffres (un tableau par année) change</t>
  </si>
  <si>
    <t xml:space="preserve">2030 AMS 2023</t>
  </si>
  <si>
    <t xml:space="preserve">Nucléaire</t>
  </si>
  <si>
    <t xml:space="preserve">EnR électriques</t>
  </si>
  <si>
    <t xml:space="preserve">Consommation d'énergie (% total)</t>
  </si>
  <si>
    <t xml:space="preserve">2050 AMS 2023</t>
  </si>
  <si>
    <t xml:space="preserve">2025 AME 2023</t>
  </si>
  <si>
    <t xml:space="preserve">2050 AME 2023</t>
  </si>
  <si>
    <t xml:space="preserve">Rappel hypothèses run1</t>
  </si>
  <si>
    <t xml:space="preserve">Commentaires</t>
  </si>
  <si>
    <t xml:space="preserve">Sauf indication contraire, les hypothèses AMS sont reprises de l’AMS précédent</t>
  </si>
  <si>
    <t xml:space="preserve">ADEME S3</t>
  </si>
  <si>
    <t xml:space="preserve">     Dont aluminium primaire</t>
  </si>
  <si>
    <t xml:space="preserve">     Dont aluminium recyclé</t>
  </si>
  <si>
    <t xml:space="preserve">idem Alu primaire en AMS</t>
  </si>
  <si>
    <t xml:space="preserve">inclut les gains liés au recyclage : Procédé recyclé consomme 80 % d’énergie en moins (AMS 2018)</t>
  </si>
  <si>
    <t xml:space="preserve">     Dont clinker</t>
  </si>
  <si>
    <t xml:space="preserve">S3 ADEME</t>
  </si>
  <si>
    <t xml:space="preserve">inclut les gains liés au recyclage : Procédé recyclé consomme 30 % d’énergie en moins (AMS 2018)</t>
  </si>
  <si>
    <t xml:space="preserve">Industrie agroalimentaire</t>
  </si>
  <si>
    <t xml:space="preserve">     Dont sucre</t>
  </si>
  <si>
    <t xml:space="preserve">     Dont autres Industries alimentaires et agricoles</t>
  </si>
  <si>
    <t xml:space="preserve">inclut les gains liés au recyclage : Procédé recyclé consomme 70 % d’énergie en moins (Federec)</t>
  </si>
  <si>
    <t xml:space="preserve">Rappel hypothèses scénarios précédents</t>
  </si>
  <si>
    <t xml:space="preserve">AME 2021</t>
  </si>
  <si>
    <t xml:space="preserve">Gains EE</t>
  </si>
  <si>
    <t xml:space="preserve">AMS 2018</t>
  </si>
  <si>
    <t xml:space="preserve">NW TEND</t>
  </si>
  <si>
    <t xml:space="preserve">NW</t>
  </si>
  <si>
    <t xml:space="preserve">Valeurs RTE pour le scénario de référence</t>
  </si>
  <si>
    <t xml:space="preserve">Entre 2030 et 2015</t>
  </si>
  <si>
    <t xml:space="preserve">Entre 2050 et 2015</t>
  </si>
  <si>
    <t xml:space="preserve">(gains par rapport à 2015)</t>
  </si>
  <si>
    <t xml:space="preserve">GES procédés</t>
  </si>
  <si>
    <t xml:space="preserve">Energie</t>
  </si>
  <si>
    <t xml:space="preserve">électricité</t>
  </si>
  <si>
    <t xml:space="preserve">combustibles</t>
  </si>
  <si>
    <t xml:space="preserve">Electricité</t>
  </si>
  <si>
    <t xml:space="preserve">Combustibles</t>
  </si>
  <si>
    <t xml:space="preserve">     Dont sidérurgie</t>
  </si>
  <si>
    <t xml:space="preserve">A voir car fondé sur AME 2018 </t>
  </si>
  <si>
    <t xml:space="preserve">     Dont aluminium</t>
  </si>
  <si>
    <t xml:space="preserve">métaux non ferreux</t>
  </si>
  <si>
    <t xml:space="preserve">E12 - Industrie laitière </t>
  </si>
  <si>
    <t xml:space="preserve">E13 - Sucreries </t>
  </si>
  <si>
    <t xml:space="preserve">E14 - Industries agricoles et alimentaires (solde) </t>
  </si>
  <si>
    <t xml:space="preserve">E16 - Sidérurgie </t>
  </si>
  <si>
    <t xml:space="preserve">Ethylène </t>
  </si>
  <si>
    <t xml:space="preserve">E18 - Métallurgie de 1ère transf. des métaux non ferreux </t>
  </si>
  <si>
    <t xml:space="preserve">     Dont chlore</t>
  </si>
  <si>
    <t xml:space="preserve">E19 - Production de minéraux divers </t>
  </si>
  <si>
    <t xml:space="preserve">E20 - Fabr. de plâtres, produits en plâtre, chaux et ciments </t>
  </si>
  <si>
    <t xml:space="preserve">E21 - Prod. d'autres matériaux de construction et de céramique </t>
  </si>
  <si>
    <t xml:space="preserve">E22 - Industrie du verre </t>
  </si>
  <si>
    <t xml:space="preserve">E23 - Fabrication d'engrais </t>
  </si>
  <si>
    <t xml:space="preserve">E24 - Autres industries de la chimie minérale </t>
  </si>
  <si>
    <t xml:space="preserve">E25 - Mat. plastiques, caoutchouc synth. et autres élastomères </t>
  </si>
  <si>
    <t xml:space="preserve">E26 - Autres industries de la chimie organique de base </t>
  </si>
  <si>
    <t xml:space="preserve">E28 - Parachimie et industrie pharmaceutique </t>
  </si>
  <si>
    <t xml:space="preserve">E29 - Fonderie et travail des métaux </t>
  </si>
  <si>
    <t xml:space="preserve">E30 - Construction mécanique </t>
  </si>
  <si>
    <t xml:space="preserve">E31 - Construction électrique et électronique </t>
  </si>
  <si>
    <t xml:space="preserve">E32 - Véh. automobiles et autres matériels de transp. terrestre </t>
  </si>
  <si>
    <t xml:space="preserve">E33 - Constr. navale et aéronautique, armement </t>
  </si>
  <si>
    <t xml:space="preserve">E34 - Industrie textile, du cuir et de l'habillement </t>
  </si>
  <si>
    <t xml:space="preserve">E35 - Industrie du papier et du carton </t>
  </si>
  <si>
    <t xml:space="preserve">E36 - Industrie du caoutchouc </t>
  </si>
  <si>
    <t xml:space="preserve">E37 - Transformation des matières plastiques </t>
  </si>
  <si>
    <t xml:space="preserve">E38 - Industries diverses </t>
  </si>
  <si>
    <t xml:space="preserve">TOTAL INDUSTRIE</t>
  </si>
  <si>
    <t xml:space="preserve">Proposition AME run 2</t>
  </si>
  <si>
    <t xml:space="preserve">On prend le plus ambitieux de FR Relance ou du TEND ADME</t>
  </si>
  <si>
    <t xml:space="preserve">input AAP FR Relance puis baisse lente</t>
  </si>
  <si>
    <t xml:space="preserve">Rapprochment avec  ADEME TEND</t>
  </si>
  <si>
    <t xml:space="preserve">Ajustement du point 2050</t>
  </si>
  <si>
    <t xml:space="preserve">Autres sidérurgie</t>
  </si>
  <si>
    <t xml:space="preserve">repris du run 1</t>
  </si>
  <si>
    <t xml:space="preserve">repris du run1 - cohérent avec AAP FR Relance</t>
  </si>
  <si>
    <t xml:space="preserve">On prend 5% en 2050 pour prendre en compte la trajectoire de la metalurgie (6% en 2030)</t>
  </si>
  <si>
    <t xml:space="preserve">repris du run1 - cohérent avec input AAP FR Relance </t>
  </si>
  <si>
    <t xml:space="preserve">repris du run 1 (la consommation d'énergie va aussi évoluer en fonction de la part de l'hydrogène produite par électrolyse pas compté dans l'industrie)</t>
  </si>
  <si>
    <t xml:space="preserve">repris du run1 - Ca prend en compte les gain du recyclage - cohérent avec input AAP FR Relance </t>
  </si>
  <si>
    <t xml:space="preserve">Rapprochement Ademe (input AAP FR Relance pour 2025/2030)</t>
  </si>
  <si>
    <t xml:space="preserve">Rapprochement Ademe- cohérent avec input AAP FR Relance </t>
  </si>
  <si>
    <t xml:space="preserve">Rapprochement Ademe - cohérent avec input AAP FR Relance </t>
  </si>
  <si>
    <t xml:space="preserve">Repris du run1 - voir output art301 si gains potentiels</t>
  </si>
  <si>
    <t xml:space="preserve">input AAP FR Relance puis baisse lente (+ relèvement pour rapprochement ADEME) - inclut le recyclage</t>
  </si>
  <si>
    <t xml:space="preserve">Rapprochement moyenne ADEME - cohérent avec input AAP FR Relance </t>
  </si>
  <si>
    <t xml:space="preserve">AMS run 2</t>
  </si>
  <si>
    <t xml:space="preserve">Proposition GW run1bis</t>
  </si>
  <si>
    <t xml:space="preserve">Calcul à partir du ratio énergie/production</t>
  </si>
  <si>
    <t xml:space="preserve">S2 Ademe</t>
  </si>
  <si>
    <t xml:space="preserve">S3 Ademe</t>
  </si>
  <si>
    <t xml:space="preserve">Secteur ADEME</t>
  </si>
  <si>
    <t xml:space="preserve">dont hauts fourneaux *</t>
  </si>
  <si>
    <t xml:space="preserve">/</t>
  </si>
  <si>
    <t xml:space="preserve">ADEME S2/S3 </t>
  </si>
  <si>
    <t xml:space="preserve">dont aciérie électrique (EAF) *</t>
  </si>
  <si>
    <t xml:space="preserve">Identique EAF</t>
  </si>
  <si>
    <t xml:space="preserve">dont DRI-EAF *</t>
  </si>
  <si>
    <t xml:space="preserve">     Autre sidérurgie</t>
  </si>
  <si>
    <t xml:space="preserve">Tentative d’alignement avec l’ADEME</t>
  </si>
  <si>
    <t xml:space="preserve">dont aluminium *</t>
  </si>
  <si>
    <t xml:space="preserve">Prend en compte les gains dus au recyclage</t>
  </si>
  <si>
    <t xml:space="preserve">Reprise acier/alu primaire</t>
  </si>
  <si>
    <t xml:space="preserve">Métaux non ferreux</t>
  </si>
  <si>
    <t xml:space="preserve">dont ammoniac *</t>
  </si>
  <si>
    <t xml:space="preserve">Chimie organique</t>
  </si>
  <si>
    <t xml:space="preserve">ADEME S3 </t>
  </si>
  <si>
    <t xml:space="preserve">Chimie minérale</t>
  </si>
  <si>
    <t xml:space="preserve">Ciment, chaux *</t>
  </si>
  <si>
    <t xml:space="preserve">ADEME S2/S3 (prend en compte les gains du recyclage)</t>
  </si>
  <si>
    <t xml:space="preserve">Verre *</t>
  </si>
  <si>
    <t xml:space="preserve">Matériaux de construction</t>
  </si>
  <si>
    <t xml:space="preserve">Sucre *</t>
  </si>
  <si>
    <t xml:space="preserve">Autres agro alimentaire</t>
  </si>
  <si>
    <t xml:space="preserve">Transports terrestres</t>
  </si>
  <si>
    <t xml:space="preserve">Gains calculées via FdR301 (en reprenant les gains PL), divisé par deux par conservatisme</t>
  </si>
  <si>
    <t xml:space="preserve">ADEME, en prenant en compte le recyclage</t>
  </si>
  <si>
    <t xml:space="preserve">Papiers-cartons (blanchiment) *</t>
  </si>
  <si>
    <t xml:space="preserve">Reprise équipements</t>
  </si>
  <si>
    <t xml:space="preserve">Taux d'incorporation matières premières recyclées</t>
  </si>
  <si>
    <t xml:space="preserve">Taux d'incorporation</t>
  </si>
  <si>
    <t xml:space="preserve">Historique (BNR ADEME 2019)</t>
  </si>
  <si>
    <t xml:space="preserve">ADEME</t>
  </si>
  <si>
    <t xml:space="preserve">RTE</t>
  </si>
  <si>
    <t xml:space="preserve">commentaire historique</t>
  </si>
  <si>
    <t xml:space="preserve">commentaire AME</t>
  </si>
  <si>
    <t xml:space="preserve">commentaire AMS</t>
  </si>
  <si>
    <t xml:space="preserve">TEND</t>
  </si>
  <si>
    <t xml:space="preserve">S1</t>
  </si>
  <si>
    <t xml:space="preserve">S2</t>
  </si>
  <si>
    <t xml:space="preserve">S3</t>
  </si>
  <si>
    <t xml:space="preserve">S4</t>
  </si>
  <si>
    <t xml:space="preserve">REF</t>
  </si>
  <si>
    <t xml:space="preserve">Impact prix du C : +0,5pt tous les 5 ans</t>
  </si>
  <si>
    <t xml:space="preserve">Repris du CITEPA</t>
  </si>
  <si>
    <t xml:space="preserve">hausse à 2030 puis constant</t>
  </si>
  <si>
    <t xml:space="preserve">Niveau 2050 AMS18 revu à la baisse / AMS18 (ADEMe autour de 45 % sauf S2 à 70%), niveau 2030 revu en accord avec les données Arcelor-Mittal/FR relance</t>
  </si>
  <si>
    <t xml:space="preserve">taux de l’aluminium issu de l’affinage et du recyclage direct</t>
  </si>
  <si>
    <t xml:space="preserve">stable</t>
  </si>
  <si>
    <t xml:space="preserve">reprise AMS/ ademe S1/S2 </t>
  </si>
  <si>
    <t xml:space="preserve">Plastiques</t>
  </si>
  <si>
    <t xml:space="preserve">N.R</t>
  </si>
  <si>
    <t xml:space="preserve">emballages uniquement – volume incorporé 2018 / volume de résines consommées 2019 – attention donnée peu fiable</t>
  </si>
  <si>
    <t xml:space="preserve">Effet plan de relance : +700kt de plastique recyclé incorporé dont 45 % sont des emballages</t>
  </si>
  <si>
    <t xml:space="preserve">reprise AMS/ ademe S1/S2</t>
  </si>
  <si>
    <t xml:space="preserve">TAUX MPR BAU AME</t>
  </si>
  <si>
    <t xml:space="preserve">Acier (%EAF/(EAF+BOF)</t>
  </si>
  <si>
    <t xml:space="preserve">taux d’incorporation de calcin par les verriers</t>
  </si>
  <si>
    <t xml:space="preserve">     Dont autres Industries agro-alimentaires</t>
  </si>
  <si>
    <t xml:space="preserve">TAUX MPR nW AMS</t>
  </si>
  <si>
    <t xml:space="preserve">taux d’incorporation de PCR</t>
  </si>
  <si>
    <t xml:space="preserve">poursuite de la hausse à 2030 puis constant</t>
  </si>
  <si>
    <t xml:space="preserve">Poursuite de la hausse 2015-2019. Reprise ADEME S1/S2/S3</t>
  </si>
  <si>
    <t xml:space="preserve">Papier - pâtes</t>
  </si>
  <si>
    <t xml:space="preserve">On simplifie en faisant l’hypothèse que l’ensemble des consommations non-énergétiques sont liées à l’industrie (~98 % selon le SDES). Comme le SDES ne désagrège pas finement par sous-secteur, on reprend la répartition 2014 des scénarios ADEME, que l’on considère constante dans le temps. On fait évoluer les consommations par [vecteur]x[secteur] en fonction de l’évolution du niveau de production, et d’hypothèses sur l’efficacité des procédés ainsi que la substitution biomasse et H2.</t>
  </si>
  <si>
    <t xml:space="preserve">Bilan de l’énergie (SDES) Mtep</t>
  </si>
  <si>
    <t xml:space="preserve">2012</t>
  </si>
  <si>
    <t xml:space="preserve">2013</t>
  </si>
  <si>
    <t xml:space="preserve">2014</t>
  </si>
  <si>
    <t xml:space="preserve">2015</t>
  </si>
  <si>
    <t xml:space="preserve">2016</t>
  </si>
  <si>
    <t xml:space="preserve">2017</t>
  </si>
  <si>
    <t xml:space="preserve">2018</t>
  </si>
  <si>
    <t xml:space="preserve">2019</t>
  </si>
  <si>
    <t xml:space="preserve">2020</t>
  </si>
  <si>
    <t xml:space="preserve">charbon</t>
  </si>
  <si>
    <t xml:space="preserve">Principalement acier (ADEME)</t>
  </si>
  <si>
    <t xml:space="preserve">Hypothèses sur le non-énergétiques pour l’AMS 2018 :</t>
  </si>
  <si>
    <t xml:space="preserve">gaz naturel</t>
  </si>
  <si>
    <t xml:space="preserve">41 % ammoniac, 50 % autres chimies, 9 % pétrochimie (25 % chimie minérale, 34 % chimie organique (dont 25 % pétrochimie)) – ADEME. Contient le gaz utilisé pour H2 (pas isolé)</t>
  </si>
  <si>
    <t xml:space="preserve">Consommation de pétrole pour la chimie réduite de 80 % (effet du recyclage du plastique)</t>
  </si>
  <si>
    <t xml:space="preserve">PPR</t>
  </si>
  <si>
    <t xml:space="preserve">3 % aluminium, 67 % pétrochimie, 29 % autres chimies (95 % chimie organique dont 70 % pétrochimie), 2 % autres (ADEME)</t>
  </si>
  <si>
    <t xml:space="preserve">Consommation de gaz pour la chimie réduite de 50 % (procédé à hydrogène et réduction des intrants en agriculture)</t>
  </si>
  <si>
    <t xml:space="preserve">dont industrie</t>
  </si>
  <si>
    <t xml:space="preserve">Consommation de pétrole pour la construction réduite de 50 % (effet biosourcé)</t>
  </si>
  <si>
    <t xml:space="preserve">dont pétrochimie</t>
  </si>
  <si>
    <t xml:space="preserve">Introduction d’hydrogène (Remplacement de 50 % du gaz par de l’hydrogène, 6 TWh de conso de combustible liquide remplacé par de l’hydrogène)</t>
  </si>
  <si>
    <t xml:space="preserve">dont construction</t>
  </si>
  <si>
    <t xml:space="preserve">dont autres industries</t>
  </si>
  <si>
    <t xml:space="preserve">conso finale à usage non énergétique</t>
  </si>
  <si>
    <t xml:space="preserve">Consommation finale à usage non énergétique de produits raffinés (yc soutes aériennes)</t>
  </si>
  <si>
    <t xml:space="preserve">Mtep</t>
  </si>
  <si>
    <t xml:space="preserve">gaz</t>
  </si>
  <si>
    <t xml:space="preserve">biomasse</t>
  </si>
  <si>
    <t xml:space="preserve">H2</t>
  </si>
  <si>
    <t xml:space="preserve">Sidérurgie</t>
  </si>
  <si>
    <t xml:space="preserve">Pétrochimie</t>
  </si>
  <si>
    <t xml:space="preserve">Autres chimies</t>
  </si>
  <si>
    <t xml:space="preserve">Construction (bitume…)</t>
  </si>
  <si>
    <t xml:space="preserve">Autres (électronique charbon/fuel, pharmacie gaz nat)</t>
  </si>
  <si>
    <t xml:space="preserve">Nouvelle proposition run2</t>
  </si>
  <si>
    <t xml:space="preserve">2. AME</t>
  </si>
  <si>
    <t xml:space="preserve">Substitution des non énergétiques </t>
  </si>
  <si>
    <t xml:space="preserve">La consommation de non énergétique est incluse dans la consommation d'énergie des Hauts fourneaux</t>
  </si>
  <si>
    <t xml:space="preserve">Coke de pétrole</t>
  </si>
  <si>
    <t xml:space="preserve">Biocoke</t>
  </si>
  <si>
    <t xml:space="preserve">Anode inerte</t>
  </si>
  <si>
    <t xml:space="preserve">Gaz (vaporeformage)</t>
  </si>
  <si>
    <t xml:space="preserve">Hydrogène directe (par électrolyne non considéré dans le scope industrie)</t>
  </si>
  <si>
    <t xml:space="preserve">Naphta</t>
  </si>
  <si>
    <t xml:space="preserve">Bionaohta</t>
  </si>
  <si>
    <t xml:space="preserve">Méthanol to oléphine</t>
  </si>
  <si>
    <t xml:space="preserve">Biofuel</t>
  </si>
  <si>
    <t xml:space="preserve">Biogaz</t>
  </si>
  <si>
    <t xml:space="preserve">Pétrole</t>
  </si>
  <si>
    <t xml:space="preserve">Biopétrole</t>
  </si>
  <si>
    <t xml:space="preserve">Synthétique fuel</t>
  </si>
  <si>
    <t xml:space="preserve">Pétrole </t>
  </si>
  <si>
    <t xml:space="preserve">Biofuel </t>
  </si>
  <si>
    <t xml:space="preserve">3. AMS</t>
  </si>
  <si>
    <t xml:space="preserve">On inclut les anodes inertes pas considérés dans AMS run 1</t>
  </si>
  <si>
    <t xml:space="preserve">Bionaphta</t>
  </si>
  <si>
    <t xml:space="preserve">On augmente la part du méthanol to olephine car d'après les PTS de l'ADEME cette solution est plus accessible que le bionaphta</t>
  </si>
  <si>
    <t xml:space="preserve">https://librairie.ademe.fr/cadic/5693/memo-pts-chimie-2021.pdf</t>
  </si>
  <si>
    <t xml:space="preserve">Synthétique fuel/hydrogène</t>
  </si>
  <si>
    <t xml:space="preserve">Pertes transport - stockage</t>
  </si>
  <si>
    <t xml:space="preserve">BRGM 2009 SOCECO2 </t>
  </si>
  <si>
    <t xml:space="preserve">On considère 1/2 du projet 3D</t>
  </si>
  <si>
    <t xml:space="preserve">ON n'a plus que 4Mt à capter en AMS run1</t>
  </si>
  <si>
    <t xml:space="preserve">part de CO2 biogénique</t>
  </si>
  <si>
    <t xml:space="preserve">données run1 HF</t>
  </si>
  <si>
    <t xml:space="preserve">part stockée</t>
  </si>
  <si>
    <t xml:space="preserve">part utilisée</t>
  </si>
  <si>
    <t xml:space="preserve">On considère 1/2 du projet Val de Seine</t>
  </si>
  <si>
    <t xml:space="preserve">On considère presque tout Val de Seine (plus que 8,7Mt à capter en 2050 run1)</t>
  </si>
  <si>
    <t xml:space="preserve">données run1</t>
  </si>
  <si>
    <t xml:space="preserve">données run1 chimie</t>
  </si>
  <si>
    <t xml:space="preserve">0,7Mt CCU en 2040 dans le projet Seine</t>
  </si>
  <si>
    <t xml:space="preserve">On considère 1/2 du projet K6</t>
  </si>
  <si>
    <t xml:space="preserve">On considère presque tout le projet K6 (plus que 5,5Mt à capter dans le ciment en 2050)</t>
  </si>
  <si>
    <t xml:space="preserve">données run1 non-métalliques</t>
  </si>
  <si>
    <t xml:space="preserve">Pas de développement</t>
  </si>
  <si>
    <t xml:space="preserve">données run1 papier-pâtes</t>
  </si>
  <si>
    <t xml:space="preserve">TOTAL industrie</t>
  </si>
  <si>
    <t xml:space="preserve">Production d’énergie</t>
  </si>
  <si>
    <t xml:space="preserve">production d'électricité</t>
  </si>
  <si>
    <t xml:space="preserve">production de chaleur</t>
  </si>
  <si>
    <t xml:space="preserve">On met tout sur la chaleur parce que les centrales thermiques pourraient fonctionner de manière intermittente uniquement</t>
  </si>
  <si>
    <t xml:space="preserve">raffinage</t>
  </si>
  <si>
    <t xml:space="preserve">Le projet Seine inclut une partie de raffinage</t>
  </si>
  <si>
    <t xml:space="preserve">Potentiel? (bioraffineries)</t>
  </si>
  <si>
    <t xml:space="preserve">TOTAL énergie</t>
  </si>
  <si>
    <t xml:space="preserve">Total CCUS</t>
  </si>
  <si>
    <t xml:space="preserve">DAC</t>
  </si>
  <si>
    <t xml:space="preserve">Total CCS fossile</t>
  </si>
  <si>
    <t xml:space="preserve">Total CCU fossile</t>
  </si>
  <si>
    <t xml:space="preserve">Total BECCS</t>
  </si>
  <si>
    <t xml:space="preserve">Total BECCU</t>
  </si>
  <si>
    <t xml:space="preserve">Total DACCS</t>
  </si>
  <si>
    <t xml:space="preserve">Total DACCU</t>
  </si>
  <si>
    <t xml:space="preserve">Total carbonatation du béton</t>
  </si>
  <si>
    <t xml:space="preserve">Total puits techno</t>
  </si>
  <si>
    <t xml:space="preserve">Carbone utilisé</t>
  </si>
  <si>
    <t xml:space="preserve">Carbone fossile stocké</t>
  </si>
  <si>
    <t xml:space="preserve">émissions négatives</t>
  </si>
  <si>
    <t xml:space="preserve">Projets AME : </t>
  </si>
  <si>
    <t xml:space="preserve">Dunkerque projet 3D (Total, ArcelorMittal, IFPEN, Axens) : 1Mt 2025 (mais pas de stockage!), 10Mt 2035 (sidérurgie)</t>
  </si>
  <si>
    <t xml:space="preserve">Normandie (Air Liquide, Borealis, Esso, Total, Yara) : 3Mt en 2030 (ammoniac, pétrochimie)</t>
  </si>
  <si>
    <t xml:space="preserve">Zone portuaire Val de eine (FdR Chimie) 0,2-0,6kt/an dès 2030, étude de pré-fiasabilité dit 5,4Mt en 2032 puis 7,7 en 2040</t>
  </si>
  <si>
    <t xml:space="preserve">Projet K6 - Cimenterie Eqilum - Lumbres Nord par de Calais. 5Mt en 2050 ciment. Mise en service 2026.  https://www.usinenouvelle.com/article/le-projet-de-captage-et-stockage-de-co2-d-eqiom-finance-par-le-fonds-innovation-europeen.N1162387 et https://www.legifrance.gouv.fr/jorf/id/JORFTEXT000044319595</t>
  </si>
  <si>
    <t xml:space="preserve">AMS18</t>
  </si>
  <si>
    <t xml:space="preserve">Production et consommation des principaux biens de consommation et d'équipement</t>
  </si>
  <si>
    <t xml:space="preserve">Consommation 2014</t>
  </si>
  <si>
    <t xml:space="preserve">Consommation 2019 consolidé AME/AMS:</t>
  </si>
  <si>
    <t xml:space="preserve">Consommation 2030</t>
  </si>
  <si>
    <t xml:space="preserve">Consommation 2049</t>
  </si>
  <si>
    <t xml:space="preserve">Consommation 2050 brutes</t>
  </si>
  <si>
    <t xml:space="preserve">Consommation 2050 corrigées</t>
  </si>
  <si>
    <t xml:space="preserve">Dichlore</t>
  </si>
  <si>
    <t xml:space="preserve">MECA ELEC TEXTILE DIVERS</t>
  </si>
  <si>
    <t xml:space="preserve">Mt</t>
  </si>
  <si>
    <t xml:space="preserve">Mécanique</t>
  </si>
  <si>
    <t xml:space="preserve">Electronique</t>
  </si>
  <si>
    <t xml:space="preserve">Textile</t>
  </si>
  <si>
    <t xml:space="preserve">Divers autres</t>
  </si>
  <si>
    <t xml:space="preserve">EMBALLAGES</t>
  </si>
  <si>
    <t xml:space="preserve">Emballages</t>
  </si>
  <si>
    <t xml:space="preserve">TRANSPORTS</t>
  </si>
  <si>
    <t xml:space="preserve">Transports terre</t>
  </si>
  <si>
    <t xml:space="preserve">Transports (NAA)</t>
  </si>
  <si>
    <t xml:space="preserve">BTP</t>
  </si>
  <si>
    <t xml:space="preserve">Bâtiment</t>
  </si>
  <si>
    <t xml:space="preserve">Ouvrages d'art</t>
  </si>
  <si>
    <t xml:space="preserve">Réseau ferré</t>
  </si>
  <si>
    <t xml:space="preserve">Voirie</t>
  </si>
  <si>
    <t xml:space="preserve">ENERGIE</t>
  </si>
  <si>
    <t xml:space="preserve">Eolien</t>
  </si>
  <si>
    <t xml:space="preserve">Photovoltaique</t>
  </si>
  <si>
    <t xml:space="preserve">Méthanisation</t>
  </si>
  <si>
    <t xml:space="preserve">CHIMIE</t>
  </si>
  <si>
    <t xml:space="preserve">Engrais azotés</t>
  </si>
  <si>
    <t xml:space="preserve">Engrais autres</t>
  </si>
  <si>
    <t xml:space="preserve">Phytosanitaires</t>
  </si>
  <si>
    <t xml:space="preserve">Entretien toilette</t>
  </si>
  <si>
    <t xml:space="preserve">Peintures,vernis,colles</t>
  </si>
  <si>
    <t xml:space="preserve">Pharmacie</t>
  </si>
  <si>
    <t xml:space="preserve">PAPIER</t>
  </si>
  <si>
    <t xml:space="preserve">Papier sanitaire</t>
  </si>
  <si>
    <t xml:space="preserve">Papier graphique</t>
  </si>
  <si>
    <t xml:space="preserve">Papiers spéciaux</t>
  </si>
  <si>
    <t xml:space="preserve">AGRO ALIMENTAIRE</t>
  </si>
  <si>
    <t xml:space="preserve">Agro alimentaire</t>
  </si>
  <si>
    <t xml:space="preserve">REACTIFS</t>
  </si>
  <si>
    <t xml:space="preserve">Metallurgie</t>
  </si>
  <si>
    <t xml:space="preserve">Engrais</t>
  </si>
  <si>
    <t xml:space="preserve">Recuperation</t>
  </si>
  <si>
    <t xml:space="preserve">Divers</t>
  </si>
  <si>
    <t xml:space="preserve">Pertes,ajustements</t>
  </si>
  <si>
    <t xml:space="preserve">AMS - chiffres à mettre à jour</t>
  </si>
  <si>
    <t xml:space="preserve">Consommation 2019 AME</t>
  </si>
  <si>
    <t xml:space="preserve">Consommation 2019 AMS</t>
  </si>
  <si>
    <t xml:space="preserve">Consommation 2019 consolidée AME/AMS</t>
  </si>
</sst>
</file>

<file path=xl/styles.xml><?xml version="1.0" encoding="utf-8"?>
<styleSheet xmlns="http://schemas.openxmlformats.org/spreadsheetml/2006/main">
  <numFmts count="15">
    <numFmt numFmtId="164" formatCode="General"/>
    <numFmt numFmtId="165" formatCode="#,##0.00"/>
    <numFmt numFmtId="166" formatCode="\ * #,##0.00\ ;\-* #,##0.00\ ;\ * \-#\ ;\ @\ "/>
    <numFmt numFmtId="167" formatCode="\ * #,##0.00&quot;    &quot;;\-* #,##0.00&quot;    &quot;;\ * \-#&quot;    &quot;;\ @\ "/>
    <numFmt numFmtId="168" formatCode="0"/>
    <numFmt numFmtId="169" formatCode="0\ %"/>
    <numFmt numFmtId="170" formatCode="0.0"/>
    <numFmt numFmtId="171" formatCode="0.000"/>
    <numFmt numFmtId="172" formatCode="0.00"/>
    <numFmt numFmtId="173" formatCode="0.00\ %"/>
    <numFmt numFmtId="174" formatCode="0.0%"/>
    <numFmt numFmtId="175" formatCode="#,##0.0"/>
    <numFmt numFmtId="176" formatCode="0.0\ %"/>
    <numFmt numFmtId="177" formatCode="#,##0"/>
    <numFmt numFmtId="178" formatCode="0.0000"/>
  </numFmts>
  <fonts count="100">
    <font>
      <sz val="11"/>
      <color rgb="FF000000"/>
      <name val="Calibri"/>
      <family val="2"/>
      <charset val="1"/>
    </font>
    <font>
      <sz val="10"/>
      <name val="Arial"/>
      <family val="0"/>
    </font>
    <font>
      <sz val="10"/>
      <name val="Arial"/>
      <family val="0"/>
    </font>
    <font>
      <sz val="10"/>
      <name val="Arial"/>
      <family val="0"/>
    </font>
    <font>
      <sz val="11"/>
      <name val="Calibri"/>
      <family val="2"/>
      <charset val="1"/>
    </font>
    <font>
      <sz val="11"/>
      <color rgb="FFFFFFFF"/>
      <name val="Calibri"/>
      <family val="2"/>
      <charset val="1"/>
    </font>
    <font>
      <u val="single"/>
      <sz val="10"/>
      <color rgb="FF0000FF"/>
      <name val="Times New Roman"/>
      <family val="1"/>
      <charset val="1"/>
    </font>
    <font>
      <u val="single"/>
      <sz val="10"/>
      <name val="Times New Roman"/>
      <family val="1"/>
      <charset val="1"/>
    </font>
    <font>
      <sz val="9"/>
      <name val="Times New Roman"/>
      <family val="1"/>
      <charset val="1"/>
    </font>
    <font>
      <sz val="10"/>
      <color rgb="FFFFFFFF"/>
      <name val="Calibri"/>
      <family val="2"/>
      <charset val="1"/>
    </font>
    <font>
      <sz val="10"/>
      <name val="Calibri"/>
      <family val="2"/>
      <charset val="1"/>
    </font>
    <font>
      <b val="true"/>
      <sz val="10"/>
      <color rgb="FF000000"/>
      <name val="Calibri"/>
      <family val="2"/>
      <charset val="1"/>
    </font>
    <font>
      <b val="true"/>
      <sz val="10"/>
      <name val="Calibri"/>
      <family val="2"/>
      <charset val="1"/>
    </font>
    <font>
      <b val="true"/>
      <sz val="9"/>
      <name val="Times New Roman"/>
      <family val="1"/>
      <charset val="1"/>
    </font>
    <font>
      <sz val="9"/>
      <color rgb="FF000000"/>
      <name val="Times New Roman"/>
      <family val="1"/>
      <charset val="1"/>
    </font>
    <font>
      <sz val="12"/>
      <color rgb="FF000000"/>
      <name val="Times New Roman"/>
      <family val="1"/>
      <charset val="1"/>
    </font>
    <font>
      <sz val="12"/>
      <name val="Times New Roman"/>
      <family val="1"/>
      <charset val="1"/>
    </font>
    <font>
      <b val="true"/>
      <sz val="11"/>
      <color rgb="FF333333"/>
      <name val="Calibri"/>
      <family val="2"/>
      <charset val="1"/>
    </font>
    <font>
      <sz val="10"/>
      <color rgb="FFCA0200"/>
      <name val="Calibri"/>
      <family val="2"/>
      <charset val="1"/>
    </font>
    <font>
      <sz val="11"/>
      <color rgb="FF800080"/>
      <name val="Calibri"/>
      <family val="2"/>
      <charset val="1"/>
    </font>
    <font>
      <sz val="10"/>
      <color rgb="FFCC0000"/>
      <name val="Calibri"/>
      <family val="2"/>
      <charset val="1"/>
    </font>
    <font>
      <b val="true"/>
      <sz val="11"/>
      <color rgb="FFFF9900"/>
      <name val="Calibri"/>
      <family val="2"/>
      <charset val="1"/>
    </font>
    <font>
      <b val="true"/>
      <sz val="11"/>
      <name val="Calibri"/>
      <family val="2"/>
      <charset val="1"/>
    </font>
    <font>
      <b val="true"/>
      <sz val="11"/>
      <color rgb="FFFFFFFF"/>
      <name val="Calibri"/>
      <family val="2"/>
      <charset val="1"/>
    </font>
    <font>
      <b val="true"/>
      <sz val="11"/>
      <color rgb="FF0000FF"/>
      <name val="Arial"/>
      <family val="2"/>
      <charset val="1"/>
    </font>
    <font>
      <b val="true"/>
      <sz val="11"/>
      <name val="Arial"/>
      <family val="2"/>
      <charset val="1"/>
    </font>
    <font>
      <sz val="11"/>
      <color rgb="FF333399"/>
      <name val="Calibri"/>
      <family val="2"/>
      <charset val="1"/>
    </font>
    <font>
      <sz val="10"/>
      <name val="Arial"/>
      <family val="2"/>
      <charset val="1"/>
    </font>
    <font>
      <b val="true"/>
      <sz val="11"/>
      <color rgb="FF000000"/>
      <name val="Calibri"/>
      <family val="2"/>
      <charset val="1"/>
    </font>
    <font>
      <i val="true"/>
      <sz val="11"/>
      <color rgb="FF808080"/>
      <name val="Calibri"/>
      <family val="2"/>
      <charset val="1"/>
    </font>
    <font>
      <i val="true"/>
      <sz val="11"/>
      <name val="Calibri"/>
      <family val="2"/>
      <charset val="1"/>
    </font>
    <font>
      <b val="true"/>
      <sz val="10"/>
      <color rgb="FFFFFFFF"/>
      <name val="Calibri"/>
      <family val="2"/>
      <charset val="1"/>
    </font>
    <font>
      <i val="true"/>
      <sz val="10"/>
      <color rgb="FF808080"/>
      <name val="Calibri"/>
      <family val="2"/>
      <charset val="1"/>
    </font>
    <font>
      <i val="true"/>
      <sz val="10"/>
      <name val="Calibri"/>
      <family val="2"/>
      <charset val="1"/>
    </font>
    <font>
      <sz val="10"/>
      <color rgb="FF007926"/>
      <name val="Calibri"/>
      <family val="2"/>
      <charset val="1"/>
    </font>
    <font>
      <sz val="10"/>
      <color rgb="FF006600"/>
      <name val="Calibri"/>
      <family val="2"/>
      <charset val="1"/>
    </font>
    <font>
      <sz val="11"/>
      <color rgb="FF007926"/>
      <name val="Calibri"/>
      <family val="2"/>
      <charset val="1"/>
    </font>
    <font>
      <sz val="18"/>
      <color rgb="FF000000"/>
      <name val="Calibri"/>
      <family val="2"/>
      <charset val="1"/>
    </font>
    <font>
      <sz val="18"/>
      <name val="Calibri"/>
      <family val="2"/>
      <charset val="1"/>
    </font>
    <font>
      <b val="true"/>
      <sz val="15"/>
      <color rgb="FF003366"/>
      <name val="Calibri"/>
      <family val="2"/>
      <charset val="1"/>
    </font>
    <font>
      <sz val="12"/>
      <color rgb="FF000000"/>
      <name val="Calibri"/>
      <family val="2"/>
      <charset val="1"/>
    </font>
    <font>
      <sz val="12"/>
      <name val="Calibri"/>
      <family val="2"/>
      <charset val="1"/>
    </font>
    <font>
      <b val="true"/>
      <sz val="13"/>
      <color rgb="FF003366"/>
      <name val="Calibri"/>
      <family val="2"/>
      <charset val="1"/>
    </font>
    <font>
      <b val="true"/>
      <sz val="24"/>
      <color rgb="FF000000"/>
      <name val="Calibri"/>
      <family val="2"/>
      <charset val="1"/>
    </font>
    <font>
      <b val="true"/>
      <sz val="11"/>
      <color rgb="FF003366"/>
      <name val="Calibri"/>
      <family val="2"/>
      <charset val="1"/>
    </font>
    <font>
      <b val="true"/>
      <sz val="24"/>
      <name val="Calibri"/>
      <family val="2"/>
      <charset val="1"/>
    </font>
    <font>
      <b val="true"/>
      <sz val="12"/>
      <name val="Times New Roman"/>
      <family val="1"/>
      <charset val="1"/>
    </font>
    <font>
      <u val="single"/>
      <sz val="10"/>
      <color rgb="FF0000FF"/>
      <name val="Calibri"/>
      <family val="2"/>
      <charset val="1"/>
    </font>
    <font>
      <u val="single"/>
      <sz val="10"/>
      <name val="Calibri"/>
      <family val="2"/>
      <charset val="1"/>
    </font>
    <font>
      <u val="single"/>
      <sz val="10"/>
      <color rgb="FF0000EE"/>
      <name val="Calibri"/>
      <family val="2"/>
      <charset val="1"/>
    </font>
    <font>
      <b val="true"/>
      <sz val="12"/>
      <color rgb="FF000000"/>
      <name val="Times New Roman"/>
      <family val="1"/>
      <charset val="1"/>
    </font>
    <font>
      <sz val="11"/>
      <color rgb="FFFF9900"/>
      <name val="Calibri"/>
      <family val="2"/>
      <charset val="1"/>
    </font>
    <font>
      <sz val="10"/>
      <color rgb="FFED661E"/>
      <name val="Calibri"/>
      <family val="2"/>
      <charset val="1"/>
    </font>
    <font>
      <sz val="10"/>
      <color rgb="FF993300"/>
      <name val="Calibri"/>
      <family val="2"/>
      <charset val="1"/>
    </font>
    <font>
      <sz val="10"/>
      <color rgb="FF996600"/>
      <name val="Calibri"/>
      <family val="2"/>
      <charset val="1"/>
    </font>
    <font>
      <sz val="11"/>
      <color rgb="FFCA0200"/>
      <name val="Calibri"/>
      <family val="2"/>
      <charset val="1"/>
    </font>
    <font>
      <sz val="11"/>
      <color rgb="FF333333"/>
      <name val="Calibri"/>
      <family val="2"/>
      <charset val="1"/>
    </font>
    <font>
      <sz val="8"/>
      <name val="Arial"/>
      <family val="2"/>
      <charset val="1"/>
    </font>
    <font>
      <sz val="10"/>
      <color rgb="FF333333"/>
      <name val="Calibri"/>
      <family val="2"/>
      <charset val="1"/>
    </font>
    <font>
      <sz val="10"/>
      <color rgb="FF000000"/>
      <name val="Arial"/>
      <family val="2"/>
      <charset val="1"/>
    </font>
    <font>
      <sz val="8"/>
      <color rgb="FF000000"/>
      <name val="Calibri"/>
      <family val="2"/>
      <charset val="1"/>
    </font>
    <font>
      <i val="true"/>
      <sz val="10"/>
      <color rgb="FFAFABAB"/>
      <name val="Arial"/>
      <family val="2"/>
      <charset val="1"/>
    </font>
    <font>
      <i val="true"/>
      <sz val="11"/>
      <color rgb="FFAFABAB"/>
      <name val="Calibri"/>
      <family val="2"/>
      <charset val="1"/>
    </font>
    <font>
      <sz val="11"/>
      <color rgb="FFAFABAB"/>
      <name val="Calibri"/>
      <family val="2"/>
      <charset val="1"/>
    </font>
    <font>
      <sz val="11"/>
      <color rgb="FFFF0000"/>
      <name val="Calibri"/>
      <family val="2"/>
      <charset val="1"/>
    </font>
    <font>
      <sz val="9"/>
      <color rgb="FF000000"/>
      <name val="Calibri"/>
      <family val="2"/>
      <charset val="1"/>
    </font>
    <font>
      <sz val="11"/>
      <color rgb="FFED7D31"/>
      <name val="Calibri"/>
      <family val="2"/>
      <charset val="1"/>
    </font>
    <font>
      <sz val="14"/>
      <color rgb="FF595959"/>
      <name val="Calibri"/>
      <family val="2"/>
    </font>
    <font>
      <sz val="9"/>
      <color rgb="FF595959"/>
      <name val="Calibri"/>
      <family val="2"/>
    </font>
    <font>
      <b val="true"/>
      <sz val="8"/>
      <color rgb="FF000000"/>
      <name val="Arial"/>
      <family val="2"/>
      <charset val="1"/>
    </font>
    <font>
      <sz val="18"/>
      <color rgb="FF00758F"/>
      <name val="Verdana"/>
      <family val="2"/>
      <charset val="1"/>
    </font>
    <font>
      <sz val="11"/>
      <color rgb="FF00758F"/>
      <name val="Verdana"/>
      <family val="2"/>
      <charset val="1"/>
    </font>
    <font>
      <b val="true"/>
      <sz val="10"/>
      <color rgb="FF000000"/>
      <name val="Arial"/>
      <family val="2"/>
      <charset val="1"/>
    </font>
    <font>
      <sz val="11"/>
      <color rgb="FFFF5900"/>
      <name val="Calibri"/>
      <family val="2"/>
      <charset val="1"/>
    </font>
    <font>
      <b val="true"/>
      <sz val="9"/>
      <color rgb="FF000000"/>
      <name val="Arial"/>
      <family val="2"/>
      <charset val="1"/>
    </font>
    <font>
      <sz val="11"/>
      <color rgb="FFC00000"/>
      <name val="Calibri"/>
      <family val="2"/>
      <charset val="1"/>
    </font>
    <font>
      <sz val="11"/>
      <color rgb="FF7030A0"/>
      <name val="Calibri"/>
      <family val="2"/>
      <charset val="1"/>
    </font>
    <font>
      <u val="single"/>
      <sz val="11"/>
      <color rgb="FF0563C1"/>
      <name val="Calibri"/>
      <family val="2"/>
      <charset val="1"/>
    </font>
    <font>
      <b val="true"/>
      <sz val="11"/>
      <color rgb="FF000000"/>
      <name val="Arial"/>
      <family val="2"/>
      <charset val="1"/>
    </font>
    <font>
      <i val="true"/>
      <sz val="11"/>
      <color rgb="FF000000"/>
      <name val="Arial"/>
      <family val="2"/>
      <charset val="1"/>
    </font>
    <font>
      <sz val="11"/>
      <color rgb="FF000000"/>
      <name val="Arial"/>
      <family val="2"/>
      <charset val="1"/>
    </font>
    <font>
      <sz val="11"/>
      <color rgb="FF70AD47"/>
      <name val="Calibri"/>
      <family val="2"/>
      <charset val="1"/>
    </font>
    <font>
      <sz val="11"/>
      <color rgb="FFCE181E"/>
      <name val="Calibri"/>
      <family val="2"/>
      <charset val="1"/>
    </font>
    <font>
      <sz val="10"/>
      <color rgb="FF000000"/>
      <name val="Calibri"/>
      <family val="2"/>
      <charset val="1"/>
    </font>
    <font>
      <b val="true"/>
      <sz val="11"/>
      <color rgb="FFFF0000"/>
      <name val="Calibri"/>
      <family val="2"/>
      <charset val="1"/>
    </font>
    <font>
      <i val="true"/>
      <sz val="11"/>
      <color rgb="FF333333"/>
      <name val="Arial"/>
      <family val="2"/>
      <charset val="1"/>
    </font>
    <font>
      <i val="true"/>
      <sz val="11"/>
      <color rgb="FFFFFFFF"/>
      <name val="Arial"/>
      <family val="2"/>
      <charset val="1"/>
    </font>
    <font>
      <i val="true"/>
      <sz val="9"/>
      <color rgb="FF0066CC"/>
      <name val="Calibri"/>
      <family val="2"/>
      <charset val="1"/>
    </font>
    <font>
      <b val="true"/>
      <sz val="9"/>
      <name val="Calibri"/>
      <family val="2"/>
      <charset val="1"/>
    </font>
    <font>
      <sz val="9"/>
      <name val="Calibri"/>
      <family val="2"/>
      <charset val="1"/>
    </font>
    <font>
      <i val="true"/>
      <sz val="11"/>
      <name val="Arial"/>
      <family val="2"/>
      <charset val="1"/>
    </font>
    <font>
      <i val="true"/>
      <sz val="11"/>
      <color rgb="FFFF0000"/>
      <name val="Arial"/>
      <family val="2"/>
      <charset val="1"/>
    </font>
    <font>
      <sz val="11"/>
      <color rgb="FF548235"/>
      <name val="Calibri"/>
      <family val="2"/>
      <charset val="1"/>
    </font>
    <font>
      <i val="true"/>
      <sz val="11"/>
      <color rgb="FFC00000"/>
      <name val="Calibri"/>
      <family val="2"/>
      <charset val="1"/>
    </font>
    <font>
      <sz val="10"/>
      <color rgb="FF808080"/>
      <name val="Calibri"/>
      <family val="2"/>
      <charset val="1"/>
    </font>
    <font>
      <sz val="9"/>
      <color rgb="FF595959"/>
      <name val="Calibri"/>
      <family val="2"/>
      <charset val="1"/>
    </font>
    <font>
      <sz val="9"/>
      <color rgb="FFC00000"/>
      <name val="Calibri"/>
      <family val="2"/>
      <charset val="1"/>
    </font>
    <font>
      <sz val="9"/>
      <color rgb="FF548235"/>
      <name val="Calibri"/>
      <family val="2"/>
      <charset val="1"/>
    </font>
    <font>
      <b val="true"/>
      <i val="true"/>
      <sz val="11"/>
      <color rgb="FFFFFFFF"/>
      <name val="Arial"/>
      <family val="2"/>
      <charset val="1"/>
    </font>
    <font>
      <sz val="10"/>
      <color rgb="FF595959"/>
      <name val="Calibri"/>
      <family val="2"/>
    </font>
  </fonts>
  <fills count="57">
    <fill>
      <patternFill patternType="none"/>
    </fill>
    <fill>
      <patternFill patternType="gray125"/>
    </fill>
    <fill>
      <patternFill patternType="solid">
        <fgColor rgb="FFCAD0FE"/>
        <bgColor rgb="FFBDD7EE"/>
      </patternFill>
    </fill>
    <fill>
      <patternFill patternType="solid">
        <fgColor rgb="FFFFFFFF"/>
        <bgColor rgb="FFF2F2F2"/>
      </patternFill>
    </fill>
    <fill>
      <patternFill patternType="solid">
        <fgColor rgb="FFFF99CC"/>
        <bgColor rgb="FFFF898C"/>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B"/>
        <bgColor rgb="FFD8D8D8"/>
      </patternFill>
    </fill>
    <fill>
      <patternFill patternType="solid">
        <fgColor rgb="FF9ACBFD"/>
        <bgColor rgb="FF9DC3E6"/>
      </patternFill>
    </fill>
    <fill>
      <patternFill patternType="solid">
        <fgColor rgb="FFFF898C"/>
        <bgColor rgb="FFFF99CC"/>
      </patternFill>
    </fill>
    <fill>
      <patternFill patternType="solid">
        <fgColor rgb="FF00FF00"/>
        <bgColor rgb="FF33CCCC"/>
      </patternFill>
    </fill>
    <fill>
      <patternFill patternType="solid">
        <fgColor rgb="FFFFCC00"/>
        <bgColor rgb="FFFFC000"/>
      </patternFill>
    </fill>
    <fill>
      <patternFill patternType="solid">
        <fgColor rgb="FF006DB4"/>
        <bgColor rgb="FF296098"/>
      </patternFill>
    </fill>
    <fill>
      <patternFill patternType="solid">
        <fgColor rgb="FF800080"/>
        <bgColor rgb="FF7A2D99"/>
      </patternFill>
    </fill>
    <fill>
      <patternFill patternType="solid">
        <fgColor rgb="FF33CCCC"/>
        <bgColor rgb="FF9ACBFD"/>
      </patternFill>
    </fill>
    <fill>
      <patternFill patternType="solid">
        <fgColor rgb="FFFF9900"/>
        <bgColor rgb="FFFF9109"/>
      </patternFill>
    </fill>
    <fill>
      <patternFill patternType="solid">
        <fgColor rgb="FF000000"/>
        <bgColor rgb="FF013347"/>
      </patternFill>
    </fill>
    <fill>
      <patternFill patternType="solid">
        <fgColor rgb="FF808080"/>
        <bgColor rgb="FF959698"/>
      </patternFill>
    </fill>
    <fill>
      <patternFill patternType="solid">
        <fgColor rgb="FFE0E3F2"/>
        <bgColor rgb="FFE9E3F2"/>
      </patternFill>
    </fill>
    <fill>
      <patternFill patternType="solid">
        <fgColor rgb="FF303434"/>
        <bgColor rgb="FF013347"/>
      </patternFill>
    </fill>
    <fill>
      <patternFill patternType="solid">
        <fgColor rgb="FF333399"/>
        <bgColor rgb="FF2F5597"/>
      </patternFill>
    </fill>
    <fill>
      <patternFill patternType="solid">
        <fgColor rgb="FFFF0000"/>
        <bgColor rgb="FFCC0101"/>
      </patternFill>
    </fill>
    <fill>
      <patternFill patternType="solid">
        <fgColor rgb="FF508B36"/>
        <bgColor rgb="FF73AF45"/>
      </patternFill>
    </fill>
    <fill>
      <patternFill patternType="mediumGray">
        <fgColor rgb="FF148317"/>
        <bgColor rgb="FF508B36"/>
      </patternFill>
    </fill>
    <fill>
      <patternFill patternType="solid">
        <fgColor rgb="FFFF5900"/>
        <bgColor rgb="FFED661E"/>
      </patternFill>
    </fill>
    <fill>
      <patternFill patternType="solid">
        <fgColor rgb="FFC0C0C0"/>
        <bgColor rgb="FFBFBFBF"/>
      </patternFill>
    </fill>
    <fill>
      <patternFill patternType="darkGray">
        <fgColor rgb="FFFFCC9B"/>
        <bgColor rgb="FFD8D8D8"/>
      </patternFill>
    </fill>
    <fill>
      <patternFill patternType="solid">
        <fgColor rgb="FF959698"/>
        <bgColor rgb="FFA9A7A7"/>
      </patternFill>
    </fill>
    <fill>
      <patternFill patternType="darkGray">
        <fgColor rgb="FFC40000"/>
        <bgColor rgb="FFCC0101"/>
      </patternFill>
    </fill>
    <fill>
      <patternFill patternType="solid">
        <fgColor rgb="FFCC0101"/>
        <bgColor rgb="FFC40000"/>
      </patternFill>
    </fill>
    <fill>
      <patternFill patternType="solid">
        <fgColor rgb="FFFFFFC8"/>
        <bgColor rgb="FFFFFFFF"/>
      </patternFill>
    </fill>
    <fill>
      <patternFill patternType="solid">
        <fgColor rgb="FFFFFF00"/>
        <bgColor rgb="FFFFCC00"/>
      </patternFill>
    </fill>
    <fill>
      <patternFill patternType="solid">
        <fgColor rgb="FFDEEBF7"/>
        <bgColor rgb="FFE0E3F2"/>
      </patternFill>
    </fill>
    <fill>
      <patternFill patternType="solid">
        <fgColor rgb="FFE9E3F2"/>
        <bgColor rgb="FFE0E3F2"/>
      </patternFill>
    </fill>
    <fill>
      <patternFill patternType="solid">
        <fgColor rgb="FFA9A7A7"/>
        <bgColor rgb="FF959698"/>
      </patternFill>
    </fill>
    <fill>
      <patternFill patternType="solid">
        <fgColor rgb="FFFFC000"/>
        <bgColor rgb="FFFFCC00"/>
      </patternFill>
    </fill>
    <fill>
      <patternFill patternType="solid">
        <fgColor rgb="FFED7D31"/>
        <bgColor rgb="FFED661E"/>
      </patternFill>
    </fill>
    <fill>
      <patternFill patternType="darkGray">
        <fgColor rgb="FF3D7AC0"/>
        <bgColor rgb="FF2E66A0"/>
      </patternFill>
    </fill>
    <fill>
      <patternFill patternType="solid">
        <fgColor rgb="FFF86032"/>
        <bgColor rgb="FFED661E"/>
      </patternFill>
    </fill>
    <fill>
      <patternFill patternType="solid">
        <fgColor rgb="FFB7C5DB"/>
        <bgColor rgb="FFB4C7E5"/>
      </patternFill>
    </fill>
    <fill>
      <patternFill patternType="solid">
        <fgColor rgb="FF73AF45"/>
        <bgColor rgb="FF508B36"/>
      </patternFill>
    </fill>
    <fill>
      <patternFill patternType="solid">
        <fgColor rgb="FFFF9109"/>
        <bgColor rgb="FFFF9900"/>
      </patternFill>
    </fill>
    <fill>
      <patternFill patternType="solid">
        <fgColor rgb="FFC40000"/>
        <bgColor rgb="FFCC0101"/>
      </patternFill>
    </fill>
    <fill>
      <patternFill patternType="solid">
        <fgColor rgb="FFBFBFBF"/>
        <bgColor rgb="FFC0C0C0"/>
      </patternFill>
    </fill>
    <fill>
      <patternFill patternType="darkGray">
        <fgColor rgb="FFFF898C"/>
        <bgColor rgb="FFFF99CC"/>
      </patternFill>
    </fill>
    <fill>
      <patternFill patternType="solid">
        <fgColor rgb="FFCCCCCC"/>
        <bgColor rgb="FFC0C0C0"/>
      </patternFill>
    </fill>
    <fill>
      <patternFill patternType="solid">
        <fgColor rgb="FFF2F2F2"/>
        <bgColor rgb="FFE2F0D9"/>
      </patternFill>
    </fill>
    <fill>
      <patternFill patternType="solid">
        <fgColor rgb="FF7A2D99"/>
        <bgColor rgb="FF800080"/>
      </patternFill>
    </fill>
    <fill>
      <patternFill patternType="solid">
        <fgColor rgb="FFED661E"/>
        <bgColor rgb="FFF86032"/>
      </patternFill>
    </fill>
    <fill>
      <patternFill patternType="darkGray">
        <fgColor rgb="FFFFFF00"/>
        <bgColor rgb="FFFFCC00"/>
      </patternFill>
    </fill>
    <fill>
      <patternFill patternType="solid">
        <fgColor rgb="FF2E66A0"/>
        <bgColor rgb="FF296098"/>
      </patternFill>
    </fill>
    <fill>
      <patternFill patternType="solid">
        <fgColor rgb="FFBDD7EE"/>
        <bgColor rgb="FFCAD0FE"/>
      </patternFill>
    </fill>
    <fill>
      <patternFill patternType="solid">
        <fgColor rgb="FFB4C7E5"/>
        <bgColor rgb="FFB7C5DB"/>
      </patternFill>
    </fill>
    <fill>
      <patternFill patternType="solid">
        <fgColor rgb="FFD8D8D8"/>
        <bgColor rgb="FFCCCCCC"/>
      </patternFill>
    </fill>
    <fill>
      <patternFill patternType="solid">
        <fgColor rgb="FFE2F0D9"/>
        <bgColor rgb="FFDEEBF7"/>
      </patternFill>
    </fill>
    <fill>
      <patternFill patternType="darkGray">
        <fgColor rgb="FFE0E3F2"/>
        <bgColor rgb="FFDEEBF7"/>
      </patternFill>
    </fill>
  </fills>
  <borders count="7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color rgb="FF013347"/>
      </left>
      <right style="thin">
        <color rgb="FF013347"/>
      </right>
      <top style="thin">
        <color rgb="FF013347"/>
      </top>
      <bottom style="thin">
        <color rgb="FF0133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013347"/>
      </left>
      <right style="double">
        <color rgb="FF013347"/>
      </right>
      <top style="double">
        <color rgb="FF013347"/>
      </top>
      <bottom style="double">
        <color rgb="FF013347"/>
      </bottom>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right/>
      <top/>
      <bottom style="medium"/>
      <diagonal/>
    </border>
    <border diagonalUp="false" diagonalDown="false">
      <left/>
      <right/>
      <top style="thin">
        <color rgb="FF333399"/>
      </top>
      <bottom style="double">
        <color rgb="FF333399"/>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thick"/>
      <diagonal/>
    </border>
    <border diagonalUp="false" diagonalDown="false">
      <left/>
      <right/>
      <top/>
      <bottom style="medium">
        <color rgb="FF006DB4"/>
      </bottom>
      <diagonal/>
    </border>
    <border diagonalUp="false" diagonalDown="false">
      <left/>
      <right/>
      <top/>
      <bottom style="thin"/>
      <diagonal/>
    </border>
    <border diagonalUp="false" diagonalDown="false">
      <left/>
      <right/>
      <top/>
      <bottom style="double">
        <color rgb="FFFF9900"/>
      </bottom>
      <diagonal/>
    </border>
    <border diagonalUp="false" diagonalDown="false">
      <left/>
      <right/>
      <top/>
      <bottom style="double"/>
      <diagonal/>
    </border>
    <border diagonalUp="false" diagonalDown="false">
      <left style="medium"/>
      <right/>
      <top/>
      <bottom/>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thin"/>
      <right/>
      <top style="thin"/>
      <bottom style="thin"/>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right/>
      <top style="hair"/>
      <bottom style="hair"/>
      <diagonal/>
    </border>
    <border diagonalUp="false" diagonalDown="false">
      <left/>
      <right style="hair"/>
      <top/>
      <bottom/>
      <diagonal/>
    </border>
    <border diagonalUp="false" diagonalDown="false">
      <left style="thin"/>
      <right style="thin"/>
      <top/>
      <bottom/>
      <diagonal/>
    </border>
    <border diagonalUp="false" diagonalDown="false">
      <left style="hair"/>
      <right style="hair"/>
      <top/>
      <bottom/>
      <diagonal/>
    </border>
    <border diagonalUp="false" diagonalDown="false">
      <left style="medium"/>
      <right style="thin"/>
      <top style="medium"/>
      <bottom/>
      <diagonal/>
    </border>
    <border diagonalUp="false" diagonalDown="false">
      <left style="medium"/>
      <right style="medium"/>
      <top style="medium"/>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top/>
      <bottom style="medium"/>
      <diagonal/>
    </border>
    <border diagonalUp="false" diagonalDown="false">
      <left/>
      <right style="medium"/>
      <top/>
      <bottom style="mediu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style="thin"/>
      <top style="thin"/>
      <bottom/>
      <diagonal/>
    </border>
    <border diagonalUp="false" diagonalDown="false">
      <left/>
      <right style="thin"/>
      <top/>
      <bottom/>
      <diagonal/>
    </border>
    <border diagonalUp="false" diagonalDown="false">
      <left/>
      <right/>
      <top style="thin"/>
      <bottom style="thin"/>
      <diagonal/>
    </border>
    <border diagonalUp="false" diagonalDown="false">
      <left style="thin"/>
      <right/>
      <top style="thin"/>
      <bottom/>
      <diagonal/>
    </border>
    <border diagonalUp="false" diagonalDown="false">
      <left style="thin"/>
      <right/>
      <top/>
      <bottom style="thin"/>
      <diagonal/>
    </border>
    <border diagonalUp="false" diagonalDown="false">
      <left style="hair"/>
      <right/>
      <top/>
      <bottom/>
      <diagonal/>
    </border>
    <border diagonalUp="false" diagonalDown="false">
      <left style="thin"/>
      <right style="hair"/>
      <top style="thin"/>
      <bottom style="hair"/>
      <diagonal/>
    </border>
    <border diagonalUp="false" diagonalDown="false">
      <left style="thin"/>
      <right style="hair"/>
      <top style="hair"/>
      <bottom style="hair"/>
      <diagonal/>
    </border>
    <border diagonalUp="false" diagonalDown="false">
      <left style="thin"/>
      <right style="hair"/>
      <top style="hair"/>
      <bottom style="thin"/>
      <diagonal/>
    </border>
    <border diagonalUp="false" diagonalDown="false">
      <left style="hair"/>
      <right style="thin"/>
      <top style="thin"/>
      <bottom style="thin"/>
      <diagonal/>
    </border>
    <border diagonalUp="false" diagonalDown="false">
      <left style="thin"/>
      <right style="hair"/>
      <top style="thin"/>
      <bottom style="thin"/>
      <diagonal/>
    </border>
    <border diagonalUp="false" diagonalDown="false">
      <left style="hair"/>
      <right style="thin"/>
      <top style="thin"/>
      <bottom style="hair"/>
      <diagonal/>
    </border>
    <border diagonalUp="false" diagonalDown="false">
      <left style="hair"/>
      <right/>
      <top/>
      <bottom style="hair"/>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56" fillId="0" borderId="0" applyFont="true" applyBorder="true" applyAlignment="true" applyProtection="true">
      <alignment horizontal="general" vertical="bottom" textRotation="0" wrapText="false" indent="0" shrinkToFit="false"/>
      <protection locked="true" hidden="false"/>
    </xf>
    <xf numFmtId="164" fontId="77"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1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left" vertical="center" textRotation="0" wrapText="false" indent="15" shrinkToFit="false"/>
      <protection locked="true" hidden="false"/>
    </xf>
    <xf numFmtId="164" fontId="0" fillId="0" borderId="0" applyFont="true" applyBorder="true" applyAlignment="true" applyProtection="true">
      <alignment horizontal="left" vertical="center" textRotation="0" wrapText="false" indent="0" shrinkToFit="false"/>
      <protection locked="true" hidden="false"/>
    </xf>
    <xf numFmtId="164" fontId="5" fillId="1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0"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17" borderId="0" applyFont="true" applyBorder="true" applyAlignment="true" applyProtection="true">
      <alignment horizontal="general" vertical="bottom" textRotation="0" wrapText="false" indent="0" shrinkToFit="false"/>
      <protection locked="true" hidden="false"/>
    </xf>
    <xf numFmtId="164" fontId="10" fillId="3" borderId="0" applyFont="true" applyBorder="true" applyAlignment="true" applyProtection="true">
      <alignment horizontal="general" vertical="bottom" textRotation="0" wrapText="false" indent="0" shrinkToFit="false"/>
      <protection locked="true" hidden="false"/>
    </xf>
    <xf numFmtId="164" fontId="9" fillId="17" borderId="0" applyFont="true" applyBorder="true" applyAlignment="true" applyProtection="true">
      <alignment horizontal="general" vertical="bottom" textRotation="0" wrapText="false" indent="0" shrinkToFit="false"/>
      <protection locked="true" hidden="false"/>
    </xf>
    <xf numFmtId="164" fontId="9" fillId="18" borderId="0" applyFont="true" applyBorder="true" applyAlignment="true" applyProtection="true">
      <alignment horizontal="general" vertical="bottom" textRotation="0" wrapText="false" indent="0" shrinkToFit="false"/>
      <protection locked="true" hidden="false"/>
    </xf>
    <xf numFmtId="164" fontId="10" fillId="3" borderId="0" applyFont="true" applyBorder="true" applyAlignment="true" applyProtection="true">
      <alignment horizontal="general" vertical="bottom" textRotation="0" wrapText="false" indent="0" shrinkToFit="false"/>
      <protection locked="true" hidden="false"/>
    </xf>
    <xf numFmtId="164" fontId="9" fillId="18" borderId="0" applyFont="true" applyBorder="true" applyAlignment="true" applyProtection="true">
      <alignment horizontal="general" vertical="bottom" textRotation="0" wrapText="false" indent="0" shrinkToFit="false"/>
      <protection locked="true" hidden="false"/>
    </xf>
    <xf numFmtId="164" fontId="11" fillId="19" borderId="0" applyFont="true" applyBorder="true" applyAlignment="true" applyProtection="true">
      <alignment horizontal="general" vertical="bottom" textRotation="0" wrapText="false" indent="0" shrinkToFit="false"/>
      <protection locked="true" hidden="false"/>
    </xf>
    <xf numFmtId="164" fontId="12" fillId="20" borderId="0" applyFont="true" applyBorder="true" applyAlignment="true" applyProtection="true">
      <alignment horizontal="general" vertical="bottom" textRotation="0" wrapText="false" indent="0" shrinkToFit="false"/>
      <protection locked="true" hidden="false"/>
    </xf>
    <xf numFmtId="164" fontId="11" fillId="19"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5" fillId="21" borderId="0" applyFont="true" applyBorder="true" applyAlignment="true" applyProtection="true">
      <alignment horizontal="general" vertical="bottom" textRotation="0" wrapText="false" indent="0" shrinkToFit="false"/>
      <protection locked="true" hidden="false"/>
    </xf>
    <xf numFmtId="164" fontId="4" fillId="21" borderId="0" applyFont="true" applyBorder="true" applyAlignment="true" applyProtection="true">
      <alignment horizontal="general" vertical="bottom" textRotation="0" wrapText="false" indent="0" shrinkToFit="false"/>
      <protection locked="true" hidden="false"/>
    </xf>
    <xf numFmtId="164" fontId="5" fillId="21" borderId="0" applyFont="true" applyBorder="true" applyAlignment="true" applyProtection="true">
      <alignment horizontal="general" vertical="bottom" textRotation="0" wrapText="false" indent="0" shrinkToFit="false"/>
      <protection locked="true" hidden="false"/>
    </xf>
    <xf numFmtId="164" fontId="4" fillId="21" borderId="0" applyFont="true" applyBorder="true" applyAlignment="true" applyProtection="true">
      <alignment horizontal="general" vertical="bottom" textRotation="0" wrapText="false" indent="0" shrinkToFit="false"/>
      <protection locked="true" hidden="false"/>
    </xf>
    <xf numFmtId="164" fontId="5" fillId="21" borderId="0" applyFont="true" applyBorder="true" applyAlignment="true" applyProtection="true">
      <alignment horizontal="general" vertical="bottom" textRotation="0" wrapText="false" indent="0" shrinkToFit="false"/>
      <protection locked="true" hidden="false"/>
    </xf>
    <xf numFmtId="164" fontId="4" fillId="21" borderId="0" applyFont="true" applyBorder="true" applyAlignment="true" applyProtection="true">
      <alignment horizontal="general" vertical="bottom" textRotation="0" wrapText="false" indent="0" shrinkToFit="false"/>
      <protection locked="true" hidden="false"/>
    </xf>
    <xf numFmtId="164" fontId="5" fillId="2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3" borderId="0" applyFont="true" applyBorder="true" applyAlignment="true" applyProtection="true">
      <alignment horizontal="general" vertical="bottom" textRotation="0" wrapText="false" indent="0" shrinkToFit="false"/>
      <protection locked="true" hidden="false"/>
    </xf>
    <xf numFmtId="164" fontId="4" fillId="24" borderId="0" applyFont="true" applyBorder="true" applyAlignment="true" applyProtection="true">
      <alignment horizontal="general" vertical="bottom" textRotation="0" wrapText="false" indent="0" shrinkToFit="false"/>
      <protection locked="true" hidden="false"/>
    </xf>
    <xf numFmtId="164" fontId="5" fillId="23" borderId="0" applyFont="true" applyBorder="true" applyAlignment="true" applyProtection="true">
      <alignment horizontal="general" vertical="bottom" textRotation="0" wrapText="false" indent="0" shrinkToFit="false"/>
      <protection locked="true" hidden="false"/>
    </xf>
    <xf numFmtId="164" fontId="4" fillId="24" borderId="0" applyFont="true" applyBorder="true" applyAlignment="true" applyProtection="true">
      <alignment horizontal="general" vertical="bottom" textRotation="0" wrapText="false" indent="0" shrinkToFit="false"/>
      <protection locked="true" hidden="false"/>
    </xf>
    <xf numFmtId="164" fontId="5" fillId="23" borderId="0" applyFont="true" applyBorder="true" applyAlignment="true" applyProtection="true">
      <alignment horizontal="general" vertical="bottom" textRotation="0" wrapText="false" indent="0" shrinkToFit="false"/>
      <protection locked="true" hidden="false"/>
    </xf>
    <xf numFmtId="164" fontId="4" fillId="24"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13" fillId="7" borderId="0" applyFont="true" applyBorder="true" applyAlignment="true" applyProtection="true">
      <alignment horizontal="general" vertical="bottom" textRotation="0" wrapText="false" indent="0" shrinkToFit="false"/>
      <protection locked="true" hidden="false"/>
    </xf>
    <xf numFmtId="165" fontId="13" fillId="7" borderId="0" applyFont="true" applyBorder="true" applyAlignment="true" applyProtection="true">
      <alignment horizontal="general" vertical="bottom" textRotation="0" wrapText="false" indent="0" shrinkToFit="false"/>
      <protection locked="true" hidden="false"/>
    </xf>
    <xf numFmtId="165" fontId="13" fillId="3"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true" applyAlignment="true" applyProtection="true">
      <alignment horizontal="general" vertical="bottom" textRotation="0" wrapText="false" indent="0" shrinkToFit="false"/>
      <protection locked="true" hidden="false"/>
    </xf>
    <xf numFmtId="164" fontId="8" fillId="7" borderId="0" applyFont="true" applyBorder="true" applyAlignment="true" applyProtection="true">
      <alignment horizontal="right" vertical="center" textRotation="0" wrapText="false" indent="0" shrinkToFit="false"/>
      <protection locked="true" hidden="false"/>
    </xf>
    <xf numFmtId="165" fontId="8" fillId="7" borderId="0" applyFont="true" applyBorder="true" applyAlignment="true" applyProtection="true">
      <alignment horizontal="right" vertical="center" textRotation="0" wrapText="false" indent="0" shrinkToFit="false"/>
      <protection locked="true" hidden="false"/>
    </xf>
    <xf numFmtId="165" fontId="8" fillId="3"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7" borderId="1" applyFont="true" applyBorder="true" applyAlignment="true" applyProtection="true">
      <alignment horizontal="right" vertical="center" textRotation="0" wrapText="false" indent="0" shrinkToFit="false"/>
      <protection locked="true" hidden="false"/>
    </xf>
    <xf numFmtId="164" fontId="8" fillId="5" borderId="0" applyFont="true" applyBorder="true" applyAlignment="true" applyProtection="true">
      <alignment horizontal="right" vertical="center" textRotation="0" wrapText="false" indent="0" shrinkToFit="false"/>
      <protection locked="true" hidden="false"/>
    </xf>
    <xf numFmtId="165" fontId="8" fillId="5" borderId="0" applyFont="true" applyBorder="true" applyAlignment="true" applyProtection="true">
      <alignment horizontal="right" vertical="center" textRotation="0" wrapText="false" indent="0" shrinkToFit="false"/>
      <protection locked="true" hidden="false"/>
    </xf>
    <xf numFmtId="165" fontId="8" fillId="3" borderId="0" applyFont="true" applyBorder="true" applyAlignment="true" applyProtection="true">
      <alignment horizontal="right" vertical="center" textRotation="0" wrapText="false" indent="0" shrinkToFit="false"/>
      <protection locked="true" hidden="false"/>
    </xf>
    <xf numFmtId="164" fontId="8" fillId="5"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5"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5" borderId="0" applyFont="true" applyBorder="true" applyAlignment="true" applyProtection="true">
      <alignment horizontal="right" vertical="center" textRotation="0" wrapText="false" indent="0" shrinkToFit="false"/>
      <protection locked="true" hidden="false"/>
    </xf>
    <xf numFmtId="165" fontId="8" fillId="5" borderId="0" applyFont="true" applyBorder="true" applyAlignment="true" applyProtection="true">
      <alignment horizontal="right" vertical="center" textRotation="0" wrapText="false" indent="0" shrinkToFit="false"/>
      <protection locked="true" hidden="false"/>
    </xf>
    <xf numFmtId="165" fontId="8" fillId="3" borderId="0" applyFont="true" applyBorder="true" applyAlignment="true" applyProtection="true">
      <alignment horizontal="right" vertical="center" textRotation="0" wrapText="false" indent="0" shrinkToFit="false"/>
      <protection locked="true" hidden="false"/>
    </xf>
    <xf numFmtId="164" fontId="8" fillId="5"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5"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3" borderId="0" applyFont="true" applyBorder="true" applyAlignment="true" applyProtection="true">
      <alignment horizontal="right" vertical="center" textRotation="0" wrapText="false" indent="0" shrinkToFit="false"/>
      <protection locked="true" hidden="false"/>
    </xf>
    <xf numFmtId="164" fontId="8" fillId="5" borderId="2"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14" fillId="5"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5"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5" fillId="5"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5" fontId="16"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5" fillId="5"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6" fillId="3" borderId="1" applyFont="true" applyBorder="true" applyAlignment="true" applyProtection="true">
      <alignment horizontal="right" vertical="center" textRotation="0" wrapText="false" indent="0" shrinkToFit="false"/>
      <protection locked="true" hidden="false"/>
    </xf>
    <xf numFmtId="164" fontId="14" fillId="5" borderId="3"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14" fillId="8"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5"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8" fillId="3" borderId="1" applyFont="true" applyBorder="true" applyAlignment="true" applyProtection="true">
      <alignment horizontal="right" vertical="center" textRotation="0" wrapText="false" indent="0" shrinkToFit="false"/>
      <protection locked="true" hidden="false"/>
    </xf>
    <xf numFmtId="164" fontId="14" fillId="8" borderId="3" applyFont="true" applyBorder="true" applyAlignment="true" applyProtection="true">
      <alignment horizontal="right" vertical="center" textRotation="0" wrapText="false" indent="0" shrinkToFit="false"/>
      <protection locked="true" hidden="false"/>
    </xf>
    <xf numFmtId="164" fontId="14" fillId="8" borderId="4"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14" fillId="8"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5" fontId="8" fillId="3"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14" fillId="8"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8" fillId="3" borderId="5"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5"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14" fillId="8"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4" fontId="8" fillId="3" borderId="6" applyFont="true" applyBorder="true" applyAlignment="true" applyProtection="true">
      <alignment horizontal="right" vertical="center" textRotation="0" wrapText="false" indent="0" shrinkToFit="false"/>
      <protection locked="true" hidden="false"/>
    </xf>
    <xf numFmtId="165" fontId="14" fillId="8" borderId="6" applyFont="true" applyBorder="true" applyAlignment="true" applyProtection="true">
      <alignment horizontal="right" vertical="center" textRotation="0" wrapText="false" indent="0" shrinkToFit="false"/>
      <protection locked="true" hidden="false"/>
    </xf>
    <xf numFmtId="164" fontId="5" fillId="21" borderId="0" applyFont="true" applyBorder="true" applyAlignment="true" applyProtection="true">
      <alignment horizontal="general" vertical="bottom" textRotation="0" wrapText="false" indent="0" shrinkToFit="false"/>
      <protection locked="true" hidden="false"/>
    </xf>
    <xf numFmtId="164" fontId="4" fillId="21" borderId="0" applyFont="true" applyBorder="true" applyAlignment="true" applyProtection="true">
      <alignment horizontal="general" vertical="bottom" textRotation="0" wrapText="false" indent="0" shrinkToFit="false"/>
      <protection locked="true" hidden="false"/>
    </xf>
    <xf numFmtId="164" fontId="5" fillId="22"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3" borderId="0" applyFont="true" applyBorder="true" applyAlignment="true" applyProtection="true">
      <alignment horizontal="general" vertical="bottom" textRotation="0" wrapText="false" indent="0" shrinkToFit="false"/>
      <protection locked="true" hidden="false"/>
    </xf>
    <xf numFmtId="164" fontId="4" fillId="24" borderId="0" applyFont="true" applyBorder="true" applyAlignment="true" applyProtection="true">
      <alignment horizontal="general" vertical="bottom" textRotation="0" wrapText="false" indent="0" shrinkToFit="false"/>
      <protection locked="true" hidden="false"/>
    </xf>
    <xf numFmtId="164" fontId="5" fillId="1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1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 fillId="2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7" fillId="26" borderId="7" applyFont="true" applyBorder="true" applyAlignment="true" applyProtection="true">
      <alignment horizontal="general" vertical="bottom" textRotation="0" wrapText="false" indent="0" shrinkToFit="false"/>
      <protection locked="true" hidden="false"/>
    </xf>
    <xf numFmtId="164" fontId="17" fillId="3" borderId="7" applyFont="true" applyBorder="true" applyAlignment="true" applyProtection="true">
      <alignment horizontal="general" vertical="bottom" textRotation="0" wrapText="false" indent="0" shrinkToFit="false"/>
      <protection locked="true" hidden="false"/>
    </xf>
    <xf numFmtId="164" fontId="18" fillId="27" borderId="0" applyFont="true" applyBorder="true" applyAlignment="true" applyProtection="true">
      <alignment horizontal="general" vertical="bottom" textRotation="0" wrapText="false" indent="0" shrinkToFit="false"/>
      <protection locked="true" hidden="false"/>
    </xf>
    <xf numFmtId="164" fontId="10" fillId="3" borderId="0" applyFont="true" applyBorder="true" applyAlignment="true" applyProtection="true">
      <alignment horizontal="general" vertical="bottom" textRotation="0" wrapText="false" indent="0" shrinkToFit="false"/>
      <protection locked="true" hidden="false"/>
    </xf>
    <xf numFmtId="164" fontId="19"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19"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19" fillId="4"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20" fillId="27" borderId="0"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5" fontId="13" fillId="0" borderId="0" applyFont="true" applyBorder="true" applyAlignment="true" applyProtection="true">
      <alignment horizontal="right" vertical="center" textRotation="0" wrapText="false" indent="0" shrinkToFit="false"/>
      <protection locked="true" hidden="false"/>
    </xf>
    <xf numFmtId="165" fontId="13" fillId="0" borderId="0" applyFont="true" applyBorder="true" applyAlignment="true" applyProtection="true">
      <alignment horizontal="right" vertical="center"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1" fillId="26" borderId="8"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2" fillId="3" borderId="1" applyFont="true" applyBorder="true" applyAlignment="true" applyProtection="true">
      <alignment horizontal="general" vertical="bottom" textRotation="0" wrapText="false" indent="0" shrinkToFit="false"/>
      <protection locked="true" hidden="false"/>
    </xf>
    <xf numFmtId="164" fontId="23" fillId="28" borderId="9" applyFont="true" applyBorder="true" applyAlignment="true" applyProtection="true">
      <alignment horizontal="general" vertical="bottom" textRotation="0" wrapText="false" indent="0" shrinkToFit="false"/>
      <protection locked="true" hidden="false"/>
    </xf>
    <xf numFmtId="164" fontId="22" fillId="3" borderId="9" applyFont="true" applyBorder="true" applyAlignment="true" applyProtection="true">
      <alignment horizontal="general" vertical="bottom" textRotation="0" wrapText="false" indent="0" shrinkToFit="false"/>
      <protection locked="true" hidden="false"/>
    </xf>
    <xf numFmtId="164" fontId="23" fillId="28" borderId="9" applyFont="true" applyBorder="true" applyAlignment="true" applyProtection="true">
      <alignment horizontal="general" vertical="bottom" textRotation="0" wrapText="false" indent="0" shrinkToFit="false"/>
      <protection locked="true" hidden="false"/>
    </xf>
    <xf numFmtId="164" fontId="22" fillId="3" borderId="9" applyFont="true" applyBorder="true" applyAlignment="true" applyProtection="true">
      <alignment horizontal="general" vertical="bottom" textRotation="0" wrapText="false" indent="0" shrinkToFit="false"/>
      <protection locked="true" hidden="false"/>
    </xf>
    <xf numFmtId="164" fontId="23" fillId="28" borderId="9" applyFont="true" applyBorder="true" applyAlignment="true" applyProtection="true">
      <alignment horizontal="general" vertical="bottom" textRotation="0" wrapText="false" indent="0" shrinkToFit="false"/>
      <protection locked="true" hidden="false"/>
    </xf>
    <xf numFmtId="164" fontId="22" fillId="3" borderId="9"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right" vertical="bottom" textRotation="0" wrapText="false" indent="0" shrinkToFit="false"/>
      <protection locked="true" hidden="false"/>
    </xf>
    <xf numFmtId="164" fontId="8" fillId="0" borderId="0" applyFont="true" applyBorder="true" applyAlignment="true" applyProtection="true">
      <alignment horizontal="right" vertical="bottom" textRotation="0" wrapText="false" indent="0" shrinkToFit="false"/>
      <protection locked="true" hidden="false"/>
    </xf>
    <xf numFmtId="164" fontId="24" fillId="0" borderId="0" applyFont="true" applyBorder="true" applyAlignment="true" applyProtection="true">
      <alignment horizontal="left" vertical="center" textRotation="0" wrapText="false" indent="1" shrinkToFit="false"/>
      <protection locked="true" hidden="false"/>
    </xf>
    <xf numFmtId="164" fontId="25" fillId="0" borderId="0" applyFont="true" applyBorder="true" applyAlignment="true" applyProtection="true">
      <alignment horizontal="left" vertical="center" textRotation="0" wrapText="false" indent="1"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8"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3"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0" borderId="10" applyFont="true" applyBorder="true" applyAlignment="true" applyProtection="true">
      <alignment horizontal="left" vertical="center" textRotation="0" wrapText="true" indent="15"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5"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8" fillId="3" borderId="5" applyFont="true" applyBorder="true" applyAlignment="true" applyProtection="true">
      <alignment horizontal="left" vertical="center" textRotation="0" wrapText="false" indent="0" shrinkToFit="false"/>
      <protection locked="true" hidden="false"/>
    </xf>
    <xf numFmtId="164" fontId="14" fillId="0" borderId="11" applyFont="true" applyBorder="true" applyAlignment="true" applyProtection="true">
      <alignment horizontal="left" vertical="top" textRotation="0" wrapText="tru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7" fillId="0" borderId="12"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8" fillId="0" borderId="13" applyFont="true" applyBorder="true" applyAlignment="true" applyProtection="true">
      <alignment horizontal="general" vertical="bottom" textRotation="0" wrapText="false" indent="0" shrinkToFit="false"/>
      <protection locked="true" hidden="false"/>
    </xf>
    <xf numFmtId="164" fontId="22" fillId="0" borderId="13"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31" fillId="29"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true" applyAlignment="true" applyProtection="true">
      <alignment horizontal="general" vertical="bottom" textRotation="0" wrapText="false" indent="0" shrinkToFit="false"/>
      <protection locked="true" hidden="false"/>
    </xf>
    <xf numFmtId="164" fontId="31" fillId="3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29" fillId="0" borderId="0" applyFont="true" applyBorder="true" applyAlignment="true" applyProtection="true">
      <alignment horizontal="general" vertical="bottom" textRotation="0" wrapText="false" indent="0" shrinkToFit="false"/>
      <protection locked="true" hidden="false"/>
    </xf>
    <xf numFmtId="164" fontId="30"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34" fillId="5" borderId="0" applyFont="true" applyBorder="true" applyAlignment="true" applyProtection="true">
      <alignment horizontal="general" vertical="bottom" textRotation="0" wrapText="false" indent="0" shrinkToFit="false"/>
      <protection locked="true" hidden="false"/>
    </xf>
    <xf numFmtId="164" fontId="10" fillId="3" borderId="0" applyFont="true" applyBorder="true" applyAlignment="true" applyProtection="true">
      <alignment horizontal="general" vertical="bottom" textRotation="0" wrapText="false" indent="0" shrinkToFit="false"/>
      <protection locked="true" hidden="false"/>
    </xf>
    <xf numFmtId="164" fontId="35" fillId="5" borderId="0" applyFont="true" applyBorder="true" applyAlignment="true" applyProtection="true">
      <alignment horizontal="general" vertical="bottom" textRotation="0" wrapText="false" indent="0" shrinkToFit="false"/>
      <protection locked="true" hidden="false"/>
    </xf>
    <xf numFmtId="164" fontId="36"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36"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36"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36" fillId="5"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37" fillId="0" borderId="0" applyFont="true" applyBorder="true" applyAlignment="true" applyProtection="true">
      <alignment horizontal="general" vertical="bottom" textRotation="0" wrapText="false" indent="0" shrinkToFit="false"/>
      <protection locked="true" hidden="false"/>
    </xf>
    <xf numFmtId="164" fontId="38" fillId="0" borderId="0" applyFont="true" applyBorder="true" applyAlignment="true" applyProtection="true">
      <alignment horizontal="general" vertical="bottom" textRotation="0" wrapText="false" indent="0" shrinkToFit="false"/>
      <protection locked="true" hidden="false"/>
    </xf>
    <xf numFmtId="164" fontId="37" fillId="0" borderId="0" applyFont="true" applyBorder="true" applyAlignment="true" applyProtection="true">
      <alignment horizontal="general" vertical="bottom" textRotation="0" wrapText="false" indent="0" shrinkToFit="false"/>
      <protection locked="true" hidden="false"/>
    </xf>
    <xf numFmtId="164" fontId="39" fillId="0" borderId="14" applyFont="true" applyBorder="true" applyAlignment="true" applyProtection="true">
      <alignment horizontal="general" vertical="bottom" textRotation="0" wrapText="false" indent="0" shrinkToFit="false"/>
      <protection locked="true" hidden="false"/>
    </xf>
    <xf numFmtId="164" fontId="39" fillId="0" borderId="14" applyFont="true" applyBorder="true" applyAlignment="true" applyProtection="true">
      <alignment horizontal="general" vertical="bottom" textRotation="0" wrapText="false" indent="0" shrinkToFit="false"/>
      <protection locked="true" hidden="false"/>
    </xf>
    <xf numFmtId="164" fontId="39" fillId="0" borderId="14" applyFont="true" applyBorder="true" applyAlignment="true" applyProtection="true">
      <alignment horizontal="general" vertical="bottom" textRotation="0" wrapText="false" indent="0" shrinkToFit="false"/>
      <protection locked="true" hidden="false"/>
    </xf>
    <xf numFmtId="164" fontId="39" fillId="0" borderId="14" applyFont="true" applyBorder="true" applyAlignment="true" applyProtection="true">
      <alignment horizontal="general" vertical="bottom" textRotation="0" wrapText="false" indent="0" shrinkToFit="false"/>
      <protection locked="true" hidden="false"/>
    </xf>
    <xf numFmtId="164" fontId="39" fillId="0" borderId="14" applyFont="true" applyBorder="true" applyAlignment="true" applyProtection="true">
      <alignment horizontal="general" vertical="bottom" textRotation="0" wrapText="false" indent="0" shrinkToFit="false"/>
      <protection locked="true" hidden="false"/>
    </xf>
    <xf numFmtId="164" fontId="39" fillId="0" borderId="14"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general" vertical="bottom" textRotation="0" wrapText="false" indent="0" shrinkToFit="false"/>
      <protection locked="true" hidden="false"/>
    </xf>
    <xf numFmtId="164" fontId="42" fillId="0" borderId="15" applyFont="true" applyBorder="true" applyAlignment="true" applyProtection="true">
      <alignment horizontal="general" vertical="bottom" textRotation="0" wrapText="false" indent="0" shrinkToFit="false"/>
      <protection locked="true" hidden="false"/>
    </xf>
    <xf numFmtId="164" fontId="42" fillId="0" borderId="16" applyFont="true" applyBorder="true" applyAlignment="true" applyProtection="true">
      <alignment horizontal="general" vertical="bottom" textRotation="0" wrapText="false" indent="0" shrinkToFit="false"/>
      <protection locked="true" hidden="false"/>
    </xf>
    <xf numFmtId="164" fontId="42" fillId="0" borderId="15" applyFont="true" applyBorder="true" applyAlignment="true" applyProtection="true">
      <alignment horizontal="general" vertical="bottom" textRotation="0" wrapText="false" indent="0" shrinkToFit="false"/>
      <protection locked="true" hidden="false"/>
    </xf>
    <xf numFmtId="164" fontId="42" fillId="0" borderId="16" applyFont="true" applyBorder="true" applyAlignment="true" applyProtection="true">
      <alignment horizontal="general" vertical="bottom" textRotation="0" wrapText="false" indent="0" shrinkToFit="false"/>
      <protection locked="true" hidden="false"/>
    </xf>
    <xf numFmtId="164" fontId="42" fillId="0" borderId="15" applyFont="true" applyBorder="true" applyAlignment="true" applyProtection="true">
      <alignment horizontal="general" vertical="bottom" textRotation="0" wrapText="false" indent="0" shrinkToFit="false"/>
      <protection locked="true" hidden="false"/>
    </xf>
    <xf numFmtId="164" fontId="42" fillId="0" borderId="16" applyFont="true" applyBorder="true" applyAlignment="true" applyProtection="true">
      <alignment horizontal="general" vertical="bottom" textRotation="0" wrapText="false" indent="0" shrinkToFit="false"/>
      <protection locked="true" hidden="false"/>
    </xf>
    <xf numFmtId="164" fontId="43" fillId="0" borderId="0" applyFont="true" applyBorder="true" applyAlignment="true" applyProtection="true">
      <alignment horizontal="general" vertical="bottom" textRotation="0" wrapText="false" indent="0" shrinkToFit="false"/>
      <protection locked="true" hidden="false"/>
    </xf>
    <xf numFmtId="164" fontId="44" fillId="0" borderId="17" applyFont="true" applyBorder="true" applyAlignment="true" applyProtection="true">
      <alignment horizontal="general" vertical="bottom" textRotation="0" wrapText="false" indent="0" shrinkToFit="false"/>
      <protection locked="true" hidden="false"/>
    </xf>
    <xf numFmtId="164" fontId="44" fillId="0" borderId="12" applyFont="true" applyBorder="true" applyAlignment="true" applyProtection="true">
      <alignment horizontal="general" vertical="bottom" textRotation="0" wrapText="false" indent="0" shrinkToFit="false"/>
      <protection locked="true" hidden="false"/>
    </xf>
    <xf numFmtId="164" fontId="44" fillId="0" borderId="17" applyFont="true" applyBorder="true" applyAlignment="true" applyProtection="true">
      <alignment horizontal="general" vertical="bottom" textRotation="0" wrapText="false" indent="0" shrinkToFit="false"/>
      <protection locked="true" hidden="false"/>
    </xf>
    <xf numFmtId="164" fontId="44" fillId="0" borderId="12" applyFont="true" applyBorder="true" applyAlignment="true" applyProtection="true">
      <alignment horizontal="general" vertical="bottom" textRotation="0" wrapText="false" indent="0" shrinkToFit="false"/>
      <protection locked="true" hidden="false"/>
    </xf>
    <xf numFmtId="164" fontId="44" fillId="0" borderId="17" applyFont="true" applyBorder="true" applyAlignment="true" applyProtection="true">
      <alignment horizontal="general" vertical="bottom" textRotation="0" wrapText="false" indent="0" shrinkToFit="false"/>
      <protection locked="true" hidden="false"/>
    </xf>
    <xf numFmtId="164" fontId="44" fillId="0" borderId="12" applyFont="true" applyBorder="true" applyAlignment="true" applyProtection="true">
      <alignment horizontal="general" vertical="bottom" textRotation="0" wrapText="false" indent="0" shrinkToFit="false"/>
      <protection locked="true" hidden="false"/>
    </xf>
    <xf numFmtId="164" fontId="45"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44"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46" fillId="0" borderId="0" applyFont="true" applyBorder="true" applyAlignment="true" applyProtection="true">
      <alignment horizontal="general" vertical="bottom" textRotation="0" wrapText="false" indent="0" shrinkToFit="false"/>
      <protection locked="true" hidden="false"/>
    </xf>
    <xf numFmtId="164" fontId="47" fillId="0" borderId="0" applyFont="true" applyBorder="true" applyAlignment="true" applyProtection="true">
      <alignment horizontal="general" vertical="bottom" textRotation="0" wrapText="false" indent="0" shrinkToFit="false"/>
      <protection locked="true" hidden="false"/>
    </xf>
    <xf numFmtId="164" fontId="48" fillId="0" borderId="0" applyFont="true" applyBorder="true" applyAlignment="true" applyProtection="true">
      <alignment horizontal="general" vertical="bottom" textRotation="0" wrapText="false" indent="0" shrinkToFit="false"/>
      <protection locked="true" hidden="false"/>
    </xf>
    <xf numFmtId="164" fontId="49" fillId="0" borderId="0"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26" fillId="8" borderId="8" applyFont="true" applyBorder="true" applyAlignment="true" applyProtection="true">
      <alignment horizontal="general" vertical="bottom" textRotation="0" wrapText="false" indent="0" shrinkToFit="false"/>
      <protection locked="true" hidden="false"/>
    </xf>
    <xf numFmtId="164" fontId="26" fillId="3" borderId="1"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5"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1" applyFont="true" applyBorder="true" applyAlignment="true" applyProtection="true">
      <alignment horizontal="right" vertical="center" textRotation="0" wrapText="false" indent="0" shrinkToFit="false"/>
      <protection locked="true" hidden="false"/>
    </xf>
    <xf numFmtId="164" fontId="8" fillId="0" borderId="3" applyFont="true" applyBorder="true" applyAlignment="true" applyProtection="true">
      <alignment horizontal="right" vertical="center" textRotation="0" wrapText="false" indent="0" shrinkToFit="false"/>
      <protection locked="true" hidden="false"/>
    </xf>
    <xf numFmtId="164" fontId="8" fillId="0" borderId="18" applyFont="true" applyBorder="true" applyAlignment="true" applyProtection="true">
      <alignment horizontal="right" vertical="center" textRotation="0" wrapText="false" indent="0" shrinkToFit="false"/>
      <protection locked="true" hidden="false"/>
    </xf>
    <xf numFmtId="168" fontId="50" fillId="5" borderId="0" applyFont="true" applyBorder="true" applyAlignment="true" applyProtection="true">
      <alignment horizontal="right" vertical="center" textRotation="0" wrapText="false" indent="0" shrinkToFit="false"/>
      <protection locked="true" hidden="false"/>
    </xf>
    <xf numFmtId="168" fontId="46" fillId="3" borderId="0" applyFont="true" applyBorder="true" applyAlignment="true" applyProtection="true">
      <alignment horizontal="right" vertical="center" textRotation="0" wrapText="false" indent="0" shrinkToFit="false"/>
      <protection locked="true" hidden="false"/>
    </xf>
    <xf numFmtId="164" fontId="27" fillId="18" borderId="1" applyFont="true" applyBorder="true" applyAlignment="true" applyProtection="true">
      <alignment horizontal="general" vertical="bottom" textRotation="0" wrapText="false" indent="0" shrinkToFit="false"/>
      <protection locked="true" hidden="false"/>
    </xf>
    <xf numFmtId="164" fontId="51" fillId="0" borderId="19" applyFont="true" applyBorder="true" applyAlignment="true" applyProtection="true">
      <alignment horizontal="general" vertical="bottom" textRotation="0" wrapText="false" indent="0" shrinkToFit="false"/>
      <protection locked="true" hidden="false"/>
    </xf>
    <xf numFmtId="164" fontId="4" fillId="0" borderId="20" applyFont="true" applyBorder="true" applyAlignment="true" applyProtection="true">
      <alignment horizontal="general" vertical="bottom" textRotation="0" wrapText="false" indent="0" shrinkToFit="false"/>
      <protection locked="true" hidden="false"/>
    </xf>
    <xf numFmtId="164" fontId="51" fillId="0" borderId="19" applyFont="true" applyBorder="true" applyAlignment="true" applyProtection="true">
      <alignment horizontal="general" vertical="bottom" textRotation="0" wrapText="false" indent="0" shrinkToFit="false"/>
      <protection locked="true" hidden="false"/>
    </xf>
    <xf numFmtId="164" fontId="4" fillId="0" borderId="20" applyFont="true" applyBorder="true" applyAlignment="true" applyProtection="true">
      <alignment horizontal="general" vertical="bottom" textRotation="0" wrapText="false" indent="0" shrinkToFit="false"/>
      <protection locked="true" hidden="false"/>
    </xf>
    <xf numFmtId="164" fontId="51" fillId="0" borderId="19" applyFont="true" applyBorder="true" applyAlignment="true" applyProtection="true">
      <alignment horizontal="general" vertical="bottom" textRotation="0" wrapText="false" indent="0" shrinkToFit="false"/>
      <protection locked="true" hidden="false"/>
    </xf>
    <xf numFmtId="164" fontId="4" fillId="0" borderId="2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4" fontId="52" fillId="31" borderId="0" applyFont="true" applyBorder="true" applyAlignment="true" applyProtection="true">
      <alignment horizontal="general" vertical="bottom" textRotation="0" wrapText="false" indent="0" shrinkToFit="false"/>
      <protection locked="true" hidden="false"/>
    </xf>
    <xf numFmtId="164" fontId="53" fillId="3" borderId="0" applyFont="true" applyBorder="true" applyAlignment="true" applyProtection="true">
      <alignment horizontal="general" vertical="bottom" textRotation="0" wrapText="false" indent="0" shrinkToFit="false"/>
      <protection locked="true" hidden="false"/>
    </xf>
    <xf numFmtId="164" fontId="54" fillId="31" borderId="0" applyFont="true" applyBorder="true" applyAlignment="true" applyProtection="true">
      <alignment horizontal="general" vertical="bottom" textRotation="0" wrapText="false" indent="0" shrinkToFit="false"/>
      <protection locked="true" hidden="false"/>
    </xf>
    <xf numFmtId="164" fontId="55" fillId="3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55" fillId="31"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5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57" fillId="0" borderId="0" applyFont="true" applyBorder="true" applyAlignment="true" applyProtection="true">
      <alignment horizontal="general" vertical="bottom" textRotation="0" wrapText="false" indent="0" shrinkToFit="false"/>
      <protection locked="true" hidden="false"/>
    </xf>
    <xf numFmtId="164" fontId="57" fillId="0" borderId="0" applyFont="true" applyBorder="true" applyAlignment="true" applyProtection="true">
      <alignment horizontal="general" vertical="bottom" textRotation="0" wrapText="false" indent="0" shrinkToFit="false"/>
      <protection locked="true" hidden="false"/>
    </xf>
    <xf numFmtId="164" fontId="57" fillId="0" borderId="0" applyFont="true" applyBorder="true" applyAlignment="true" applyProtection="true">
      <alignment horizontal="general" vertical="bottom" textRotation="0" wrapText="false" indent="0" shrinkToFit="false"/>
      <protection locked="true" hidden="false"/>
    </xf>
    <xf numFmtId="164" fontId="5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5" fontId="8" fillId="0" borderId="0" applyFont="true" applyBorder="true" applyAlignment="true" applyProtection="true">
      <alignment horizontal="righ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13" fillId="0" borderId="0" applyFont="true" applyBorder="true" applyAlignment="true" applyProtection="true">
      <alignment horizontal="left" vertical="center"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8" fillId="0" borderId="1"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0" fillId="28"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0" fillId="26" borderId="0" applyFont="true" applyBorder="true" applyAlignment="true" applyProtection="true">
      <alignment horizontal="general" vertical="bottom" textRotation="0" wrapText="false" indent="0" shrinkToFit="false"/>
      <protection locked="true" hidden="false"/>
    </xf>
    <xf numFmtId="164" fontId="0" fillId="26"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4" fillId="3"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5" fontId="2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8" fillId="31" borderId="8"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1552" applyFont="true" applyBorder="false" applyAlignment="false" applyProtection="false">
      <alignment horizontal="general" vertical="bottom" textRotation="0" wrapText="false" indent="0" shrinkToFit="false"/>
      <protection locked="true" hidden="false"/>
    </xf>
    <xf numFmtId="164" fontId="0" fillId="32" borderId="21" xfId="1552" applyFont="true" applyBorder="true" applyAlignment="true" applyProtection="false">
      <alignment horizontal="center" vertical="bottom" textRotation="0" wrapText="false" indent="0" shrinkToFit="false"/>
      <protection locked="true" hidden="false"/>
    </xf>
    <xf numFmtId="164" fontId="28" fillId="33" borderId="0" xfId="1142" applyFont="true" applyBorder="true" applyAlignment="true" applyProtection="false">
      <alignment horizontal="center" vertical="bottom" textRotation="0" wrapText="false" indent="0" shrinkToFit="false"/>
      <protection locked="true" hidden="false"/>
    </xf>
    <xf numFmtId="169" fontId="0" fillId="0" borderId="0" xfId="1552" applyFont="true" applyBorder="false" applyAlignment="false" applyProtection="false">
      <alignment horizontal="general" vertical="bottom" textRotation="0" wrapText="false" indent="0" shrinkToFit="false"/>
      <protection locked="true" hidden="false"/>
    </xf>
    <xf numFmtId="164" fontId="0" fillId="0" borderId="22" xfId="1552" applyFont="true" applyBorder="true" applyAlignment="true" applyProtection="false">
      <alignment horizontal="center" vertical="center" textRotation="0" wrapText="false" indent="0" shrinkToFit="false"/>
      <protection locked="true" hidden="false"/>
    </xf>
    <xf numFmtId="164" fontId="0" fillId="0" borderId="23" xfId="1552" applyFont="true" applyBorder="true" applyAlignment="false" applyProtection="false">
      <alignment horizontal="general" vertical="bottom" textRotation="0" wrapText="false" indent="0" shrinkToFit="false"/>
      <protection locked="true" hidden="false"/>
    </xf>
    <xf numFmtId="164" fontId="0" fillId="0" borderId="24" xfId="1552" applyFont="true" applyBorder="true" applyAlignment="false" applyProtection="false">
      <alignment horizontal="general" vertical="bottom" textRotation="0" wrapText="false" indent="0" shrinkToFit="false"/>
      <protection locked="true" hidden="false"/>
    </xf>
    <xf numFmtId="164" fontId="0" fillId="0" borderId="25" xfId="1552" applyFont="true" applyBorder="true" applyAlignment="false" applyProtection="false">
      <alignment horizontal="general" vertical="bottom" textRotation="0" wrapText="false" indent="0" shrinkToFit="false"/>
      <protection locked="true" hidden="false"/>
    </xf>
    <xf numFmtId="164" fontId="59" fillId="0" borderId="26" xfId="1142" applyFont="true" applyBorder="true" applyAlignment="false" applyProtection="false">
      <alignment horizontal="general" vertical="bottom" textRotation="0" wrapText="false" indent="0" shrinkToFit="false"/>
      <protection locked="true" hidden="false"/>
    </xf>
    <xf numFmtId="164" fontId="4" fillId="3" borderId="25" xfId="1141" applyFont="true" applyBorder="true" applyAlignment="false" applyProtection="false">
      <alignment horizontal="general" vertical="bottom" textRotation="0" wrapText="false" indent="0" shrinkToFit="false"/>
      <protection locked="true" hidden="false"/>
    </xf>
    <xf numFmtId="170" fontId="0" fillId="0" borderId="24" xfId="1552" applyFont="true" applyBorder="true" applyAlignment="false" applyProtection="false">
      <alignment horizontal="general" vertical="bottom" textRotation="0" wrapText="false" indent="0" shrinkToFit="false"/>
      <protection locked="true" hidden="false"/>
    </xf>
    <xf numFmtId="170" fontId="0" fillId="0" borderId="25" xfId="1552" applyFont="true" applyBorder="true" applyAlignment="false" applyProtection="false">
      <alignment horizontal="general" vertical="bottom" textRotation="0" wrapText="false" indent="0" shrinkToFit="false"/>
      <protection locked="true" hidden="false"/>
    </xf>
    <xf numFmtId="171" fontId="0" fillId="0" borderId="25" xfId="1552" applyFont="true" applyBorder="true" applyAlignment="false" applyProtection="false">
      <alignment horizontal="general" vertical="bottom" textRotation="0" wrapText="false" indent="0" shrinkToFit="false"/>
      <protection locked="true" hidden="false"/>
    </xf>
    <xf numFmtId="164" fontId="27" fillId="3" borderId="26" xfId="1153" applyFont="true" applyBorder="true" applyAlignment="false" applyProtection="false">
      <alignment horizontal="general" vertical="bottom" textRotation="0" wrapText="false" indent="0" shrinkToFit="false"/>
      <protection locked="true" hidden="false"/>
    </xf>
    <xf numFmtId="164" fontId="4" fillId="3" borderId="23" xfId="1141" applyFont="true" applyBorder="true" applyAlignment="false" applyProtection="false">
      <alignment horizontal="general" vertical="bottom" textRotation="0" wrapText="false" indent="0" shrinkToFit="false"/>
      <protection locked="true" hidden="false"/>
    </xf>
    <xf numFmtId="164" fontId="4" fillId="3" borderId="24" xfId="1141" applyFont="true" applyBorder="true" applyAlignment="false" applyProtection="false">
      <alignment horizontal="general" vertical="bottom" textRotation="0" wrapText="false" indent="0" shrinkToFit="false"/>
      <protection locked="true" hidden="false"/>
    </xf>
    <xf numFmtId="170" fontId="4" fillId="0" borderId="24" xfId="1552" applyFont="true" applyBorder="true" applyAlignment="false" applyProtection="false">
      <alignment horizontal="general" vertical="bottom" textRotation="0" wrapText="false" indent="0" shrinkToFit="false"/>
      <protection locked="true" hidden="false"/>
    </xf>
    <xf numFmtId="170" fontId="4" fillId="0" borderId="25" xfId="1552" applyFont="true" applyBorder="true" applyAlignment="false" applyProtection="false">
      <alignment horizontal="general" vertical="bottom" textRotation="0" wrapText="false" indent="0" shrinkToFit="false"/>
      <protection locked="true" hidden="false"/>
    </xf>
    <xf numFmtId="172" fontId="0" fillId="0" borderId="23" xfId="1552" applyFont="true" applyBorder="true" applyAlignment="false" applyProtection="false">
      <alignment horizontal="general" vertical="bottom" textRotation="0" wrapText="false" indent="0" shrinkToFit="false"/>
      <protection locked="true" hidden="false"/>
    </xf>
    <xf numFmtId="172" fontId="0" fillId="0" borderId="24" xfId="1552" applyFont="true" applyBorder="true" applyAlignment="false" applyProtection="false">
      <alignment horizontal="general" vertical="bottom" textRotation="0" wrapText="false" indent="0" shrinkToFit="false"/>
      <protection locked="true" hidden="false"/>
    </xf>
    <xf numFmtId="172" fontId="0" fillId="0" borderId="25" xfId="1552" applyFont="true" applyBorder="true" applyAlignment="false" applyProtection="false">
      <alignment horizontal="general" vertical="bottom" textRotation="0" wrapText="false" indent="0" shrinkToFit="false"/>
      <protection locked="true" hidden="false"/>
    </xf>
    <xf numFmtId="164" fontId="0" fillId="0" borderId="27" xfId="1552" applyFont="true" applyBorder="true" applyAlignment="false" applyProtection="false">
      <alignment horizontal="general" vertical="bottom" textRotation="0" wrapText="false" indent="0" shrinkToFit="false"/>
      <protection locked="true" hidden="false"/>
    </xf>
    <xf numFmtId="164" fontId="0" fillId="0" borderId="28" xfId="1552" applyFont="true" applyBorder="true" applyAlignment="false" applyProtection="false">
      <alignment horizontal="general" vertical="bottom" textRotation="0" wrapText="false" indent="0" shrinkToFit="false"/>
      <protection locked="true" hidden="false"/>
    </xf>
    <xf numFmtId="164" fontId="0" fillId="0" borderId="29" xfId="1552" applyFont="true" applyBorder="true" applyAlignment="false" applyProtection="false">
      <alignment horizontal="general" vertical="bottom" textRotation="0" wrapText="false" indent="0" shrinkToFit="false"/>
      <protection locked="true" hidden="false"/>
    </xf>
    <xf numFmtId="170" fontId="0" fillId="0" borderId="28" xfId="1552" applyFont="true" applyBorder="true" applyAlignment="false" applyProtection="false">
      <alignment horizontal="general" vertical="bottom" textRotation="0" wrapText="false" indent="0" shrinkToFit="false"/>
      <protection locked="true" hidden="false"/>
    </xf>
    <xf numFmtId="170" fontId="0" fillId="0" borderId="29" xfId="1552" applyFont="true" applyBorder="true" applyAlignment="false" applyProtection="false">
      <alignment horizontal="general" vertical="bottom" textRotation="0" wrapText="false" indent="0" shrinkToFit="false"/>
      <protection locked="true" hidden="false"/>
    </xf>
    <xf numFmtId="171" fontId="0" fillId="0" borderId="0" xfId="1552" applyFont="true" applyBorder="false" applyAlignment="false" applyProtection="false">
      <alignment horizontal="general" vertical="bottom" textRotation="0" wrapText="false" indent="0" shrinkToFit="false"/>
      <protection locked="true" hidden="false"/>
    </xf>
    <xf numFmtId="173" fontId="0" fillId="0" borderId="0" xfId="1552" applyFont="true" applyBorder="false" applyAlignment="false" applyProtection="false">
      <alignment horizontal="general" vertical="bottom" textRotation="0" wrapText="false" indent="0" shrinkToFit="false"/>
      <protection locked="true" hidden="false"/>
    </xf>
    <xf numFmtId="174" fontId="0" fillId="0" borderId="0" xfId="1552" applyFont="true" applyBorder="false" applyAlignment="false" applyProtection="false">
      <alignment horizontal="general" vertical="bottom" textRotation="0" wrapText="false" indent="0" shrinkToFit="false"/>
      <protection locked="true" hidden="false"/>
    </xf>
    <xf numFmtId="164" fontId="0" fillId="0" borderId="26" xfId="1142" applyFont="true" applyBorder="true" applyAlignment="false" applyProtection="false">
      <alignment horizontal="general" vertical="bottom" textRotation="0" wrapText="false" indent="0" shrinkToFit="false"/>
      <protection locked="true" hidden="false"/>
    </xf>
    <xf numFmtId="175" fontId="0" fillId="0" borderId="23" xfId="1552" applyFont="true" applyBorder="true" applyAlignment="false" applyProtection="false">
      <alignment horizontal="general" vertical="bottom" textRotation="0" wrapText="false" indent="0" shrinkToFit="false"/>
      <protection locked="true" hidden="false"/>
    </xf>
    <xf numFmtId="175" fontId="0" fillId="0" borderId="24" xfId="1552" applyFont="true" applyBorder="true" applyAlignment="false" applyProtection="false">
      <alignment horizontal="general" vertical="bottom" textRotation="0" wrapText="false" indent="0" shrinkToFit="false"/>
      <protection locked="true" hidden="false"/>
    </xf>
    <xf numFmtId="175" fontId="0" fillId="0" borderId="25" xfId="1552" applyFont="true" applyBorder="true" applyAlignment="false" applyProtection="false">
      <alignment horizontal="general" vertical="bottom" textRotation="0" wrapText="false" indent="0" shrinkToFit="false"/>
      <protection locked="true" hidden="false"/>
    </xf>
    <xf numFmtId="164" fontId="0" fillId="0" borderId="30" xfId="1552" applyFont="true" applyBorder="true" applyAlignment="false" applyProtection="false">
      <alignment horizontal="general" vertical="bottom" textRotation="0" wrapText="false" indent="0" shrinkToFit="false"/>
      <protection locked="true" hidden="false"/>
    </xf>
    <xf numFmtId="170" fontId="0" fillId="0" borderId="23" xfId="1552" applyFont="true" applyBorder="true" applyAlignment="false" applyProtection="false">
      <alignment horizontal="general" vertical="bottom" textRotation="0" wrapText="false" indent="0" shrinkToFit="false"/>
      <protection locked="true" hidden="false"/>
    </xf>
    <xf numFmtId="164" fontId="4" fillId="0" borderId="26" xfId="1142" applyFont="true" applyBorder="true" applyAlignment="false" applyProtection="false">
      <alignment horizontal="general" vertical="bottom" textRotation="0" wrapText="false" indent="0" shrinkToFit="false"/>
      <protection locked="true" hidden="false"/>
    </xf>
    <xf numFmtId="175" fontId="0" fillId="0" borderId="27" xfId="1552" applyFont="true" applyBorder="true" applyAlignment="false" applyProtection="false">
      <alignment horizontal="general" vertical="bottom" textRotation="0" wrapText="false" indent="0" shrinkToFit="false"/>
      <protection locked="true" hidden="false"/>
    </xf>
    <xf numFmtId="175" fontId="0" fillId="0" borderId="28" xfId="1552" applyFont="true" applyBorder="true" applyAlignment="false" applyProtection="false">
      <alignment horizontal="general" vertical="bottom" textRotation="0" wrapText="false" indent="0" shrinkToFit="false"/>
      <protection locked="true" hidden="false"/>
    </xf>
    <xf numFmtId="175" fontId="0" fillId="0" borderId="29" xfId="1552" applyFont="true" applyBorder="true" applyAlignment="false" applyProtection="false">
      <alignment horizontal="general" vertical="bottom" textRotation="0" wrapText="false" indent="0" shrinkToFit="false"/>
      <protection locked="true" hidden="false"/>
    </xf>
    <xf numFmtId="164" fontId="60" fillId="0" borderId="0" xfId="1552" applyFont="true" applyBorder="false" applyAlignment="false" applyProtection="false">
      <alignment horizontal="general" vertical="bottom" textRotation="0" wrapText="false" indent="0" shrinkToFit="false"/>
      <protection locked="true" hidden="false"/>
    </xf>
    <xf numFmtId="170" fontId="60" fillId="0" borderId="0" xfId="1552" applyFont="true" applyBorder="false" applyAlignment="false" applyProtection="false">
      <alignment horizontal="general" vertical="bottom" textRotation="0" wrapText="false" indent="0" shrinkToFit="false"/>
      <protection locked="true" hidden="false"/>
    </xf>
    <xf numFmtId="164" fontId="0" fillId="0" borderId="31" xfId="1552" applyFont="true" applyBorder="true" applyAlignment="true" applyProtection="false">
      <alignment horizontal="center" vertical="center" textRotation="0" wrapText="false" indent="0" shrinkToFit="false"/>
      <protection locked="true" hidden="false"/>
    </xf>
    <xf numFmtId="164" fontId="0" fillId="0" borderId="30" xfId="1552" applyFont="true" applyBorder="true" applyAlignment="true" applyProtection="false">
      <alignment horizontal="center" vertical="center" textRotation="0" wrapText="false" indent="0" shrinkToFit="false"/>
      <protection locked="true" hidden="false"/>
    </xf>
    <xf numFmtId="164" fontId="0" fillId="0" borderId="32" xfId="1552" applyFont="true" applyBorder="true" applyAlignment="true" applyProtection="false">
      <alignment horizontal="center" vertical="center" textRotation="0" wrapText="false" indent="0" shrinkToFit="false"/>
      <protection locked="true" hidden="false"/>
    </xf>
    <xf numFmtId="164" fontId="0" fillId="0" borderId="24" xfId="1142" applyFont="true" applyBorder="true" applyAlignment="false" applyProtection="false">
      <alignment horizontal="general" vertical="bottom" textRotation="0" wrapText="false" indent="0" shrinkToFit="false"/>
      <protection locked="true" hidden="false"/>
    </xf>
    <xf numFmtId="164" fontId="4" fillId="0" borderId="24" xfId="1142"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4" xfId="1552" applyFont="true" applyBorder="true" applyAlignment="true" applyProtection="false">
      <alignment horizontal="center" vertical="center" textRotation="0" wrapText="false" indent="0" shrinkToFit="false"/>
      <protection locked="true" hidden="false"/>
    </xf>
    <xf numFmtId="164" fontId="59" fillId="0" borderId="1" xfId="1142" applyFont="true" applyBorder="true" applyAlignment="false" applyProtection="false">
      <alignment horizontal="general" vertical="bottom" textRotation="0" wrapText="false" indent="0" shrinkToFit="false"/>
      <protection locked="true" hidden="false"/>
    </xf>
    <xf numFmtId="164" fontId="4" fillId="0" borderId="24" xfId="1552" applyFont="true" applyBorder="true" applyAlignment="false" applyProtection="false">
      <alignment horizontal="general" vertical="bottom" textRotation="0" wrapText="false" indent="0" shrinkToFit="false"/>
      <protection locked="true" hidden="false"/>
    </xf>
    <xf numFmtId="164" fontId="0" fillId="0" borderId="33" xfId="1552" applyFont="true" applyBorder="true" applyAlignment="false" applyProtection="false">
      <alignment horizontal="general" vertical="bottom" textRotation="0" wrapText="false" indent="0" shrinkToFit="false"/>
      <protection locked="true" hidden="false"/>
    </xf>
    <xf numFmtId="171" fontId="0" fillId="0" borderId="24" xfId="1552" applyFont="true" applyBorder="true" applyAlignment="false" applyProtection="false">
      <alignment horizontal="general" vertical="bottom" textRotation="0" wrapText="false" indent="0" shrinkToFit="false"/>
      <protection locked="true" hidden="false"/>
    </xf>
    <xf numFmtId="164" fontId="55" fillId="0" borderId="0" xfId="1552" applyFont="true" applyBorder="false" applyAlignment="false" applyProtection="false">
      <alignment horizontal="general" vertical="bottom" textRotation="0" wrapText="false" indent="0" shrinkToFit="false"/>
      <protection locked="true" hidden="false"/>
    </xf>
    <xf numFmtId="164" fontId="27" fillId="3" borderId="1" xfId="1153" applyFont="true" applyBorder="true" applyAlignment="false" applyProtection="false">
      <alignment horizontal="general" vertical="bottom" textRotation="0" wrapText="false" indent="0" shrinkToFit="false"/>
      <protection locked="true" hidden="false"/>
    </xf>
    <xf numFmtId="164" fontId="61" fillId="3" borderId="1" xfId="1153" applyFont="true" applyBorder="true" applyAlignment="false" applyProtection="false">
      <alignment horizontal="general" vertical="bottom" textRotation="0" wrapText="false" indent="0" shrinkToFit="false"/>
      <protection locked="true" hidden="false"/>
    </xf>
    <xf numFmtId="172" fontId="62" fillId="3" borderId="24" xfId="1141" applyFont="true" applyBorder="true" applyAlignment="false" applyProtection="false">
      <alignment horizontal="general" vertical="bottom" textRotation="0" wrapText="false" indent="0" shrinkToFit="false"/>
      <protection locked="true" hidden="false"/>
    </xf>
    <xf numFmtId="164" fontId="63" fillId="0" borderId="0" xfId="1552" applyFont="true" applyBorder="false" applyAlignment="false" applyProtection="false">
      <alignment horizontal="general" vertical="bottom" textRotation="0" wrapText="false" indent="0" shrinkToFit="false"/>
      <protection locked="true" hidden="false"/>
    </xf>
    <xf numFmtId="164" fontId="62" fillId="3" borderId="24" xfId="1141" applyFont="true" applyBorder="true" applyAlignment="false" applyProtection="false">
      <alignment horizontal="general" vertical="bottom" textRotation="0" wrapText="false" indent="0" shrinkToFit="false"/>
      <protection locked="true" hidden="false"/>
    </xf>
    <xf numFmtId="164" fontId="4" fillId="0" borderId="0" xfId="1552" applyFont="true" applyBorder="false" applyAlignment="false" applyProtection="false">
      <alignment horizontal="general" vertical="bottom" textRotation="0" wrapText="false" indent="0" shrinkToFit="false"/>
      <protection locked="true" hidden="false"/>
    </xf>
    <xf numFmtId="164" fontId="61" fillId="0" borderId="34" xfId="1142" applyFont="true" applyBorder="true" applyAlignment="false" applyProtection="false">
      <alignment horizontal="general" vertical="bottom" textRotation="0" wrapText="false" indent="0" shrinkToFit="false"/>
      <protection locked="true" hidden="false"/>
    </xf>
    <xf numFmtId="172" fontId="62" fillId="0" borderId="35" xfId="1552" applyFont="true" applyBorder="tru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28" fillId="0" borderId="0" xfId="1142" applyFont="true" applyBorder="true" applyAlignment="true" applyProtection="false">
      <alignment horizontal="center" vertical="bottom" textRotation="0" wrapText="false" indent="0" shrinkToFit="false"/>
      <protection locked="true" hidden="false"/>
    </xf>
    <xf numFmtId="164" fontId="6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28" fillId="3" borderId="36" xfId="0" applyFont="true" applyBorder="true" applyAlignment="false" applyProtection="false">
      <alignment horizontal="general" vertical="bottom" textRotation="0" wrapText="false" indent="0" shrinkToFit="false"/>
      <protection locked="true" hidden="false"/>
    </xf>
    <xf numFmtId="164" fontId="28" fillId="3" borderId="37" xfId="0" applyFont="true" applyBorder="true" applyAlignment="false" applyProtection="false">
      <alignment horizontal="general" vertical="bottom" textRotation="0" wrapText="false" indent="0" shrinkToFit="false"/>
      <protection locked="true" hidden="false"/>
    </xf>
    <xf numFmtId="164" fontId="28" fillId="3" borderId="38" xfId="0" applyFont="true" applyBorder="true" applyAlignment="true" applyProtection="false">
      <alignment horizontal="center" vertical="bottom" textRotation="0" wrapText="false" indent="0" shrinkToFit="false"/>
      <protection locked="true" hidden="false"/>
    </xf>
    <xf numFmtId="164" fontId="28" fillId="3" borderId="39" xfId="0" applyFont="true" applyBorder="true" applyAlignment="true" applyProtection="false">
      <alignment horizontal="center" vertical="bottom" textRotation="0" wrapText="false" indent="0" shrinkToFit="false"/>
      <protection locked="true" hidden="false"/>
    </xf>
    <xf numFmtId="164" fontId="28" fillId="3" borderId="40" xfId="0" applyFont="true" applyBorder="true" applyAlignment="true" applyProtection="false">
      <alignment horizontal="center" vertical="bottom" textRotation="0" wrapText="false" indent="0" shrinkToFit="false"/>
      <protection locked="true" hidden="false"/>
    </xf>
    <xf numFmtId="164" fontId="28" fillId="3" borderId="0" xfId="0" applyFont="true" applyBorder="true" applyAlignment="true" applyProtection="false">
      <alignment horizontal="center" vertical="bottom" textRotation="0" wrapText="false" indent="0" shrinkToFit="false"/>
      <protection locked="true" hidden="false"/>
    </xf>
    <xf numFmtId="172" fontId="28" fillId="3" borderId="10" xfId="0" applyFont="true" applyBorder="true" applyAlignment="false" applyProtection="false">
      <alignment horizontal="general" vertical="bottom" textRotation="0" wrapText="false" indent="0" shrinkToFit="false"/>
      <protection locked="true" hidden="false"/>
    </xf>
    <xf numFmtId="172" fontId="28" fillId="3" borderId="41" xfId="0" applyFont="true" applyBorder="true" applyAlignment="false" applyProtection="false">
      <alignment horizontal="general" vertical="bottom" textRotation="0" wrapText="false" indent="0" shrinkToFit="false"/>
      <protection locked="true" hidden="false"/>
    </xf>
    <xf numFmtId="172" fontId="0" fillId="3" borderId="42" xfId="0" applyFont="false" applyBorder="true" applyAlignment="true" applyProtection="false">
      <alignment horizontal="center" vertical="bottom" textRotation="0" wrapText="false" indent="0" shrinkToFit="false"/>
      <protection locked="true" hidden="false"/>
    </xf>
    <xf numFmtId="172" fontId="0" fillId="3" borderId="1" xfId="0" applyFont="false" applyBorder="true" applyAlignment="true" applyProtection="false">
      <alignment horizontal="center" vertical="bottom" textRotation="0" wrapText="false" indent="0" shrinkToFit="false"/>
      <protection locked="true" hidden="false"/>
    </xf>
    <xf numFmtId="172" fontId="0" fillId="3" borderId="6" xfId="0" applyFont="false" applyBorder="true" applyAlignment="true" applyProtection="false">
      <alignment horizontal="center" vertical="bottom" textRotation="0" wrapText="false" indent="0" shrinkToFit="false"/>
      <protection locked="true" hidden="false"/>
    </xf>
    <xf numFmtId="172" fontId="28" fillId="3" borderId="43" xfId="0" applyFont="true" applyBorder="true" applyAlignment="false" applyProtection="false">
      <alignment horizontal="general" vertical="bottom" textRotation="0" wrapText="false" indent="0" shrinkToFit="false"/>
      <protection locked="true" hidden="false"/>
    </xf>
    <xf numFmtId="172" fontId="28" fillId="3" borderId="44" xfId="0" applyFont="true" applyBorder="true" applyAlignment="false" applyProtection="false">
      <alignment horizontal="general" vertical="bottom" textRotation="0" wrapText="false" indent="0" shrinkToFit="false"/>
      <protection locked="true" hidden="false"/>
    </xf>
    <xf numFmtId="172" fontId="0" fillId="3" borderId="45"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46" xfId="0" applyFont="false" applyBorder="true" applyAlignment="false" applyProtection="false">
      <alignment horizontal="general" vertical="bottom" textRotation="0" wrapText="false" indent="0" shrinkToFit="false"/>
      <protection locked="true" hidden="false"/>
    </xf>
    <xf numFmtId="164" fontId="0" fillId="3" borderId="47" xfId="0" applyFont="false" applyBorder="true" applyAlignment="false" applyProtection="false">
      <alignment horizontal="general" vertical="bottom" textRotation="0" wrapText="false" indent="0" shrinkToFit="false"/>
      <protection locked="true" hidden="false"/>
    </xf>
    <xf numFmtId="164" fontId="0" fillId="3" borderId="48" xfId="0" applyFont="false" applyBorder="true" applyAlignment="false" applyProtection="false">
      <alignment horizontal="general" vertical="bottom" textRotation="0" wrapText="false" indent="0" shrinkToFit="false"/>
      <protection locked="true" hidden="false"/>
    </xf>
    <xf numFmtId="164" fontId="0" fillId="3" borderId="21"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3" borderId="49" xfId="0" applyFont="fals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4" fontId="0" fillId="34" borderId="50" xfId="0" applyFont="true" applyBorder="true" applyAlignment="true" applyProtection="false">
      <alignment horizontal="center" vertical="bottom" textRotation="0" wrapText="false" indent="0" shrinkToFit="false"/>
      <protection locked="true" hidden="false"/>
    </xf>
    <xf numFmtId="164" fontId="0" fillId="0" borderId="50"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34" borderId="5" xfId="0" applyFont="false" applyBorder="true" applyAlignment="false" applyProtection="false">
      <alignment horizontal="general" vertical="bottom" textRotation="0" wrapText="false" indent="0" shrinkToFit="false"/>
      <protection locked="true" hidden="false"/>
    </xf>
    <xf numFmtId="164" fontId="0" fillId="34" borderId="6"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72" fontId="0" fillId="0" borderId="5" xfId="0" applyFont="false" applyBorder="true" applyAlignment="false" applyProtection="false">
      <alignment horizontal="general" vertical="bottom" textRotation="0" wrapText="false" indent="0" shrinkToFit="false"/>
      <protection locked="true" hidden="false"/>
    </xf>
    <xf numFmtId="172" fontId="0" fillId="0" borderId="1" xfId="0" applyFont="false" applyBorder="true" applyAlignment="false" applyProtection="false">
      <alignment horizontal="general" vertical="bottom" textRotation="0" wrapText="false" indent="0" shrinkToFit="false"/>
      <protection locked="true" hidden="false"/>
    </xf>
    <xf numFmtId="172" fontId="0" fillId="0" borderId="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76" fontId="56" fillId="3" borderId="1" xfId="19" applyFont="false" applyBorder="true" applyAlignment="false" applyProtection="false">
      <alignment horizontal="general" vertical="bottom" textRotation="0" wrapText="false" indent="0" shrinkToFit="false"/>
      <protection locked="true" hidden="false"/>
    </xf>
    <xf numFmtId="172" fontId="0" fillId="3" borderId="1" xfId="0" applyFont="false" applyBorder="true" applyAlignment="false" applyProtection="false">
      <alignment horizontal="general" vertical="bottom" textRotation="0" wrapText="false" indent="0" shrinkToFit="false"/>
      <protection locked="true" hidden="false"/>
    </xf>
    <xf numFmtId="169" fontId="56" fillId="3" borderId="1" xfId="19" applyFont="false" applyBorder="true" applyAlignment="false" applyProtection="false">
      <alignment horizontal="general" vertical="bottom" textRotation="0" wrapText="false" indent="0" shrinkToFit="false"/>
      <protection locked="true" hidden="false"/>
    </xf>
    <xf numFmtId="164" fontId="0" fillId="34" borderId="4" xfId="0" applyFont="false" applyBorder="true" applyAlignment="false" applyProtection="false">
      <alignment horizontal="general" vertical="bottom" textRotation="0" wrapText="false" indent="0" shrinkToFit="false"/>
      <protection locked="true" hidden="false"/>
    </xf>
    <xf numFmtId="164" fontId="0" fillId="34" borderId="51" xfId="0" applyFont="false" applyBorder="true" applyAlignment="false" applyProtection="false">
      <alignment horizontal="general" vertical="bottom" textRotation="0" wrapText="false" indent="0" shrinkToFit="false"/>
      <protection locked="true" hidden="false"/>
    </xf>
    <xf numFmtId="172" fontId="0" fillId="0" borderId="4" xfId="0" applyFont="false" applyBorder="true" applyAlignment="false" applyProtection="false">
      <alignment horizontal="general" vertical="bottom" textRotation="0" wrapText="false" indent="0" shrinkToFit="false"/>
      <protection locked="true" hidden="false"/>
    </xf>
    <xf numFmtId="172" fontId="0" fillId="0" borderId="3" xfId="0" applyFont="false" applyBorder="true" applyAlignment="false" applyProtection="false">
      <alignment horizontal="general" vertical="bottom" textRotation="0" wrapText="false" indent="0" shrinkToFit="false"/>
      <protection locked="true" hidden="false"/>
    </xf>
    <xf numFmtId="172" fontId="0" fillId="0" borderId="51" xfId="0" applyFont="false" applyBorder="true" applyAlignment="false" applyProtection="false">
      <alignment horizontal="general" vertical="bottom" textRotation="0" wrapText="false" indent="0" shrinkToFit="false"/>
      <protection locked="true" hidden="false"/>
    </xf>
    <xf numFmtId="164" fontId="0" fillId="0" borderId="5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3" xfId="0" applyFont="true" applyBorder="true" applyAlignment="false" applyProtection="false">
      <alignment horizontal="general" vertical="bottom" textRotation="0" wrapText="false" indent="0" shrinkToFit="false"/>
      <protection locked="true" hidden="false"/>
    </xf>
    <xf numFmtId="164" fontId="66" fillId="0" borderId="1" xfId="0" applyFont="true" applyBorder="true" applyAlignment="false" applyProtection="false">
      <alignment horizontal="general" vertical="bottom" textRotation="0" wrapText="false" indent="0" shrinkToFit="false"/>
      <protection locked="true" hidden="false"/>
    </xf>
    <xf numFmtId="164" fontId="66" fillId="0" borderId="6" xfId="0" applyFont="true" applyBorder="true" applyAlignment="false" applyProtection="false">
      <alignment horizontal="general" vertical="bottom" textRotation="0" wrapText="false" indent="0" shrinkToFit="false"/>
      <protection locked="true" hidden="false"/>
    </xf>
    <xf numFmtId="164" fontId="66" fillId="0" borderId="0" xfId="0" applyFont="true" applyBorder="false" applyAlignment="false" applyProtection="false">
      <alignment horizontal="general" vertical="bottom" textRotation="0" wrapText="false" indent="0" shrinkToFit="false"/>
      <protection locked="true" hidden="false"/>
    </xf>
    <xf numFmtId="164" fontId="6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6" fillId="0" borderId="51" xfId="0" applyFont="true" applyBorder="true" applyAlignment="false" applyProtection="false">
      <alignment horizontal="general" vertical="bottom" textRotation="0" wrapText="false" indent="0" shrinkToFit="false"/>
      <protection locked="true" hidden="false"/>
    </xf>
    <xf numFmtId="164" fontId="0" fillId="3" borderId="54" xfId="0" applyFont="false" applyBorder="true" applyAlignment="false" applyProtection="false">
      <alignment horizontal="general" vertical="bottom" textRotation="0" wrapText="false" indent="0" shrinkToFit="false"/>
      <protection locked="true" hidden="false"/>
    </xf>
    <xf numFmtId="164" fontId="0" fillId="3" borderId="12" xfId="0" applyFont="false" applyBorder="true" applyAlignment="false" applyProtection="false">
      <alignment horizontal="general" vertical="bottom" textRotation="0" wrapText="false" indent="0" shrinkToFit="false"/>
      <protection locked="true" hidden="false"/>
    </xf>
    <xf numFmtId="164" fontId="0" fillId="3" borderId="55"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70" fontId="0" fillId="0" borderId="24" xfId="0" applyFont="true" applyBorder="true" applyAlignment="false" applyProtection="false">
      <alignment horizontal="general" vertical="bottom" textRotation="0" wrapText="false" indent="0" shrinkToFit="false"/>
      <protection locked="true" hidden="false"/>
    </xf>
    <xf numFmtId="172" fontId="0" fillId="0" borderId="24" xfId="0" applyFont="true" applyBorder="true" applyAlignment="false" applyProtection="false">
      <alignment horizontal="general" vertical="bottom" textRotation="0" wrapText="false" indent="0" shrinkToFit="false"/>
      <protection locked="true" hidden="false"/>
    </xf>
    <xf numFmtId="164" fontId="59" fillId="0" borderId="0" xfId="1142"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false" applyProtection="false">
      <alignment horizontal="general" vertical="bottom" textRotation="0" wrapText="false" indent="0" shrinkToFit="false"/>
      <protection locked="true" hidden="false"/>
    </xf>
    <xf numFmtId="164" fontId="27" fillId="0" borderId="1" xfId="1142" applyFont="true" applyBorder="true" applyAlignment="false" applyProtection="fals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70" fontId="4" fillId="0" borderId="24"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1142" applyFont="true" applyBorder="true" applyAlignment="false" applyProtection="false">
      <alignment horizontal="general" vertical="bottom" textRotation="0" wrapText="false" indent="0" shrinkToFit="false"/>
      <protection locked="true" hidden="false"/>
    </xf>
    <xf numFmtId="164" fontId="55" fillId="0" borderId="1" xfId="1142" applyFont="true" applyBorder="true" applyAlignment="false" applyProtection="false">
      <alignment horizontal="general" vertical="bottom" textRotation="0" wrapText="false" indent="0" shrinkToFit="false"/>
      <protection locked="true" hidden="false"/>
    </xf>
    <xf numFmtId="164" fontId="0" fillId="0" borderId="0" xfId="1552" applyFont="true" applyBorder="true" applyAlignment="true" applyProtection="false">
      <alignment horizontal="center" vertical="center" textRotation="0" wrapText="false" indent="0" shrinkToFit="false"/>
      <protection locked="true" hidden="false"/>
    </xf>
    <xf numFmtId="164" fontId="69" fillId="0" borderId="56" xfId="1552" applyFont="true" applyBorder="true" applyAlignment="true" applyProtection="false">
      <alignment horizontal="center" vertical="bottom" textRotation="0" wrapText="false" indent="0" shrinkToFit="false"/>
      <protection locked="true" hidden="false"/>
    </xf>
    <xf numFmtId="164" fontId="69" fillId="0" borderId="57" xfId="1552" applyFont="true" applyBorder="true" applyAlignment="true" applyProtection="false">
      <alignment horizontal="center" vertical="bottom" textRotation="0" wrapText="false" indent="0" shrinkToFit="false"/>
      <protection locked="true" hidden="false"/>
    </xf>
    <xf numFmtId="170" fontId="0" fillId="0" borderId="0" xfId="1552" applyFont="true" applyBorder="false" applyAlignment="false" applyProtection="false">
      <alignment horizontal="general" vertical="bottom" textRotation="0" wrapText="false" indent="0" shrinkToFit="false"/>
      <protection locked="true" hidden="false"/>
    </xf>
    <xf numFmtId="172" fontId="60" fillId="0" borderId="0" xfId="1552" applyFont="true" applyBorder="false" applyAlignment="false" applyProtection="false">
      <alignment horizontal="general" vertical="bottom" textRotation="0" wrapText="false" indent="0" shrinkToFit="false"/>
      <protection locked="true" hidden="false"/>
    </xf>
    <xf numFmtId="172" fontId="65" fillId="0" borderId="0" xfId="0" applyFont="true" applyBorder="false" applyAlignment="false" applyProtection="false">
      <alignment horizontal="general" vertical="bottom" textRotation="0" wrapText="false" indent="0" shrinkToFit="false"/>
      <protection locked="true" hidden="false"/>
    </xf>
    <xf numFmtId="172" fontId="0" fillId="0" borderId="0" xfId="1552" applyFont="true" applyBorder="false" applyAlignment="false" applyProtection="false">
      <alignment horizontal="general" vertical="bottom" textRotation="0" wrapText="false" indent="0" shrinkToFit="false"/>
      <protection locked="true" hidden="false"/>
    </xf>
    <xf numFmtId="172" fontId="65" fillId="0" borderId="0" xfId="1552" applyFont="true" applyBorder="false" applyAlignment="false" applyProtection="false">
      <alignment horizontal="general" vertical="bottom" textRotation="0" wrapText="false" indent="0" shrinkToFit="false"/>
      <protection locked="true" hidden="false"/>
    </xf>
    <xf numFmtId="164" fontId="55" fillId="0" borderId="24" xfId="1142"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70" fillId="3" borderId="0" xfId="1552" applyFont="true" applyBorder="false" applyAlignment="true" applyProtection="false">
      <alignment horizontal="left" vertical="center" textRotation="0" wrapText="false" indent="0" shrinkToFit="false"/>
      <protection locked="true" hidden="false"/>
    </xf>
    <xf numFmtId="164" fontId="28" fillId="0" borderId="1" xfId="1552" applyFont="true" applyBorder="true" applyAlignment="false" applyProtection="false">
      <alignment horizontal="general" vertical="bottom" textRotation="0" wrapText="false" indent="0" shrinkToFit="false"/>
      <protection locked="true" hidden="false"/>
    </xf>
    <xf numFmtId="177" fontId="28" fillId="34" borderId="31" xfId="1552" applyFont="true" applyBorder="true" applyAlignment="false" applyProtection="false">
      <alignment horizontal="general" vertical="bottom" textRotation="0" wrapText="false" indent="0" shrinkToFit="false"/>
      <protection locked="true" hidden="false"/>
    </xf>
    <xf numFmtId="164" fontId="0" fillId="35" borderId="1" xfId="1552" applyFont="true" applyBorder="true" applyAlignment="false" applyProtection="false">
      <alignment horizontal="general" vertical="bottom" textRotation="0" wrapText="false" indent="0" shrinkToFit="false"/>
      <protection locked="true" hidden="false"/>
    </xf>
    <xf numFmtId="164" fontId="71" fillId="3" borderId="1" xfId="1552" applyFont="true" applyBorder="true" applyAlignment="true" applyProtection="false">
      <alignment horizontal="center" vertical="center" textRotation="0" wrapText="false" indent="0" shrinkToFit="false"/>
      <protection locked="true" hidden="false"/>
    </xf>
    <xf numFmtId="175" fontId="0" fillId="0" borderId="1" xfId="1552" applyFont="true" applyBorder="true" applyAlignment="false" applyProtection="false">
      <alignment horizontal="general" vertical="bottom" textRotation="0" wrapText="false" indent="0" shrinkToFit="false"/>
      <protection locked="true" hidden="false"/>
    </xf>
    <xf numFmtId="175" fontId="0" fillId="34" borderId="31" xfId="1552" applyFont="true" applyBorder="true" applyAlignment="false" applyProtection="false">
      <alignment horizontal="general" vertical="bottom" textRotation="0" wrapText="false" indent="0" shrinkToFit="false"/>
      <protection locked="true" hidden="false"/>
    </xf>
    <xf numFmtId="164" fontId="0" fillId="36" borderId="1" xfId="1552" applyFont="true" applyBorder="true" applyAlignment="false" applyProtection="false">
      <alignment horizontal="general" vertical="bottom" textRotation="0" wrapText="false" indent="0" shrinkToFit="false"/>
      <protection locked="true" hidden="false"/>
    </xf>
    <xf numFmtId="164" fontId="0" fillId="37" borderId="1" xfId="1552" applyFont="true" applyBorder="true" applyAlignment="false" applyProtection="false">
      <alignment horizontal="general" vertical="bottom" textRotation="0" wrapText="false" indent="0" shrinkToFit="false"/>
      <protection locked="true" hidden="false"/>
    </xf>
    <xf numFmtId="164" fontId="0" fillId="38" borderId="1" xfId="1552" applyFont="true" applyBorder="true" applyAlignment="false" applyProtection="false">
      <alignment horizontal="general" vertical="bottom" textRotation="0" wrapText="false" indent="0" shrinkToFit="false"/>
      <protection locked="true" hidden="false"/>
    </xf>
    <xf numFmtId="164" fontId="0" fillId="39" borderId="1" xfId="1552" applyFont="true" applyBorder="true" applyAlignment="false" applyProtection="false">
      <alignment horizontal="general" vertical="bottom" textRotation="0" wrapText="false" indent="0" shrinkToFit="false"/>
      <protection locked="true" hidden="false"/>
    </xf>
    <xf numFmtId="164" fontId="0" fillId="40" borderId="1" xfId="1552" applyFont="true" applyBorder="true" applyAlignment="false" applyProtection="false">
      <alignment horizontal="general" vertical="bottom" textRotation="0" wrapText="false" indent="0" shrinkToFit="false"/>
      <protection locked="true" hidden="false"/>
    </xf>
    <xf numFmtId="164" fontId="0" fillId="41" borderId="1" xfId="1552" applyFont="true" applyBorder="true" applyAlignment="false" applyProtection="false">
      <alignment horizontal="general" vertical="bottom" textRotation="0" wrapText="false" indent="0" shrinkToFit="false"/>
      <protection locked="true" hidden="false"/>
    </xf>
    <xf numFmtId="175" fontId="0" fillId="0" borderId="0" xfId="1552" applyFont="true" applyBorder="false" applyAlignment="false" applyProtection="false">
      <alignment horizontal="general" vertical="bottom" textRotation="0" wrapText="false" indent="0" shrinkToFit="false"/>
      <protection locked="true" hidden="false"/>
    </xf>
    <xf numFmtId="164" fontId="72" fillId="0" borderId="0" xfId="1552" applyFont="true" applyBorder="false" applyAlignment="false" applyProtection="false">
      <alignment horizontal="general" vertical="bottom" textRotation="0" wrapText="false" indent="0" shrinkToFit="false"/>
      <protection locked="true" hidden="false"/>
    </xf>
    <xf numFmtId="164" fontId="28" fillId="0" borderId="0" xfId="1552" applyFont="true" applyBorder="false" applyAlignment="false" applyProtection="false">
      <alignment horizontal="general" vertical="bottom" textRotation="0" wrapText="false" indent="0" shrinkToFit="false"/>
      <protection locked="true" hidden="false"/>
    </xf>
    <xf numFmtId="175" fontId="0" fillId="0" borderId="0" xfId="1552" applyFont="true" applyBorder="false" applyAlignment="true" applyProtection="false">
      <alignment horizontal="right" vertical="bottom" textRotation="0" wrapText="false" indent="0" shrinkToFit="false"/>
      <protection locked="true" hidden="false"/>
    </xf>
    <xf numFmtId="164" fontId="0" fillId="38" borderId="0" xfId="1552" applyFont="true" applyBorder="false" applyAlignment="false" applyProtection="false">
      <alignment horizontal="general" vertical="bottom" textRotation="0" wrapText="false" indent="0" shrinkToFit="false"/>
      <protection locked="true" hidden="false"/>
    </xf>
    <xf numFmtId="164" fontId="0" fillId="41" borderId="0" xfId="1552" applyFont="true" applyBorder="false" applyAlignment="false" applyProtection="false">
      <alignment horizontal="general" vertical="bottom" textRotation="0" wrapText="false" indent="0" shrinkToFit="false"/>
      <protection locked="true" hidden="false"/>
    </xf>
    <xf numFmtId="164" fontId="0" fillId="36" borderId="0" xfId="1552" applyFont="true" applyBorder="false" applyAlignment="false" applyProtection="false">
      <alignment horizontal="general" vertical="bottom" textRotation="0" wrapText="false" indent="0" shrinkToFit="false"/>
      <protection locked="true" hidden="false"/>
    </xf>
    <xf numFmtId="164" fontId="0" fillId="35" borderId="0" xfId="1552" applyFont="true" applyBorder="false" applyAlignment="false" applyProtection="false">
      <alignment horizontal="general" vertical="bottom" textRotation="0" wrapText="false" indent="0" shrinkToFit="false"/>
      <protection locked="true" hidden="false"/>
    </xf>
    <xf numFmtId="164" fontId="0" fillId="40" borderId="0" xfId="1552" applyFont="true" applyBorder="false" applyAlignment="false" applyProtection="false">
      <alignment horizontal="general" vertical="bottom" textRotation="0" wrapText="false" indent="0" shrinkToFit="false"/>
      <protection locked="true" hidden="false"/>
    </xf>
    <xf numFmtId="175" fontId="0" fillId="40" borderId="0" xfId="1552" applyFont="true" applyBorder="false" applyAlignment="false" applyProtection="false">
      <alignment horizontal="general" vertical="bottom" textRotation="0" wrapText="false" indent="0" shrinkToFit="false"/>
      <protection locked="true" hidden="false"/>
    </xf>
    <xf numFmtId="164" fontId="0" fillId="37" borderId="0" xfId="1552" applyFont="true" applyBorder="false" applyAlignment="false" applyProtection="false">
      <alignment horizontal="general" vertical="bottom" textRotation="0" wrapText="false" indent="0" shrinkToFit="false"/>
      <protection locked="true" hidden="false"/>
    </xf>
    <xf numFmtId="164" fontId="0" fillId="39" borderId="0" xfId="1552" applyFont="true" applyBorder="false" applyAlignment="false" applyProtection="false">
      <alignment horizontal="general" vertical="bottom" textRotation="0" wrapText="false" indent="0" shrinkToFit="false"/>
      <protection locked="true" hidden="false"/>
    </xf>
    <xf numFmtId="164" fontId="28" fillId="0" borderId="24" xfId="1552" applyFont="true" applyBorder="true" applyAlignment="false" applyProtection="false">
      <alignment horizontal="general" vertical="bottom" textRotation="0" wrapText="false" indent="0" shrinkToFit="false"/>
      <protection locked="true" hidden="false"/>
    </xf>
    <xf numFmtId="175" fontId="73" fillId="0" borderId="24" xfId="1552" applyFont="true" applyBorder="true" applyAlignment="false" applyProtection="false">
      <alignment horizontal="general" vertical="bottom" textRotation="0" wrapText="false" indent="0" shrinkToFit="false"/>
      <protection locked="true" hidden="false"/>
    </xf>
    <xf numFmtId="170" fontId="28" fillId="0" borderId="24" xfId="1552" applyFont="true" applyBorder="true" applyAlignment="false" applyProtection="false">
      <alignment horizontal="general" vertical="bottom" textRotation="0" wrapText="false" indent="0" shrinkToFit="false"/>
      <protection locked="true" hidden="false"/>
    </xf>
    <xf numFmtId="164" fontId="0" fillId="0" borderId="0" xfId="1552" applyFont="true" applyBorder="true" applyAlignment="true" applyProtection="false">
      <alignment horizontal="center" vertical="bottom" textRotation="0" wrapText="false" indent="0" shrinkToFit="false"/>
      <protection locked="true" hidden="false"/>
    </xf>
    <xf numFmtId="173" fontId="22" fillId="42" borderId="24" xfId="1552" applyFont="true" applyBorder="true" applyAlignment="false" applyProtection="false">
      <alignment horizontal="general" vertical="bottom" textRotation="0" wrapText="false" indent="0" shrinkToFit="false"/>
      <protection locked="true" hidden="false"/>
    </xf>
    <xf numFmtId="164" fontId="65" fillId="0" borderId="0" xfId="1552" applyFont="true" applyBorder="false" applyAlignment="false" applyProtection="false">
      <alignment horizontal="general" vertical="bottom" textRotation="0" wrapText="false" indent="0" shrinkToFit="false"/>
      <protection locked="true" hidden="false"/>
    </xf>
    <xf numFmtId="164" fontId="0" fillId="0" borderId="24" xfId="1552" applyFont="true" applyBorder="true" applyAlignment="true" applyProtection="false">
      <alignment horizontal="center" vertical="bottom" textRotation="0" wrapText="false" indent="0" shrinkToFit="false"/>
      <protection locked="true" hidden="false"/>
    </xf>
    <xf numFmtId="164" fontId="69" fillId="0" borderId="24" xfId="1552" applyFont="true" applyBorder="true" applyAlignment="true" applyProtection="false">
      <alignment horizontal="center" vertical="bottom" textRotation="0" wrapText="false" indent="0" shrinkToFit="false"/>
      <protection locked="true" hidden="false"/>
    </xf>
    <xf numFmtId="164" fontId="64" fillId="0" borderId="0" xfId="1552" applyFont="true" applyBorder="false" applyAlignment="false" applyProtection="false">
      <alignment horizontal="general" vertical="bottom" textRotation="0" wrapText="false" indent="0" shrinkToFit="false"/>
      <protection locked="true" hidden="false"/>
    </xf>
    <xf numFmtId="164" fontId="28" fillId="33" borderId="58" xfId="1552" applyFont="true" applyBorder="true" applyAlignment="true" applyProtection="false">
      <alignment horizontal="left" vertical="bottom" textRotation="0" wrapText="false" indent="0" shrinkToFit="false"/>
      <protection locked="true" hidden="false"/>
    </xf>
    <xf numFmtId="164" fontId="23" fillId="43" borderId="0" xfId="1552" applyFont="true" applyBorder="false" applyAlignment="true" applyProtection="false">
      <alignment horizontal="general" vertical="bottom" textRotation="0" wrapText="false" indent="0" shrinkToFit="false"/>
      <protection locked="true" hidden="false"/>
    </xf>
    <xf numFmtId="164" fontId="28" fillId="33" borderId="1" xfId="1552" applyFont="true" applyBorder="true" applyAlignment="true" applyProtection="false">
      <alignment horizontal="center" vertical="bottom" textRotation="0" wrapText="false" indent="0" shrinkToFit="false"/>
      <protection locked="true" hidden="false"/>
    </xf>
    <xf numFmtId="164" fontId="0" fillId="33" borderId="18" xfId="1552" applyFont="true" applyBorder="true" applyAlignment="true" applyProtection="false">
      <alignment horizontal="center" vertical="bottom" textRotation="0" wrapText="false" indent="0" shrinkToFit="false"/>
      <protection locked="true" hidden="false"/>
    </xf>
    <xf numFmtId="164" fontId="28" fillId="16" borderId="1" xfId="1552" applyFont="true" applyBorder="true" applyAlignment="true" applyProtection="false">
      <alignment horizontal="center" vertical="center" textRotation="0" wrapText="true" indent="0" shrinkToFit="false"/>
      <protection locked="true" hidden="false"/>
    </xf>
    <xf numFmtId="164" fontId="22" fillId="44" borderId="1" xfId="1552" applyFont="true" applyBorder="true" applyAlignment="true" applyProtection="false">
      <alignment horizontal="center" vertical="bottom" textRotation="0" wrapText="true" indent="0" shrinkToFit="false"/>
      <protection locked="true" hidden="false"/>
    </xf>
    <xf numFmtId="164" fontId="22" fillId="44" borderId="1" xfId="1552" applyFont="true" applyBorder="true" applyAlignment="true" applyProtection="false">
      <alignment horizontal="general" vertical="bottom" textRotation="0" wrapText="true" indent="0" shrinkToFit="false"/>
      <protection locked="true" hidden="false"/>
    </xf>
    <xf numFmtId="164" fontId="22" fillId="44" borderId="59" xfId="1552" applyFont="true" applyBorder="true" applyAlignment="true" applyProtection="false">
      <alignment horizontal="center" vertical="bottom" textRotation="0" wrapText="true" indent="0" shrinkToFit="false"/>
      <protection locked="true" hidden="false"/>
    </xf>
    <xf numFmtId="164" fontId="74" fillId="26" borderId="1" xfId="1552" applyFont="true" applyBorder="true" applyAlignment="true" applyProtection="false">
      <alignment horizontal="general" vertical="bottom" textRotation="0" wrapText="true" indent="0" shrinkToFit="false"/>
      <protection locked="true" hidden="false"/>
    </xf>
    <xf numFmtId="164" fontId="28" fillId="45" borderId="1" xfId="1552" applyFont="true" applyBorder="true" applyAlignment="true" applyProtection="false">
      <alignment horizontal="center" vertical="bottom" textRotation="0" wrapText="false" indent="0" shrinkToFit="false"/>
      <protection locked="true" hidden="false"/>
    </xf>
    <xf numFmtId="168" fontId="0" fillId="44" borderId="1" xfId="1552" applyFont="true" applyBorder="true" applyAlignment="false" applyProtection="false">
      <alignment horizontal="general" vertical="bottom" textRotation="0" wrapText="false" indent="0" shrinkToFit="false"/>
      <protection locked="true" hidden="false"/>
    </xf>
    <xf numFmtId="168" fontId="0" fillId="0" borderId="0" xfId="1552" applyFont="true" applyBorder="false" applyAlignment="false" applyProtection="false">
      <alignment horizontal="general" vertical="bottom" textRotation="0" wrapText="false" indent="0" shrinkToFit="false"/>
      <protection locked="true" hidden="false"/>
    </xf>
    <xf numFmtId="164" fontId="28" fillId="16" borderId="1" xfId="1552" applyFont="true" applyBorder="true" applyAlignment="false" applyProtection="false">
      <alignment horizontal="general" vertical="bottom" textRotation="0" wrapText="false" indent="0" shrinkToFit="false"/>
      <protection locked="true" hidden="false"/>
    </xf>
    <xf numFmtId="168" fontId="0" fillId="0" borderId="1" xfId="1552" applyFont="true" applyBorder="true" applyAlignment="false" applyProtection="false">
      <alignment horizontal="general" vertical="bottom" textRotation="0" wrapText="false" indent="0" shrinkToFit="false"/>
      <protection locked="true" hidden="false"/>
    </xf>
    <xf numFmtId="168" fontId="75" fillId="0" borderId="1" xfId="1552" applyFont="true" applyBorder="true" applyAlignment="false" applyProtection="false">
      <alignment horizontal="general" vertical="bottom" textRotation="0" wrapText="false" indent="0" shrinkToFit="false"/>
      <protection locked="true" hidden="false"/>
    </xf>
    <xf numFmtId="176" fontId="56" fillId="0" borderId="0" xfId="19" applyFont="false" applyBorder="false" applyAlignment="false" applyProtection="false">
      <alignment horizontal="general" vertical="bottom" textRotation="0" wrapText="false" indent="0" shrinkToFit="false"/>
      <protection locked="true" hidden="false"/>
    </xf>
    <xf numFmtId="168" fontId="76" fillId="0" borderId="1" xfId="1552" applyFont="true" applyBorder="true" applyAlignment="false" applyProtection="false">
      <alignment horizontal="general" vertical="bottom" textRotation="0" wrapText="false" indent="0" shrinkToFit="false"/>
      <protection locked="true" hidden="false"/>
    </xf>
    <xf numFmtId="164" fontId="77" fillId="0" borderId="0" xfId="20" applyFont="true" applyBorder="true" applyAlignment="true" applyProtection="true">
      <alignment horizontal="general" vertical="bottom" textRotation="0" wrapText="false" indent="0" shrinkToFit="false"/>
      <protection locked="true" hidden="false"/>
    </xf>
    <xf numFmtId="164" fontId="28" fillId="16" borderId="1" xfId="1552" applyFont="true" applyBorder="true" applyAlignment="true" applyProtection="false">
      <alignment horizontal="left" vertical="bottom" textRotation="0" wrapText="false" indent="1" shrinkToFit="false"/>
      <protection locked="true" hidden="false"/>
    </xf>
    <xf numFmtId="168" fontId="64" fillId="0" borderId="1" xfId="1552" applyFont="true" applyBorder="true" applyAlignment="false" applyProtection="false">
      <alignment horizontal="general" vertical="bottom" textRotation="0" wrapText="false" indent="0" shrinkToFit="false"/>
      <protection locked="true" hidden="false"/>
    </xf>
    <xf numFmtId="169" fontId="56" fillId="0" borderId="0" xfId="19" applyFont="false" applyBorder="false" applyAlignment="false" applyProtection="false">
      <alignment horizontal="general" vertical="bottom" textRotation="0" wrapText="false" indent="0" shrinkToFit="false"/>
      <protection locked="true" hidden="false"/>
    </xf>
    <xf numFmtId="164" fontId="78" fillId="42" borderId="1" xfId="1552" applyFont="true" applyBorder="true" applyAlignment="true" applyProtection="false">
      <alignment horizontal="center" vertical="center" textRotation="0" wrapText="false" indent="0" shrinkToFit="false"/>
      <protection locked="true" hidden="false"/>
    </xf>
    <xf numFmtId="164" fontId="78" fillId="26" borderId="1" xfId="1552" applyFont="true" applyBorder="true" applyAlignment="true" applyProtection="false">
      <alignment horizontal="general" vertical="bottom" textRotation="0" wrapText="true" indent="0" shrinkToFit="false"/>
      <protection locked="true" hidden="false"/>
    </xf>
    <xf numFmtId="164" fontId="78" fillId="26" borderId="1" xfId="1552" applyFont="true" applyBorder="true" applyAlignment="true" applyProtection="false">
      <alignment horizontal="center" vertical="bottom" textRotation="0" wrapText="true" indent="0" shrinkToFit="false"/>
      <protection locked="true" hidden="false"/>
    </xf>
    <xf numFmtId="164" fontId="78" fillId="42" borderId="38" xfId="1552" applyFont="true" applyBorder="true" applyAlignment="true" applyProtection="false">
      <alignment horizontal="center" vertical="center" textRotation="0" wrapText="false" indent="0" shrinkToFit="false"/>
      <protection locked="true" hidden="false"/>
    </xf>
    <xf numFmtId="164" fontId="78" fillId="26" borderId="1" xfId="1552" applyFont="true" applyBorder="true" applyAlignment="true" applyProtection="false">
      <alignment horizontal="center" vertical="center" textRotation="0" wrapText="true" indent="0" shrinkToFit="false"/>
      <protection locked="true" hidden="false"/>
    </xf>
    <xf numFmtId="164" fontId="78" fillId="39" borderId="1" xfId="1552" applyFont="true" applyBorder="true" applyAlignment="false" applyProtection="false">
      <alignment horizontal="general" vertical="bottom" textRotation="0" wrapText="false" indent="0" shrinkToFit="false"/>
      <protection locked="true" hidden="false"/>
    </xf>
    <xf numFmtId="176" fontId="4" fillId="46" borderId="1" xfId="19" applyFont="true" applyBorder="true" applyAlignment="false" applyProtection="false">
      <alignment horizontal="general" vertical="bottom" textRotation="0" wrapText="false" indent="0" shrinkToFit="false"/>
      <protection locked="true" hidden="false"/>
    </xf>
    <xf numFmtId="176" fontId="0" fillId="44" borderId="1" xfId="1552" applyFont="true" applyBorder="true" applyAlignment="false" applyProtection="false">
      <alignment horizontal="general" vertical="bottom" textRotation="0" wrapText="false" indent="0" shrinkToFit="false"/>
      <protection locked="true" hidden="false"/>
    </xf>
    <xf numFmtId="164" fontId="78" fillId="39" borderId="1" xfId="1552" applyFont="true" applyBorder="true" applyAlignment="true" applyProtection="false">
      <alignment horizontal="center" vertical="bottom" textRotation="0" wrapText="false" indent="0" shrinkToFit="false"/>
      <protection locked="true" hidden="false"/>
    </xf>
    <xf numFmtId="164" fontId="22" fillId="0" borderId="0" xfId="1552" applyFont="true" applyBorder="false" applyAlignment="false" applyProtection="false">
      <alignment horizontal="general" vertical="bottom" textRotation="0" wrapText="false" indent="0" shrinkToFit="false"/>
      <protection locked="true" hidden="false"/>
    </xf>
    <xf numFmtId="164" fontId="0" fillId="42" borderId="1" xfId="1552" applyFont="true" applyBorder="true" applyAlignment="false" applyProtection="false">
      <alignment horizontal="general" vertical="bottom" textRotation="0" wrapText="false" indent="0" shrinkToFit="false"/>
      <protection locked="true" hidden="false"/>
    </xf>
    <xf numFmtId="164" fontId="79" fillId="42" borderId="1" xfId="1552" applyFont="true" applyBorder="true" applyAlignment="true" applyProtection="false">
      <alignment horizontal="center" vertical="bottom" textRotation="0" wrapText="false" indent="0" shrinkToFit="false"/>
      <protection locked="true" hidden="false"/>
    </xf>
    <xf numFmtId="169" fontId="4" fillId="0" borderId="1" xfId="19" applyFont="true" applyBorder="true" applyAlignment="false" applyProtection="false">
      <alignment horizontal="general" vertical="bottom" textRotation="0" wrapText="false" indent="0" shrinkToFit="false"/>
      <protection locked="true" hidden="false"/>
    </xf>
    <xf numFmtId="169" fontId="0" fillId="44" borderId="1" xfId="1552" applyFont="true" applyBorder="true" applyAlignment="false" applyProtection="false">
      <alignment horizontal="general" vertical="bottom" textRotation="0" wrapText="false" indent="0" shrinkToFit="false"/>
      <protection locked="true" hidden="false"/>
    </xf>
    <xf numFmtId="176" fontId="75" fillId="0" borderId="1" xfId="19" applyFont="true" applyBorder="true" applyAlignment="false" applyProtection="false">
      <alignment horizontal="general" vertical="bottom" textRotation="0" wrapText="false" indent="0" shrinkToFit="false"/>
      <protection locked="true" hidden="false"/>
    </xf>
    <xf numFmtId="164" fontId="76" fillId="0" borderId="0" xfId="1552" applyFont="true" applyBorder="false" applyAlignment="false" applyProtection="false">
      <alignment horizontal="general" vertical="bottom" textRotation="0" wrapText="false" indent="0" shrinkToFit="false"/>
      <protection locked="true" hidden="false"/>
    </xf>
    <xf numFmtId="164" fontId="0" fillId="47" borderId="1" xfId="1552" applyFont="true" applyBorder="true" applyAlignment="false" applyProtection="false">
      <alignment horizontal="general" vertical="bottom" textRotation="0" wrapText="false" indent="0" shrinkToFit="false"/>
      <protection locked="true" hidden="false"/>
    </xf>
    <xf numFmtId="164" fontId="79" fillId="47" borderId="1" xfId="1552" applyFont="true" applyBorder="true" applyAlignment="true" applyProtection="false">
      <alignment horizontal="center" vertical="bottom" textRotation="0" wrapText="false" indent="0" shrinkToFit="false"/>
      <protection locked="true" hidden="false"/>
    </xf>
    <xf numFmtId="169" fontId="4" fillId="47" borderId="1" xfId="19" applyFont="true" applyBorder="true" applyAlignment="false" applyProtection="false">
      <alignment horizontal="general" vertical="bottom" textRotation="0" wrapText="false" indent="0" shrinkToFit="false"/>
      <protection locked="true" hidden="false"/>
    </xf>
    <xf numFmtId="169" fontId="0" fillId="47" borderId="1" xfId="1552" applyFont="true" applyBorder="true" applyAlignment="false" applyProtection="false">
      <alignment horizontal="general" vertical="bottom" textRotation="0" wrapText="false" indent="0" shrinkToFit="false"/>
      <protection locked="true" hidden="false"/>
    </xf>
    <xf numFmtId="176" fontId="4" fillId="47" borderId="1" xfId="19" applyFont="true" applyBorder="true" applyAlignment="false" applyProtection="false">
      <alignment horizontal="general" vertical="bottom" textRotation="0" wrapText="false" indent="0" shrinkToFit="false"/>
      <protection locked="true" hidden="false"/>
    </xf>
    <xf numFmtId="176" fontId="0" fillId="47" borderId="1" xfId="1552" applyFont="true" applyBorder="true" applyAlignment="false" applyProtection="false">
      <alignment horizontal="general" vertical="bottom" textRotation="0" wrapText="false" indent="0" shrinkToFit="false"/>
      <protection locked="true" hidden="false"/>
    </xf>
    <xf numFmtId="176" fontId="4" fillId="0" borderId="1" xfId="19" applyFont="true" applyBorder="true" applyAlignment="false" applyProtection="false">
      <alignment horizontal="general" vertical="bottom" textRotation="0" wrapText="false" indent="0" shrinkToFit="false"/>
      <protection locked="true" hidden="false"/>
    </xf>
    <xf numFmtId="169" fontId="64" fillId="0" borderId="1" xfId="19" applyFont="true" applyBorder="true" applyAlignment="false" applyProtection="false">
      <alignment horizontal="general" vertical="bottom" textRotation="0" wrapText="false" indent="0" shrinkToFit="false"/>
      <protection locked="true" hidden="false"/>
    </xf>
    <xf numFmtId="169" fontId="4" fillId="46" borderId="1" xfId="19" applyFont="true" applyBorder="true" applyAlignment="false" applyProtection="false">
      <alignment horizontal="general" vertical="bottom" textRotation="0" wrapText="false" indent="0" shrinkToFit="false"/>
      <protection locked="true" hidden="false"/>
    </xf>
    <xf numFmtId="176" fontId="64" fillId="0" borderId="1" xfId="19" applyFont="true" applyBorder="true" applyAlignment="false" applyProtection="false">
      <alignment horizontal="general" vertical="bottom" textRotation="0" wrapText="false" indent="0" shrinkToFit="false"/>
      <protection locked="true" hidden="false"/>
    </xf>
    <xf numFmtId="164" fontId="80" fillId="39" borderId="1" xfId="1552" applyFont="true" applyBorder="true" applyAlignment="false" applyProtection="false">
      <alignment horizontal="general" vertical="bottom" textRotation="0" wrapText="false" indent="0" shrinkToFit="false"/>
      <protection locked="true" hidden="false"/>
    </xf>
    <xf numFmtId="176" fontId="81" fillId="0" borderId="1" xfId="19" applyFont="true" applyBorder="true" applyAlignment="false" applyProtection="false">
      <alignment horizontal="general" vertical="bottom" textRotation="0" wrapText="false" indent="0" shrinkToFit="false"/>
      <protection locked="true" hidden="false"/>
    </xf>
    <xf numFmtId="164" fontId="78" fillId="39" borderId="1" xfId="1552" applyFont="true" applyBorder="true" applyAlignment="true" applyProtection="false">
      <alignment horizontal="general" vertical="center" textRotation="0" wrapText="false" indent="0" shrinkToFit="false"/>
      <protection locked="true" hidden="false"/>
    </xf>
    <xf numFmtId="176" fontId="82" fillId="0" borderId="1" xfId="19" applyFont="true" applyBorder="true" applyAlignment="false" applyProtection="false">
      <alignment horizontal="general" vertical="bottom" textRotation="0" wrapText="false" indent="0" shrinkToFit="false"/>
      <protection locked="true" hidden="false"/>
    </xf>
    <xf numFmtId="176" fontId="75" fillId="46" borderId="1" xfId="19" applyFont="true" applyBorder="true" applyAlignment="false" applyProtection="false">
      <alignment horizontal="general" vertical="bottom" textRotation="0" wrapText="false" indent="0" shrinkToFit="false"/>
      <protection locked="true" hidden="false"/>
    </xf>
    <xf numFmtId="176" fontId="0" fillId="0" borderId="1" xfId="19" applyFont="true" applyBorder="true" applyAlignment="false" applyProtection="false">
      <alignment horizontal="general" vertical="bottom" textRotation="0" wrapText="false" indent="0" shrinkToFit="false"/>
      <protection locked="true" hidden="false"/>
    </xf>
    <xf numFmtId="164" fontId="59" fillId="39" borderId="1" xfId="1552" applyFont="true" applyBorder="true" applyAlignment="false" applyProtection="false">
      <alignment horizontal="general" vertical="bottom" textRotation="0" wrapText="false" indent="0" shrinkToFit="false"/>
      <protection locked="true" hidden="false"/>
    </xf>
    <xf numFmtId="164" fontId="83" fillId="47" borderId="1" xfId="1552" applyFont="true" applyBorder="true" applyAlignment="false" applyProtection="false">
      <alignment horizontal="general" vertical="bottom" textRotation="0" wrapText="false" indent="0" shrinkToFit="false"/>
      <protection locked="true" hidden="false"/>
    </xf>
    <xf numFmtId="164" fontId="84" fillId="32" borderId="0" xfId="1552" applyFont="true" applyBorder="true" applyAlignment="true" applyProtection="false">
      <alignment horizontal="center" vertical="bottom" textRotation="0" wrapText="false" indent="0" shrinkToFit="false"/>
      <protection locked="true" hidden="false"/>
    </xf>
    <xf numFmtId="164" fontId="28" fillId="19" borderId="18" xfId="1552" applyFont="true" applyBorder="true" applyAlignment="true" applyProtection="false">
      <alignment horizontal="center" vertical="bottom" textRotation="0" wrapText="false" indent="0" shrinkToFit="false"/>
      <protection locked="true" hidden="false"/>
    </xf>
    <xf numFmtId="164" fontId="28" fillId="0" borderId="0" xfId="1552" applyFont="true" applyBorder="true" applyAlignment="true" applyProtection="false">
      <alignment horizontal="center" vertical="bottom" textRotation="0" wrapText="false" indent="0" shrinkToFit="false"/>
      <protection locked="true" hidden="false"/>
    </xf>
    <xf numFmtId="164" fontId="78" fillId="42" borderId="1" xfId="1552" applyFont="true" applyBorder="true" applyAlignment="true" applyProtection="false">
      <alignment horizontal="center" vertical="bottom" textRotation="0" wrapText="false" indent="0" shrinkToFit="false"/>
      <protection locked="true" hidden="false"/>
    </xf>
    <xf numFmtId="164" fontId="78" fillId="0" borderId="0" xfId="1552" applyFont="true" applyBorder="true" applyAlignment="true" applyProtection="false">
      <alignment horizontal="center" vertical="bottom" textRotation="0" wrapText="true" indent="0" shrinkToFit="false"/>
      <protection locked="true" hidden="false"/>
    </xf>
    <xf numFmtId="174" fontId="0" fillId="0" borderId="1" xfId="1552" applyFont="true" applyBorder="true" applyAlignment="true" applyProtection="false">
      <alignment horizontal="center" vertical="bottom" textRotation="0" wrapText="false" indent="0" shrinkToFit="false"/>
      <protection locked="true" hidden="false"/>
    </xf>
    <xf numFmtId="169" fontId="0" fillId="0" borderId="1" xfId="1552" applyFont="true" applyBorder="true" applyAlignment="true" applyProtection="false">
      <alignment horizontal="center" vertical="bottom" textRotation="0" wrapText="false" indent="0" shrinkToFit="false"/>
      <protection locked="true" hidden="false"/>
    </xf>
    <xf numFmtId="169" fontId="0" fillId="0" borderId="0" xfId="1552" applyFont="true" applyBorder="true" applyAlignment="true" applyProtection="false">
      <alignment horizontal="center" vertical="bottom" textRotation="0" wrapText="false" indent="0" shrinkToFit="false"/>
      <protection locked="true" hidden="false"/>
    </xf>
    <xf numFmtId="168" fontId="0" fillId="44" borderId="1" xfId="1552" applyFont="true" applyBorder="true" applyAlignment="true" applyProtection="false">
      <alignment horizontal="center" vertical="bottom" textRotation="0" wrapText="false" indent="0" shrinkToFit="false"/>
      <protection locked="true" hidden="false"/>
    </xf>
    <xf numFmtId="176" fontId="4" fillId="0" borderId="1" xfId="19" applyFont="true" applyBorder="true" applyAlignment="true" applyProtection="true">
      <alignment horizontal="center" vertical="bottom" textRotation="0" wrapText="false" indent="0" shrinkToFit="false"/>
      <protection locked="true" hidden="false"/>
    </xf>
    <xf numFmtId="169" fontId="0" fillId="0" borderId="1" xfId="1552" applyFont="true" applyBorder="true" applyAlignment="false" applyProtection="false">
      <alignment horizontal="general" vertical="bottom" textRotation="0" wrapText="false" indent="0" shrinkToFit="false"/>
      <protection locked="true" hidden="false"/>
    </xf>
    <xf numFmtId="169" fontId="0" fillId="26" borderId="0" xfId="1552" applyFont="true" applyBorder="false" applyAlignment="true" applyProtection="false">
      <alignment horizontal="center" vertical="bottom" textRotation="0" wrapText="false" indent="0" shrinkToFit="false"/>
      <protection locked="true" hidden="false"/>
    </xf>
    <xf numFmtId="169" fontId="0" fillId="0" borderId="0" xfId="1552" applyFont="true" applyBorder="false" applyAlignment="true" applyProtection="false">
      <alignment horizontal="center" vertical="bottom" textRotation="0" wrapText="false" indent="0" shrinkToFit="false"/>
      <protection locked="true" hidden="false"/>
    </xf>
    <xf numFmtId="164" fontId="78" fillId="39" borderId="1" xfId="1552" applyFont="true" applyBorder="true" applyAlignment="true" applyProtection="false">
      <alignment horizontal="center" vertical="center" textRotation="0" wrapText="false" indent="0" shrinkToFit="false"/>
      <protection locked="true" hidden="false"/>
    </xf>
    <xf numFmtId="169" fontId="0" fillId="44" borderId="1" xfId="1552" applyFont="true" applyBorder="true" applyAlignment="true" applyProtection="false">
      <alignment horizontal="center" vertical="bottom" textRotation="0" wrapText="false" indent="0" shrinkToFit="false"/>
      <protection locked="true" hidden="false"/>
    </xf>
    <xf numFmtId="176" fontId="4" fillId="0" borderId="1" xfId="19" applyFont="true" applyBorder="true" applyAlignment="false" applyProtection="true">
      <alignment horizontal="general" vertical="bottom" textRotation="0" wrapText="false" indent="0" shrinkToFit="false"/>
      <protection locked="true" hidden="false"/>
    </xf>
    <xf numFmtId="169" fontId="56" fillId="0" borderId="1" xfId="19" applyFont="false" applyBorder="true" applyAlignment="false" applyProtection="false">
      <alignment horizontal="general" vertical="bottom" textRotation="0" wrapText="false" indent="0" shrinkToFit="false"/>
      <protection locked="true" hidden="false"/>
    </xf>
    <xf numFmtId="169" fontId="56" fillId="0" borderId="1" xfId="19" applyFont="false" applyBorder="true" applyAlignment="true" applyProtection="false">
      <alignment horizontal="center" vertical="bottom" textRotation="0" wrapText="false" indent="0" shrinkToFit="false"/>
      <protection locked="true" hidden="false"/>
    </xf>
    <xf numFmtId="169" fontId="0" fillId="3" borderId="1" xfId="1552" applyFont="true" applyBorder="true" applyAlignment="true" applyProtection="false">
      <alignment horizontal="center" vertical="bottom" textRotation="0" wrapText="false" indent="0" shrinkToFit="false"/>
      <protection locked="true" hidden="false"/>
    </xf>
    <xf numFmtId="169" fontId="0" fillId="26" borderId="1" xfId="1552" applyFont="true" applyBorder="true" applyAlignment="true" applyProtection="false">
      <alignment horizontal="center" vertical="bottom" textRotation="0" wrapText="false" indent="0" shrinkToFit="false"/>
      <protection locked="true" hidden="false"/>
    </xf>
    <xf numFmtId="169" fontId="0" fillId="0" borderId="60" xfId="1552" applyFont="true" applyBorder="true" applyAlignment="true" applyProtection="false">
      <alignment horizontal="center" vertical="bottom" textRotation="0" wrapText="false" indent="0" shrinkToFit="false"/>
      <protection locked="true" hidden="false"/>
    </xf>
    <xf numFmtId="164" fontId="23" fillId="43" borderId="0" xfId="1552" applyFont="true" applyBorder="false" applyAlignment="true" applyProtection="false">
      <alignment horizontal="left" vertical="bottom" textRotation="0" wrapText="false" indent="0" shrinkToFit="false"/>
      <protection locked="true" hidden="false"/>
    </xf>
    <xf numFmtId="164" fontId="28" fillId="19" borderId="38" xfId="1552" applyFont="true" applyBorder="true" applyAlignment="true" applyProtection="false">
      <alignment horizontal="center" vertical="center" textRotation="0" wrapText="false" indent="0" shrinkToFit="false"/>
      <protection locked="true" hidden="false"/>
    </xf>
    <xf numFmtId="164" fontId="78" fillId="18" borderId="1" xfId="1552" applyFont="true" applyBorder="true" applyAlignment="true" applyProtection="false">
      <alignment horizontal="center" vertical="center" textRotation="0" wrapText="false" indent="0" shrinkToFit="false"/>
      <protection locked="true" hidden="false"/>
    </xf>
    <xf numFmtId="164" fontId="78" fillId="18" borderId="61" xfId="1552" applyFont="true" applyBorder="true" applyAlignment="true" applyProtection="false">
      <alignment horizontal="center" vertical="center" textRotation="0" wrapText="false" indent="0" shrinkToFit="false"/>
      <protection locked="true" hidden="false"/>
    </xf>
    <xf numFmtId="169" fontId="85" fillId="20" borderId="1" xfId="1552" applyFont="true" applyBorder="true" applyAlignment="true" applyProtection="false">
      <alignment horizontal="general" vertical="center" textRotation="0" wrapText="false" indent="0" shrinkToFit="false"/>
      <protection locked="true" hidden="false"/>
    </xf>
    <xf numFmtId="164" fontId="0" fillId="42" borderId="1" xfId="1552" applyFont="true" applyBorder="true" applyAlignment="true" applyProtection="false">
      <alignment horizontal="center" vertical="center" textRotation="0" wrapText="false" indent="0" shrinkToFit="false"/>
      <protection locked="true" hidden="false"/>
    </xf>
    <xf numFmtId="169" fontId="79" fillId="0" borderId="1" xfId="1552" applyFont="true" applyBorder="true" applyAlignment="true" applyProtection="false">
      <alignment horizontal="center" vertical="bottom" textRotation="0" wrapText="false" indent="0" shrinkToFit="false"/>
      <protection locked="true" hidden="false"/>
    </xf>
    <xf numFmtId="169" fontId="86" fillId="20" borderId="1" xfId="1552" applyFont="true" applyBorder="true" applyAlignment="true" applyProtection="false">
      <alignment horizontal="general" vertical="center" textRotation="0" wrapText="false" indent="0" shrinkToFit="false"/>
      <protection locked="true" hidden="false"/>
    </xf>
    <xf numFmtId="164" fontId="78" fillId="18" borderId="1" xfId="1552" applyFont="true" applyBorder="true" applyAlignment="true" applyProtection="false">
      <alignment horizontal="center" vertical="bottom" textRotation="0" wrapText="false" indent="0" shrinkToFit="false"/>
      <protection locked="true" hidden="false"/>
    </xf>
    <xf numFmtId="164" fontId="28" fillId="19" borderId="38" xfId="1552" applyFont="true" applyBorder="true" applyAlignment="true" applyProtection="false">
      <alignment horizontal="center" vertical="center" textRotation="0" wrapText="true" indent="0" shrinkToFit="false"/>
      <protection locked="true" hidden="false"/>
    </xf>
    <xf numFmtId="164" fontId="56" fillId="0" borderId="0" xfId="1552" applyFont="true" applyBorder="false" applyAlignment="false" applyProtection="false">
      <alignment horizontal="general" vertical="bottom" textRotation="0" wrapText="false" indent="0" shrinkToFit="false"/>
      <protection locked="true" hidden="false"/>
    </xf>
    <xf numFmtId="170" fontId="0" fillId="0" borderId="1" xfId="1552" applyFont="true" applyBorder="true" applyAlignment="true" applyProtection="false">
      <alignment horizontal="center" vertical="bottom" textRotation="0" wrapText="false" indent="0" shrinkToFit="false"/>
      <protection locked="true" hidden="false"/>
    </xf>
    <xf numFmtId="169" fontId="85" fillId="20" borderId="1" xfId="1552" applyFont="true" applyBorder="true" applyAlignment="true" applyProtection="false">
      <alignment horizontal="center" vertical="bottom" textRotation="0" wrapText="false" indent="0" shrinkToFit="false"/>
      <protection locked="true" hidden="false"/>
    </xf>
    <xf numFmtId="164" fontId="56" fillId="0" borderId="1" xfId="1552" applyFont="true" applyBorder="true" applyAlignment="true" applyProtection="false">
      <alignment horizontal="center" vertical="bottom" textRotation="0" wrapText="false" indent="0" shrinkToFit="false"/>
      <protection locked="true" hidden="false"/>
    </xf>
    <xf numFmtId="164" fontId="87" fillId="0" borderId="0" xfId="1550" applyFont="true" applyBorder="true" applyAlignment="true" applyProtection="true">
      <alignment horizontal="center" vertical="center" textRotation="0" wrapText="false" indent="0" shrinkToFit="false"/>
      <protection locked="true" hidden="false"/>
    </xf>
    <xf numFmtId="164" fontId="88" fillId="0" borderId="59" xfId="1552" applyFont="true" applyBorder="true" applyAlignment="true" applyProtection="false">
      <alignment horizontal="center" vertical="center" textRotation="0" wrapText="true" indent="0" shrinkToFit="false"/>
      <protection locked="true" hidden="false"/>
    </xf>
    <xf numFmtId="164" fontId="89" fillId="0" borderId="1" xfId="1552" applyFont="true" applyBorder="true" applyAlignment="true" applyProtection="false">
      <alignment horizontal="general" vertical="center" textRotation="0" wrapText="false" indent="0" shrinkToFit="false"/>
      <protection locked="true" hidden="false"/>
    </xf>
    <xf numFmtId="169" fontId="89" fillId="0" borderId="1" xfId="19" applyFont="true" applyBorder="true" applyAlignment="true" applyProtection="true">
      <alignment horizontal="right" vertical="center" textRotation="0" wrapText="false" indent="0" shrinkToFit="false"/>
      <protection locked="true" hidden="false"/>
    </xf>
    <xf numFmtId="169" fontId="90" fillId="0" borderId="1" xfId="1552" applyFont="true" applyBorder="true" applyAlignment="true" applyProtection="false">
      <alignment horizontal="center" vertical="bottom" textRotation="0" wrapText="false" indent="0" shrinkToFit="false"/>
      <protection locked="true" hidden="false"/>
    </xf>
    <xf numFmtId="164" fontId="88" fillId="0" borderId="1" xfId="1552" applyFont="true" applyBorder="true" applyAlignment="true" applyProtection="false">
      <alignment horizontal="general" vertical="center" textRotation="0" wrapText="false" indent="0" shrinkToFit="false"/>
      <protection locked="true" hidden="false"/>
    </xf>
    <xf numFmtId="169" fontId="88" fillId="0" borderId="1" xfId="19" applyFont="true" applyBorder="true" applyAlignment="true" applyProtection="true">
      <alignment horizontal="right" vertical="center" textRotation="0" wrapText="false" indent="0" shrinkToFit="false"/>
      <protection locked="true" hidden="false"/>
    </xf>
    <xf numFmtId="164" fontId="84" fillId="0" borderId="0" xfId="1552" applyFont="true" applyBorder="false" applyAlignment="true" applyProtection="false">
      <alignment horizontal="center" vertical="bottom" textRotation="0" wrapText="false" indent="0" shrinkToFit="false"/>
      <protection locked="true" hidden="false"/>
    </xf>
    <xf numFmtId="164" fontId="84" fillId="0" borderId="0" xfId="1552" applyFont="true" applyBorder="false" applyAlignment="true" applyProtection="false">
      <alignment horizontal="left" vertical="center" textRotation="0" wrapText="false" indent="0" shrinkToFit="false"/>
      <protection locked="true" hidden="false"/>
    </xf>
    <xf numFmtId="164" fontId="28" fillId="19" borderId="1" xfId="1552" applyFont="true" applyBorder="true" applyAlignment="true" applyProtection="false">
      <alignment horizontal="center" vertical="center" textRotation="0" wrapText="false" indent="0" shrinkToFit="false"/>
      <protection locked="true" hidden="false"/>
    </xf>
    <xf numFmtId="164" fontId="0" fillId="42" borderId="1" xfId="1552" applyFont="true" applyBorder="true" applyAlignment="true" applyProtection="false">
      <alignment horizontal="general" vertical="center" textRotation="0" wrapText="false" indent="0" shrinkToFit="false"/>
      <protection locked="true" hidden="false"/>
    </xf>
    <xf numFmtId="169" fontId="91" fillId="0" borderId="1" xfId="1552" applyFont="true" applyBorder="true" applyAlignment="true" applyProtection="false">
      <alignment horizontal="center" vertical="bottom" textRotation="0" wrapText="false" indent="0" shrinkToFit="false"/>
      <protection locked="true" hidden="false"/>
    </xf>
    <xf numFmtId="164" fontId="0" fillId="42" borderId="1" xfId="1552" applyFont="true" applyBorder="true" applyAlignment="true" applyProtection="false">
      <alignment horizontal="left" vertical="center" textRotation="0" wrapText="false" indent="12" shrinkToFit="false"/>
      <protection locked="true" hidden="false"/>
    </xf>
    <xf numFmtId="164" fontId="92" fillId="0" borderId="0" xfId="1552" applyFont="true" applyBorder="false" applyAlignment="false" applyProtection="false">
      <alignment horizontal="general" vertical="bottom" textRotation="0" wrapText="false" indent="0" shrinkToFit="false"/>
      <protection locked="true" hidden="false"/>
    </xf>
    <xf numFmtId="164" fontId="84" fillId="0" borderId="0" xfId="1552" applyFont="true" applyBorder="false" applyAlignment="false" applyProtection="false">
      <alignment horizontal="general" vertical="bottom" textRotation="0" wrapText="false" indent="0" shrinkToFit="false"/>
      <protection locked="true" hidden="false"/>
    </xf>
    <xf numFmtId="164" fontId="84" fillId="0" borderId="0" xfId="1552" applyFont="true" applyBorder="false" applyAlignment="true" applyProtection="false">
      <alignment horizontal="left" vertical="bottom" textRotation="0" wrapText="false" indent="0" shrinkToFit="false"/>
      <protection locked="true" hidden="false"/>
    </xf>
    <xf numFmtId="164" fontId="78" fillId="39" borderId="26" xfId="1552" applyFont="true" applyBorder="true" applyAlignment="true" applyProtection="false">
      <alignment horizontal="center" vertical="center" textRotation="0" wrapText="false" indent="0" shrinkToFit="false"/>
      <protection locked="true" hidden="false"/>
    </xf>
    <xf numFmtId="164" fontId="0" fillId="0" borderId="62" xfId="1552" applyFont="true" applyBorder="true" applyAlignment="false" applyProtection="false">
      <alignment horizontal="general" vertical="bottom" textRotation="0" wrapText="false" indent="0" shrinkToFit="false"/>
      <protection locked="true" hidden="false"/>
    </xf>
    <xf numFmtId="164" fontId="0" fillId="0" borderId="56" xfId="1552" applyFont="true" applyBorder="true" applyAlignment="false" applyProtection="false">
      <alignment horizontal="general" vertical="bottom" textRotation="0" wrapText="false" indent="0" shrinkToFit="false"/>
      <protection locked="true" hidden="false"/>
    </xf>
    <xf numFmtId="164" fontId="0" fillId="0" borderId="57" xfId="1552" applyFont="true" applyBorder="true" applyAlignment="false" applyProtection="false">
      <alignment horizontal="general" vertical="bottom" textRotation="0" wrapText="false" indent="0" shrinkToFit="false"/>
      <protection locked="true" hidden="false"/>
    </xf>
    <xf numFmtId="164" fontId="0" fillId="42" borderId="26" xfId="1552" applyFont="true" applyBorder="true" applyAlignment="true" applyProtection="false">
      <alignment horizontal="left" vertical="center" textRotation="0" wrapText="false" indent="0" shrinkToFit="false"/>
      <protection locked="true" hidden="false"/>
    </xf>
    <xf numFmtId="172" fontId="28" fillId="0" borderId="58" xfId="1552" applyFont="true" applyBorder="true" applyAlignment="true" applyProtection="false">
      <alignment horizontal="center" vertical="bottom" textRotation="0" wrapText="false" indent="0" shrinkToFit="false"/>
      <protection locked="true" hidden="false"/>
    </xf>
    <xf numFmtId="172" fontId="28" fillId="0" borderId="0" xfId="1552" applyFont="true" applyBorder="true" applyAlignment="true" applyProtection="false">
      <alignment horizontal="center" vertical="bottom" textRotation="0" wrapText="false" indent="0" shrinkToFit="false"/>
      <protection locked="true" hidden="false"/>
    </xf>
    <xf numFmtId="172" fontId="0" fillId="0" borderId="0" xfId="1552" applyFont="true" applyBorder="true" applyAlignment="false" applyProtection="false">
      <alignment horizontal="general" vertical="bottom" textRotation="0" wrapText="false" indent="0" shrinkToFit="false"/>
      <protection locked="true" hidden="false"/>
    </xf>
    <xf numFmtId="172" fontId="0" fillId="0" borderId="60" xfId="1552" applyFont="true" applyBorder="true" applyAlignment="false" applyProtection="false">
      <alignment horizontal="general" vertical="bottom" textRotation="0" wrapText="false" indent="0" shrinkToFit="false"/>
      <protection locked="true" hidden="false"/>
    </xf>
    <xf numFmtId="172" fontId="0" fillId="0" borderId="58" xfId="1552" applyFont="true" applyBorder="true" applyAlignment="false" applyProtection="false">
      <alignment horizontal="general" vertical="bottom" textRotation="0" wrapText="false" indent="0" shrinkToFit="false"/>
      <protection locked="true" hidden="false"/>
    </xf>
    <xf numFmtId="164" fontId="0" fillId="0" borderId="58" xfId="1552" applyFont="true" applyBorder="true" applyAlignment="false" applyProtection="false">
      <alignment horizontal="general" vertical="bottom" textRotation="0" wrapText="false" indent="0" shrinkToFit="false"/>
      <protection locked="true" hidden="false"/>
    </xf>
    <xf numFmtId="164" fontId="0" fillId="0" borderId="0" xfId="1552" applyFont="true" applyBorder="true" applyAlignment="false" applyProtection="false">
      <alignment horizontal="general" vertical="bottom" textRotation="0" wrapText="false" indent="0" shrinkToFit="false"/>
      <protection locked="true" hidden="false"/>
    </xf>
    <xf numFmtId="164" fontId="0" fillId="0" borderId="60" xfId="1552" applyFont="true" applyBorder="true" applyAlignment="false" applyProtection="false">
      <alignment horizontal="general" vertical="bottom" textRotation="0" wrapText="false" indent="0" shrinkToFit="false"/>
      <protection locked="true" hidden="false"/>
    </xf>
    <xf numFmtId="164" fontId="0" fillId="0" borderId="58" xfId="1552" applyFont="true" applyBorder="true" applyAlignment="true" applyProtection="false">
      <alignment horizontal="left" vertical="center" textRotation="0" wrapText="false" indent="0" shrinkToFit="false"/>
      <protection locked="true" hidden="false"/>
    </xf>
    <xf numFmtId="164" fontId="0" fillId="0" borderId="58" xfId="1552" applyFont="true" applyBorder="true" applyAlignment="true" applyProtection="false">
      <alignment horizontal="left" vertical="center" textRotation="0" wrapText="true" indent="0" shrinkToFit="false"/>
      <protection locked="true" hidden="false"/>
    </xf>
    <xf numFmtId="172" fontId="0" fillId="0" borderId="63" xfId="1552" applyFont="true" applyBorder="true" applyAlignment="false" applyProtection="false">
      <alignment horizontal="general" vertical="bottom" textRotation="0" wrapText="false" indent="0" shrinkToFit="false"/>
      <protection locked="true" hidden="false"/>
    </xf>
    <xf numFmtId="172" fontId="0" fillId="0" borderId="18" xfId="1552" applyFont="true" applyBorder="true" applyAlignment="false" applyProtection="false">
      <alignment horizontal="general" vertical="bottom" textRotation="0" wrapText="false" indent="0" shrinkToFit="false"/>
      <protection locked="true" hidden="false"/>
    </xf>
    <xf numFmtId="172" fontId="0" fillId="0" borderId="38" xfId="1552" applyFont="true" applyBorder="true" applyAlignment="false" applyProtection="false">
      <alignment horizontal="general" vertical="bottom" textRotation="0" wrapText="false" indent="0" shrinkToFit="false"/>
      <protection locked="true" hidden="false"/>
    </xf>
    <xf numFmtId="164" fontId="78" fillId="36" borderId="58" xfId="1552" applyFont="true" applyBorder="true" applyAlignment="true" applyProtection="false">
      <alignment horizontal="center" vertical="center" textRotation="0" wrapText="true" indent="0" shrinkToFit="false"/>
      <protection locked="true" hidden="false"/>
    </xf>
    <xf numFmtId="164" fontId="78" fillId="36" borderId="0" xfId="1552" applyFont="true" applyBorder="true" applyAlignment="true" applyProtection="false">
      <alignment horizontal="center" vertical="center" textRotation="0" wrapText="true" indent="0" shrinkToFit="false"/>
      <protection locked="true" hidden="false"/>
    </xf>
    <xf numFmtId="164" fontId="0" fillId="19" borderId="1" xfId="1552" applyFont="true" applyBorder="true" applyAlignment="true" applyProtection="false">
      <alignment horizontal="center" vertical="center" textRotation="0" wrapText="false" indent="0" shrinkToFit="false"/>
      <protection locked="true" hidden="false"/>
    </xf>
    <xf numFmtId="164" fontId="0" fillId="0" borderId="1" xfId="1552" applyFont="true" applyBorder="true" applyAlignment="true" applyProtection="false">
      <alignment horizontal="center" vertical="bottom" textRotation="0" wrapText="false" indent="0" shrinkToFit="false"/>
      <protection locked="true" hidden="false"/>
    </xf>
    <xf numFmtId="169" fontId="80" fillId="26" borderId="1" xfId="1552" applyFont="true" applyBorder="true" applyAlignment="true" applyProtection="false">
      <alignment horizontal="center" vertical="bottom" textRotation="0" wrapText="false" indent="0" shrinkToFit="false"/>
      <protection locked="true" hidden="false"/>
    </xf>
    <xf numFmtId="164" fontId="0" fillId="19" borderId="39" xfId="1552" applyFont="true" applyBorder="true" applyAlignment="true" applyProtection="false">
      <alignment horizontal="center" vertical="bottom" textRotation="0" wrapText="false" indent="0" shrinkToFit="false"/>
      <protection locked="true" hidden="false"/>
    </xf>
    <xf numFmtId="164" fontId="0" fillId="0" borderId="39" xfId="1552" applyFont="true" applyBorder="true" applyAlignment="true" applyProtection="false">
      <alignment horizontal="center" vertical="bottom" textRotation="0" wrapText="false" indent="0" shrinkToFit="false"/>
      <protection locked="true" hidden="false"/>
    </xf>
    <xf numFmtId="164" fontId="80" fillId="26" borderId="1" xfId="15" applyFont="true" applyBorder="true" applyAlignment="true" applyProtection="true">
      <alignment horizontal="center" vertical="bottom" textRotation="0" wrapText="false" indent="0" shrinkToFit="false"/>
      <protection locked="true" hidden="false"/>
    </xf>
    <xf numFmtId="164" fontId="28" fillId="47" borderId="1" xfId="1552" applyFont="true" applyBorder="true" applyAlignment="true" applyProtection="false">
      <alignment horizontal="center" vertical="center" textRotation="0" wrapText="false" indent="0" shrinkToFit="false"/>
      <protection locked="true" hidden="false"/>
    </xf>
    <xf numFmtId="164" fontId="23" fillId="38" borderId="1" xfId="1552" applyFont="true" applyBorder="true" applyAlignment="true" applyProtection="false">
      <alignment horizontal="center" vertical="center" textRotation="0" wrapText="false" indent="0" shrinkToFit="false"/>
      <protection locked="true" hidden="false"/>
    </xf>
    <xf numFmtId="164" fontId="23" fillId="48" borderId="1" xfId="1552" applyFont="true" applyBorder="true" applyAlignment="true" applyProtection="false">
      <alignment horizontal="center" vertical="center" textRotation="0" wrapText="false" indent="0" shrinkToFit="false"/>
      <protection locked="true" hidden="false"/>
    </xf>
    <xf numFmtId="164" fontId="23" fillId="41" borderId="1" xfId="1552" applyFont="true" applyBorder="true" applyAlignment="true" applyProtection="false">
      <alignment horizontal="center" vertical="center" textRotation="0" wrapText="false" indent="0" shrinkToFit="false"/>
      <protection locked="true" hidden="false"/>
    </xf>
    <xf numFmtId="164" fontId="23" fillId="49" borderId="42" xfId="1552" applyFont="true" applyBorder="true" applyAlignment="true" applyProtection="false">
      <alignment horizontal="center" vertical="center" textRotation="0" wrapText="false" indent="0" shrinkToFit="false"/>
      <protection locked="true" hidden="false"/>
    </xf>
    <xf numFmtId="164" fontId="56" fillId="0" borderId="1" xfId="1552" applyFont="true" applyBorder="true" applyAlignment="false" applyProtection="false">
      <alignment horizontal="general" vertical="bottom" textRotation="0" wrapText="false" indent="0" shrinkToFit="false"/>
      <protection locked="true" hidden="false"/>
    </xf>
    <xf numFmtId="164" fontId="0" fillId="3" borderId="34" xfId="1552" applyFont="true" applyBorder="true" applyAlignment="true" applyProtection="false">
      <alignment horizontal="general" vertical="center" textRotation="0" wrapText="false" indent="0" shrinkToFit="false"/>
      <protection locked="true" hidden="false"/>
    </xf>
    <xf numFmtId="169" fontId="0" fillId="47" borderId="34" xfId="1552" applyFont="true" applyBorder="true" applyAlignment="true" applyProtection="false">
      <alignment horizontal="center" vertical="center" textRotation="0" wrapText="false" indent="0" shrinkToFit="false"/>
      <protection locked="true" hidden="false"/>
    </xf>
    <xf numFmtId="169" fontId="5" fillId="38" borderId="34" xfId="1552" applyFont="true" applyBorder="true" applyAlignment="true" applyProtection="false">
      <alignment horizontal="center" vertical="center" textRotation="0" wrapText="false" indent="0" shrinkToFit="false"/>
      <protection locked="true" hidden="false"/>
    </xf>
    <xf numFmtId="169" fontId="5" fillId="48" borderId="34" xfId="1552" applyFont="true" applyBorder="true" applyAlignment="true" applyProtection="false">
      <alignment horizontal="center" vertical="center" textRotation="0" wrapText="false" indent="0" shrinkToFit="false"/>
      <protection locked="true" hidden="false"/>
    </xf>
    <xf numFmtId="169" fontId="5" fillId="41" borderId="34" xfId="1552" applyFont="true" applyBorder="true" applyAlignment="true" applyProtection="false">
      <alignment horizontal="center" vertical="center" textRotation="0" wrapText="false" indent="0" shrinkToFit="false"/>
      <protection locked="true" hidden="false"/>
    </xf>
    <xf numFmtId="169" fontId="5" fillId="49" borderId="60" xfId="1552" applyFont="true" applyBorder="true" applyAlignment="true" applyProtection="false">
      <alignment horizontal="center" vertical="center" textRotation="0" wrapText="false" indent="0" shrinkToFit="false"/>
      <protection locked="true" hidden="false"/>
    </xf>
    <xf numFmtId="164" fontId="56" fillId="0" borderId="59" xfId="1552" applyFont="true" applyBorder="true" applyAlignment="true" applyProtection="false">
      <alignment horizontal="general" vertical="center" textRotation="0" wrapText="false" indent="0" shrinkToFit="false"/>
      <protection locked="true" hidden="false"/>
    </xf>
    <xf numFmtId="169" fontId="0" fillId="0" borderId="59" xfId="1552" applyFont="true" applyBorder="true" applyAlignment="false" applyProtection="false">
      <alignment horizontal="general" vertical="bottom" textRotation="0" wrapText="false" indent="0" shrinkToFit="false"/>
      <protection locked="true" hidden="false"/>
    </xf>
    <xf numFmtId="169" fontId="79" fillId="19" borderId="1" xfId="1552" applyFont="true" applyBorder="true" applyAlignment="true" applyProtection="false">
      <alignment horizontal="center" vertical="bottom" textRotation="0" wrapText="false" indent="0" shrinkToFit="false"/>
      <protection locked="true" hidden="false"/>
    </xf>
    <xf numFmtId="169" fontId="79" fillId="26" borderId="1" xfId="1552" applyFont="true" applyBorder="true" applyAlignment="true" applyProtection="false">
      <alignment horizontal="center" vertical="bottom" textRotation="0" wrapText="false" indent="0" shrinkToFit="false"/>
      <protection locked="true" hidden="false"/>
    </xf>
    <xf numFmtId="164" fontId="56" fillId="0" borderId="34" xfId="1552" applyFont="true" applyBorder="true" applyAlignment="true" applyProtection="false">
      <alignment horizontal="general" vertical="center" textRotation="0" wrapText="false" indent="0" shrinkToFit="false"/>
      <protection locked="true" hidden="false"/>
    </xf>
    <xf numFmtId="169" fontId="0" fillId="0" borderId="34" xfId="1552" applyFont="true" applyBorder="true" applyAlignment="false" applyProtection="false">
      <alignment horizontal="general" vertical="bottom" textRotation="0" wrapText="false" indent="0" shrinkToFit="false"/>
      <protection locked="true" hidden="false"/>
    </xf>
    <xf numFmtId="164" fontId="0" fillId="3" borderId="39" xfId="1552" applyFont="true" applyBorder="true" applyAlignment="false" applyProtection="false">
      <alignment horizontal="general" vertical="bottom" textRotation="0" wrapText="false" indent="0" shrinkToFit="false"/>
      <protection locked="true" hidden="false"/>
    </xf>
    <xf numFmtId="169" fontId="0" fillId="47" borderId="39" xfId="19" applyFont="true" applyBorder="true" applyAlignment="true" applyProtection="true">
      <alignment horizontal="center" vertical="center" textRotation="0" wrapText="false" indent="0" shrinkToFit="false"/>
      <protection locked="true" hidden="false"/>
    </xf>
    <xf numFmtId="169" fontId="5" fillId="38" borderId="39" xfId="19" applyFont="true" applyBorder="true" applyAlignment="true" applyProtection="true">
      <alignment horizontal="center" vertical="center" textRotation="0" wrapText="false" indent="0" shrinkToFit="false"/>
      <protection locked="true" hidden="false"/>
    </xf>
    <xf numFmtId="169" fontId="5" fillId="48" borderId="39" xfId="19" applyFont="true" applyBorder="true" applyAlignment="true" applyProtection="true">
      <alignment horizontal="center" vertical="center" textRotation="0" wrapText="false" indent="0" shrinkToFit="false"/>
      <protection locked="true" hidden="false"/>
    </xf>
    <xf numFmtId="169" fontId="5" fillId="41" borderId="39" xfId="19" applyFont="true" applyBorder="true" applyAlignment="true" applyProtection="true">
      <alignment horizontal="center" vertical="center" textRotation="0" wrapText="false" indent="0" shrinkToFit="false"/>
      <protection locked="true" hidden="false"/>
    </xf>
    <xf numFmtId="169" fontId="5" fillId="49" borderId="38" xfId="19" applyFont="true" applyBorder="true" applyAlignment="true" applyProtection="true">
      <alignment horizontal="center" vertical="center" textRotation="0" wrapText="false" indent="0" shrinkToFit="false"/>
      <protection locked="true" hidden="false"/>
    </xf>
    <xf numFmtId="164" fontId="56" fillId="0" borderId="39" xfId="1552" applyFont="true" applyBorder="true" applyAlignment="false" applyProtection="false">
      <alignment horizontal="general" vertical="bottom" textRotation="0" wrapText="false" indent="0" shrinkToFit="false"/>
      <protection locked="true" hidden="false"/>
    </xf>
    <xf numFmtId="169" fontId="0" fillId="0" borderId="39" xfId="1552" applyFont="true" applyBorder="true" applyAlignment="false" applyProtection="false">
      <alignment horizontal="general" vertical="bottom" textRotation="0" wrapText="false" indent="0" shrinkToFit="false"/>
      <protection locked="true" hidden="false"/>
    </xf>
    <xf numFmtId="164" fontId="28" fillId="0" borderId="1" xfId="1552" applyFont="true" applyBorder="true" applyAlignment="true" applyProtection="false">
      <alignment horizontal="center" vertical="center" textRotation="0" wrapText="false" indent="0" shrinkToFit="false"/>
      <protection locked="true" hidden="false"/>
    </xf>
    <xf numFmtId="164" fontId="0" fillId="0" borderId="1" xfId="1552" applyFont="true" applyBorder="true" applyAlignment="false" applyProtection="false">
      <alignment horizontal="general" vertical="bottom" textRotation="0" wrapText="false" indent="0" shrinkToFit="false"/>
      <protection locked="true" hidden="false"/>
    </xf>
    <xf numFmtId="174" fontId="0" fillId="0" borderId="1" xfId="19" applyFont="true" applyBorder="true" applyAlignment="true" applyProtection="true">
      <alignment horizontal="general" vertical="bottom" textRotation="0" wrapText="false" indent="0" shrinkToFit="false"/>
      <protection locked="true" hidden="false"/>
    </xf>
    <xf numFmtId="169" fontId="90" fillId="19" borderId="1" xfId="1552" applyFont="true" applyBorder="true" applyAlignment="true" applyProtection="false">
      <alignment horizontal="center" vertical="bottom" textRotation="0" wrapText="false" indent="0" shrinkToFit="false"/>
      <protection locked="true" hidden="false"/>
    </xf>
    <xf numFmtId="164" fontId="0" fillId="50" borderId="64" xfId="1552" applyFont="true" applyBorder="true" applyAlignment="true" applyProtection="false">
      <alignment horizontal="center" vertical="center" textRotation="0" wrapText="true" indent="0" shrinkToFit="false"/>
      <protection locked="true" hidden="false"/>
    </xf>
    <xf numFmtId="164" fontId="0" fillId="0" borderId="0" xfId="1552" applyFont="true" applyBorder="false" applyAlignment="true" applyProtection="false">
      <alignment horizontal="center" vertical="bottom" textRotation="0" wrapText="false" indent="0" shrinkToFit="false"/>
      <protection locked="true" hidden="false"/>
    </xf>
    <xf numFmtId="164" fontId="0" fillId="0" borderId="0" xfId="1552" applyFont="true" applyBorder="false" applyAlignment="true" applyProtection="false">
      <alignment horizontal="right" vertical="bottom" textRotation="0" wrapText="false" indent="0" shrinkToFit="false"/>
      <protection locked="true" hidden="false"/>
    </xf>
    <xf numFmtId="164" fontId="0" fillId="3" borderId="0" xfId="1142" applyFont="false" applyBorder="false" applyAlignment="false" applyProtection="false">
      <alignment horizontal="general" vertical="bottom" textRotation="0" wrapText="false" indent="0" shrinkToFit="false"/>
      <protection locked="true" hidden="false"/>
    </xf>
    <xf numFmtId="164" fontId="0" fillId="0" borderId="0" xfId="1142" applyFont="false" applyBorder="false" applyAlignment="false" applyProtection="false">
      <alignment horizontal="general" vertical="bottom" textRotation="0" wrapText="false" indent="0" shrinkToFit="false"/>
      <protection locked="true" hidden="false"/>
    </xf>
    <xf numFmtId="172" fontId="0" fillId="0" borderId="24" xfId="1142" applyFont="false" applyBorder="true" applyAlignment="false" applyProtection="false">
      <alignment horizontal="general" vertical="bottom" textRotation="0" wrapText="false" indent="0" shrinkToFit="false"/>
      <protection locked="true" hidden="false"/>
    </xf>
    <xf numFmtId="164" fontId="23" fillId="28" borderId="0" xfId="1552" applyFont="true" applyBorder="false" applyAlignment="true" applyProtection="false">
      <alignment horizontal="center" vertical="bottom" textRotation="0" wrapText="false" indent="0" shrinkToFit="false"/>
      <protection locked="true" hidden="false"/>
    </xf>
    <xf numFmtId="164" fontId="93" fillId="0" borderId="0" xfId="1552" applyFont="true" applyBorder="false" applyAlignment="false" applyProtection="false">
      <alignment horizontal="general" vertical="bottom" textRotation="0" wrapText="false" indent="0" shrinkToFit="false"/>
      <protection locked="true" hidden="false"/>
    </xf>
    <xf numFmtId="164" fontId="0" fillId="47" borderId="24" xfId="1552" applyFont="true" applyBorder="true" applyAlignment="false" applyProtection="false">
      <alignment horizontal="general" vertical="bottom" textRotation="0" wrapText="false" indent="0" shrinkToFit="false"/>
      <protection locked="true" hidden="false"/>
    </xf>
    <xf numFmtId="164" fontId="0" fillId="47" borderId="0" xfId="1552" applyFont="true" applyBorder="false" applyAlignment="false" applyProtection="false">
      <alignment horizontal="general" vertical="bottom" textRotation="0" wrapText="false" indent="0" shrinkToFit="false"/>
      <protection locked="true" hidden="false"/>
    </xf>
    <xf numFmtId="164" fontId="94" fillId="0" borderId="24" xfId="1552" applyFont="true" applyBorder="true" applyAlignment="true" applyProtection="false">
      <alignment horizontal="left" vertical="bottom" textRotation="0" wrapText="false" indent="1" shrinkToFit="false"/>
      <protection locked="true" hidden="false"/>
    </xf>
    <xf numFmtId="169" fontId="95" fillId="0" borderId="0" xfId="19" applyFont="true" applyBorder="false" applyAlignment="false" applyProtection="false">
      <alignment horizontal="general" vertical="bottom" textRotation="0" wrapText="false" indent="0" shrinkToFit="false"/>
      <protection locked="true" hidden="false"/>
    </xf>
    <xf numFmtId="164" fontId="0" fillId="0" borderId="65" xfId="1552" applyFont="true" applyBorder="true" applyAlignment="false" applyProtection="false">
      <alignment horizontal="general" vertical="bottom" textRotation="0" wrapText="false" indent="0" shrinkToFit="false"/>
      <protection locked="true" hidden="false"/>
    </xf>
    <xf numFmtId="164" fontId="93" fillId="0" borderId="56" xfId="1552" applyFont="true" applyBorder="true" applyAlignment="false" applyProtection="false">
      <alignment horizontal="general" vertical="bottom" textRotation="0" wrapText="false" indent="0" shrinkToFit="false"/>
      <protection locked="true" hidden="false"/>
    </xf>
    <xf numFmtId="164" fontId="0" fillId="47" borderId="66" xfId="1552" applyFont="true" applyBorder="true" applyAlignment="false" applyProtection="false">
      <alignment horizontal="general" vertical="bottom" textRotation="0" wrapText="false" indent="0" shrinkToFit="false"/>
      <protection locked="true" hidden="false"/>
    </xf>
    <xf numFmtId="164" fontId="0" fillId="47" borderId="0" xfId="1552" applyFont="true" applyBorder="true" applyAlignment="false" applyProtection="false">
      <alignment horizontal="general" vertical="bottom" textRotation="0" wrapText="false" indent="0" shrinkToFit="false"/>
      <protection locked="true" hidden="false"/>
    </xf>
    <xf numFmtId="164" fontId="0" fillId="47" borderId="60" xfId="1552" applyFont="true" applyBorder="true" applyAlignment="false" applyProtection="false">
      <alignment horizontal="general" vertical="bottom" textRotation="0" wrapText="false" indent="0" shrinkToFit="false"/>
      <protection locked="true" hidden="false"/>
    </xf>
    <xf numFmtId="164" fontId="94" fillId="0" borderId="66" xfId="1552" applyFont="true" applyBorder="true" applyAlignment="true" applyProtection="false">
      <alignment horizontal="left" vertical="bottom" textRotation="0" wrapText="false" indent="1" shrinkToFit="false"/>
      <protection locked="true" hidden="false"/>
    </xf>
    <xf numFmtId="169" fontId="96" fillId="0" borderId="0" xfId="19" applyFont="true" applyBorder="true" applyAlignment="false" applyProtection="false">
      <alignment horizontal="general" vertical="bottom" textRotation="0" wrapText="false" indent="0" shrinkToFit="false"/>
      <protection locked="true" hidden="false"/>
    </xf>
    <xf numFmtId="169" fontId="96" fillId="0" borderId="60" xfId="19" applyFont="true" applyBorder="true" applyAlignment="false" applyProtection="false">
      <alignment horizontal="general" vertical="bottom" textRotation="0" wrapText="false" indent="0" shrinkToFit="false"/>
      <protection locked="true" hidden="false"/>
    </xf>
    <xf numFmtId="164" fontId="75" fillId="0" borderId="0" xfId="0" applyFont="true" applyBorder="false" applyAlignment="false" applyProtection="false">
      <alignment horizontal="general" vertical="bottom" textRotation="0" wrapText="false" indent="0" shrinkToFit="false"/>
      <protection locked="true" hidden="false"/>
    </xf>
    <xf numFmtId="169" fontId="95" fillId="0" borderId="0" xfId="19" applyFont="true" applyBorder="true" applyAlignment="false" applyProtection="false">
      <alignment horizontal="general" vertical="bottom" textRotation="0" wrapText="false" indent="0" shrinkToFit="false"/>
      <protection locked="true" hidden="false"/>
    </xf>
    <xf numFmtId="169" fontId="95" fillId="0" borderId="60" xfId="19" applyFont="true" applyBorder="true" applyAlignment="false" applyProtection="false">
      <alignment horizontal="general" vertical="bottom" textRotation="0" wrapText="false" indent="0" shrinkToFit="false"/>
      <protection locked="true" hidden="false"/>
    </xf>
    <xf numFmtId="169" fontId="97" fillId="0" borderId="60" xfId="19" applyFont="true" applyBorder="true" applyAlignment="false" applyProtection="false">
      <alignment horizontal="general" vertical="bottom" textRotation="0" wrapText="false" indent="0" shrinkToFit="false"/>
      <protection locked="true" hidden="false"/>
    </xf>
    <xf numFmtId="169" fontId="97" fillId="0" borderId="0" xfId="19" applyFont="true" applyBorder="true" applyAlignment="false" applyProtection="false">
      <alignment horizontal="general" vertical="bottom" textRotation="0" wrapText="false" indent="0" shrinkToFit="false"/>
      <protection locked="true" hidden="false"/>
    </xf>
    <xf numFmtId="164" fontId="94" fillId="0" borderId="67" xfId="1552" applyFont="true" applyBorder="true" applyAlignment="true" applyProtection="false">
      <alignment horizontal="left" vertical="bottom" textRotation="0" wrapText="false" indent="1" shrinkToFit="false"/>
      <protection locked="true" hidden="false"/>
    </xf>
    <xf numFmtId="169" fontId="95" fillId="0" borderId="18" xfId="19" applyFont="true" applyBorder="true" applyAlignment="false" applyProtection="false">
      <alignment horizontal="general" vertical="bottom" textRotation="0" wrapText="false" indent="0" shrinkToFit="false"/>
      <protection locked="true" hidden="false"/>
    </xf>
    <xf numFmtId="169" fontId="95" fillId="0" borderId="38" xfId="19"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78" fillId="18" borderId="24" xfId="1552" applyFont="true" applyBorder="true" applyAlignment="true" applyProtection="false">
      <alignment horizontal="center" vertical="center" textRotation="0" wrapText="false" indent="0" shrinkToFit="false"/>
      <protection locked="true" hidden="false"/>
    </xf>
    <xf numFmtId="168" fontId="0" fillId="0" borderId="68" xfId="1552" applyFont="true" applyBorder="true" applyAlignment="true" applyProtection="false">
      <alignment horizontal="center" vertical="bottom" textRotation="0" wrapText="false" indent="0" shrinkToFit="false"/>
      <protection locked="true" hidden="false"/>
    </xf>
    <xf numFmtId="168" fontId="0" fillId="0" borderId="1" xfId="1552" applyFont="true" applyBorder="true" applyAlignment="true" applyProtection="false">
      <alignment horizontal="center" vertical="bottom" textRotation="0" wrapText="false" indent="0" shrinkToFit="false"/>
      <protection locked="true" hidden="false"/>
    </xf>
    <xf numFmtId="168" fontId="0" fillId="0" borderId="69" xfId="1552" applyFont="true" applyBorder="true" applyAlignment="true" applyProtection="false">
      <alignment horizontal="center" vertical="bottom" textRotation="0" wrapText="false" indent="0" shrinkToFit="false"/>
      <protection locked="true" hidden="false"/>
    </xf>
    <xf numFmtId="175" fontId="98" fillId="20" borderId="68" xfId="1552" applyFont="true" applyBorder="true" applyAlignment="true" applyProtection="false">
      <alignment horizontal="center" vertical="bottom" textRotation="0" wrapText="false" indent="0" shrinkToFit="false"/>
      <protection locked="true" hidden="false"/>
    </xf>
    <xf numFmtId="175" fontId="98" fillId="20" borderId="1" xfId="1552" applyFont="true" applyBorder="true" applyAlignment="true" applyProtection="false">
      <alignment horizontal="center" vertical="bottom" textRotation="0" wrapText="false" indent="0" shrinkToFit="false"/>
      <protection locked="true" hidden="false"/>
    </xf>
    <xf numFmtId="175" fontId="98" fillId="20" borderId="69" xfId="1552" applyFont="true" applyBorder="true" applyAlignment="true" applyProtection="false">
      <alignment horizontal="center" vertical="bottom" textRotation="0" wrapText="false" indent="0" shrinkToFit="false"/>
      <protection locked="true" hidden="false"/>
    </xf>
    <xf numFmtId="164" fontId="23" fillId="51" borderId="1" xfId="1552" applyFont="true" applyBorder="true" applyAlignment="true" applyProtection="false">
      <alignment horizontal="center" vertical="bottom" textRotation="0" wrapText="false" indent="0" shrinkToFit="false"/>
      <protection locked="true" hidden="false"/>
    </xf>
    <xf numFmtId="177" fontId="86" fillId="51" borderId="70" xfId="1552" applyFont="true" applyBorder="true" applyAlignment="true" applyProtection="false">
      <alignment horizontal="center" vertical="bottom" textRotation="0" wrapText="false" indent="0" shrinkToFit="false"/>
      <protection locked="true" hidden="false"/>
    </xf>
    <xf numFmtId="175" fontId="86" fillId="51" borderId="70" xfId="1552" applyFont="true" applyBorder="true" applyAlignment="true" applyProtection="false">
      <alignment horizontal="center" vertical="bottom" textRotation="0" wrapText="false" indent="0" shrinkToFit="false"/>
      <protection locked="true" hidden="false"/>
    </xf>
    <xf numFmtId="164" fontId="78" fillId="39" borderId="1" xfId="1552" applyFont="true" applyBorder="true" applyAlignment="true" applyProtection="false">
      <alignment horizontal="left" vertical="bottom" textRotation="0" wrapText="false" indent="0" shrinkToFit="false"/>
      <protection locked="true" hidden="false"/>
    </xf>
    <xf numFmtId="174" fontId="0" fillId="0" borderId="24" xfId="1552" applyFont="true" applyBorder="true" applyAlignment="false" applyProtection="false">
      <alignment horizontal="general" vertical="bottom" textRotation="0" wrapText="false" indent="0" shrinkToFit="false"/>
      <protection locked="true" hidden="false"/>
    </xf>
    <xf numFmtId="173" fontId="0" fillId="0" borderId="24" xfId="1552" applyFont="true" applyBorder="true" applyAlignment="false" applyProtection="false">
      <alignment horizontal="general" vertical="bottom" textRotation="0" wrapText="false" indent="0" shrinkToFit="false"/>
      <protection locked="true" hidden="false"/>
    </xf>
    <xf numFmtId="169" fontId="0" fillId="0" borderId="24" xfId="1552" applyFont="true" applyBorder="true" applyAlignment="false" applyProtection="false">
      <alignment horizontal="general" vertical="bottom" textRotation="0" wrapText="false" indent="0" shrinkToFit="false"/>
      <protection locked="true" hidden="false"/>
    </xf>
    <xf numFmtId="164" fontId="0" fillId="0" borderId="71" xfId="1552" applyFont="true" applyBorder="true" applyAlignment="false" applyProtection="false">
      <alignment horizontal="general" vertical="bottom" textRotation="0" wrapText="false" indent="0" shrinkToFit="false"/>
      <protection locked="true" hidden="false"/>
    </xf>
    <xf numFmtId="177" fontId="98" fillId="51" borderId="70" xfId="1552" applyFont="true" applyBorder="true" applyAlignment="true" applyProtection="false">
      <alignment horizontal="center" vertical="bottom" textRotation="0" wrapText="false" indent="0" shrinkToFit="false"/>
      <protection locked="true" hidden="false"/>
    </xf>
    <xf numFmtId="175" fontId="98" fillId="51" borderId="70" xfId="1552"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bottom" textRotation="0" wrapText="false" indent="0" shrinkToFit="false"/>
      <protection locked="true" hidden="false"/>
    </xf>
    <xf numFmtId="164" fontId="84" fillId="0" borderId="1" xfId="0" applyFont="true" applyBorder="true" applyAlignment="true" applyProtection="true">
      <alignment horizontal="center" vertical="center" textRotation="0" wrapText="false" indent="0" shrinkToFit="false"/>
      <protection locked="true" hidden="true"/>
    </xf>
    <xf numFmtId="164" fontId="84" fillId="0" borderId="1" xfId="0" applyFont="true" applyBorder="true" applyAlignment="true" applyProtection="true">
      <alignment horizontal="center" vertical="center" textRotation="0" wrapText="true" indent="0" shrinkToFit="false"/>
      <protection locked="true" hidden="true"/>
    </xf>
    <xf numFmtId="164" fontId="28" fillId="52" borderId="1" xfId="1177" applyFont="true" applyBorder="true" applyAlignment="true" applyProtection="true">
      <alignment horizontal="left" vertical="bottom" textRotation="0" wrapText="false" indent="0" shrinkToFit="false"/>
      <protection locked="true" hidden="true"/>
    </xf>
    <xf numFmtId="164" fontId="0" fillId="0" borderId="1" xfId="0" applyFont="true" applyBorder="true" applyAlignment="true" applyProtection="false">
      <alignment horizontal="center" vertical="bottom" textRotation="0" wrapText="false" indent="0" shrinkToFit="false"/>
      <protection locked="true" hidden="false"/>
    </xf>
    <xf numFmtId="172" fontId="28" fillId="52" borderId="1" xfId="0" applyFont="true" applyBorder="true" applyAlignment="true" applyProtection="true">
      <alignment horizontal="center" vertical="bottom" textRotation="0" wrapText="false" indent="0" shrinkToFit="false"/>
      <protection locked="true" hidden="true"/>
    </xf>
    <xf numFmtId="164" fontId="0" fillId="52" borderId="1" xfId="1177" applyFont="true" applyBorder="true" applyAlignment="false" applyProtection="true">
      <alignment horizontal="general" vertical="bottom" textRotation="0" wrapText="false" indent="0" shrinkToFit="false"/>
      <protection locked="true" hidden="true"/>
    </xf>
    <xf numFmtId="172" fontId="0" fillId="52" borderId="1" xfId="0" applyFont="false" applyBorder="true" applyAlignment="true" applyProtection="true">
      <alignment horizontal="center" vertical="bottom" textRotation="0" wrapText="false" indent="0" shrinkToFit="false"/>
      <protection locked="true" hidden="true"/>
    </xf>
    <xf numFmtId="172" fontId="0" fillId="52" borderId="1" xfId="0" applyFont="false" applyBorder="true" applyAlignment="true" applyProtection="true">
      <alignment horizontal="center" vertical="center" textRotation="0" wrapText="false" indent="0" shrinkToFit="false"/>
      <protection locked="true" hidden="true"/>
    </xf>
    <xf numFmtId="164" fontId="4" fillId="52" borderId="1" xfId="1177" applyFont="true" applyBorder="true" applyAlignment="false" applyProtection="true">
      <alignment horizontal="general" vertical="bottom" textRotation="0" wrapText="false" indent="0" shrinkToFit="false"/>
      <protection locked="true" hidden="true"/>
    </xf>
    <xf numFmtId="164" fontId="22" fillId="7" borderId="1" xfId="1177" applyFont="true" applyBorder="true" applyAlignment="false" applyProtection="true">
      <alignment horizontal="general" vertical="bottom" textRotation="0" wrapText="false" indent="0" shrinkToFit="false"/>
      <protection locked="true" hidden="true"/>
    </xf>
    <xf numFmtId="172" fontId="28" fillId="7" borderId="1" xfId="0" applyFont="true" applyBorder="true" applyAlignment="true" applyProtection="true">
      <alignment horizontal="center" vertical="bottom" textRotation="0" wrapText="false" indent="0" shrinkToFit="false"/>
      <protection locked="true" hidden="true"/>
    </xf>
    <xf numFmtId="171" fontId="28" fillId="7" borderId="1" xfId="0" applyFont="true" applyBorder="true" applyAlignment="true" applyProtection="true">
      <alignment horizontal="center" vertical="bottom" textRotation="0" wrapText="false" indent="0" shrinkToFit="false"/>
      <protection locked="true" hidden="true"/>
    </xf>
    <xf numFmtId="172" fontId="84" fillId="7" borderId="1" xfId="0" applyFont="true" applyBorder="true" applyAlignment="true" applyProtection="true">
      <alignment horizontal="center" vertical="bottom" textRotation="0" wrapText="false" indent="0" shrinkToFit="false"/>
      <protection locked="true" hidden="true"/>
    </xf>
    <xf numFmtId="164" fontId="84" fillId="7" borderId="1" xfId="1177" applyFont="true" applyBorder="true" applyAlignment="false" applyProtection="true">
      <alignment horizontal="general" vertical="bottom" textRotation="0" wrapText="false" indent="0" shrinkToFit="false"/>
      <protection locked="true" hidden="true"/>
    </xf>
    <xf numFmtId="172" fontId="0" fillId="7" borderId="1" xfId="0" applyFont="false" applyBorder="true" applyAlignment="true" applyProtection="true">
      <alignment horizontal="center" vertical="bottom" textRotation="0" wrapText="false" indent="0" shrinkToFit="false"/>
      <protection locked="true" hidden="true"/>
    </xf>
    <xf numFmtId="172" fontId="0" fillId="7" borderId="1" xfId="0" applyFont="false" applyBorder="true" applyAlignment="true" applyProtection="true">
      <alignment horizontal="center" vertical="center" textRotation="0" wrapText="false" indent="0" shrinkToFit="false"/>
      <protection locked="true" hidden="true"/>
    </xf>
    <xf numFmtId="172" fontId="64" fillId="7" borderId="1" xfId="0" applyFont="true" applyBorder="true" applyAlignment="true" applyProtection="true">
      <alignment horizontal="center" vertical="bottom" textRotation="0" wrapText="false" indent="0" shrinkToFit="false"/>
      <protection locked="true" hidden="true"/>
    </xf>
    <xf numFmtId="172" fontId="64" fillId="7" borderId="1" xfId="0" applyFont="true" applyBorder="true" applyAlignment="true" applyProtection="true">
      <alignment horizontal="center" vertical="center" textRotation="0" wrapText="false" indent="0" shrinkToFit="false"/>
      <protection locked="true" hidden="true"/>
    </xf>
    <xf numFmtId="165" fontId="22" fillId="53" borderId="1" xfId="1159" applyFont="true" applyBorder="true" applyAlignment="false" applyProtection="true">
      <alignment horizontal="general" vertical="bottom" textRotation="0" wrapText="false" indent="0" shrinkToFit="false"/>
      <protection locked="true" hidden="true"/>
    </xf>
    <xf numFmtId="172" fontId="28" fillId="53" borderId="1" xfId="0" applyFont="true" applyBorder="true" applyAlignment="true" applyProtection="true">
      <alignment horizontal="center" vertical="bottom" textRotation="0" wrapText="false" indent="0" shrinkToFit="false"/>
      <protection locked="true" hidden="true"/>
    </xf>
    <xf numFmtId="172" fontId="0" fillId="53" borderId="1" xfId="0" applyFont="false" applyBorder="true" applyAlignment="true" applyProtection="true">
      <alignment horizontal="center" vertical="bottom" textRotation="0" wrapText="false" indent="0" shrinkToFit="false"/>
      <protection locked="true" hidden="true"/>
    </xf>
    <xf numFmtId="164" fontId="84" fillId="53" borderId="1" xfId="1177" applyFont="true" applyBorder="true" applyAlignment="false" applyProtection="true">
      <alignment horizontal="general" vertical="bottom" textRotation="0" wrapText="false" indent="0" shrinkToFit="false"/>
      <protection locked="true" hidden="true"/>
    </xf>
    <xf numFmtId="172" fontId="0" fillId="53" borderId="1" xfId="0" applyFont="false" applyBorder="true" applyAlignment="true" applyProtection="true">
      <alignment horizontal="center" vertical="center" textRotation="0" wrapText="false" indent="0" shrinkToFit="false"/>
      <protection locked="true" hidden="true"/>
    </xf>
    <xf numFmtId="164" fontId="84" fillId="53" borderId="1" xfId="1177" applyFont="true" applyBorder="true" applyAlignment="true" applyProtection="true">
      <alignment horizontal="general" vertical="bottom" textRotation="0" wrapText="true" indent="0" shrinkToFit="false"/>
      <protection locked="true" hidden="true"/>
    </xf>
    <xf numFmtId="164" fontId="28" fillId="54" borderId="1" xfId="1177" applyFont="true" applyBorder="true" applyAlignment="false" applyProtection="true">
      <alignment horizontal="general" vertical="bottom" textRotation="0" wrapText="false" indent="0" shrinkToFit="false"/>
      <protection locked="true" hidden="true"/>
    </xf>
    <xf numFmtId="172" fontId="28" fillId="54" borderId="1" xfId="0" applyFont="true" applyBorder="true" applyAlignment="true" applyProtection="true">
      <alignment horizontal="center" vertical="bottom" textRotation="0" wrapText="false" indent="0" shrinkToFit="false"/>
      <protection locked="true" hidden="true"/>
    </xf>
    <xf numFmtId="171" fontId="28" fillId="54" borderId="1" xfId="0" applyFont="true" applyBorder="true" applyAlignment="true" applyProtection="true">
      <alignment horizontal="center" vertical="bottom" textRotation="0" wrapText="false" indent="0" shrinkToFit="false"/>
      <protection locked="true" hidden="true"/>
    </xf>
    <xf numFmtId="172" fontId="84" fillId="54" borderId="1" xfId="0" applyFont="true" applyBorder="true" applyAlignment="true" applyProtection="true">
      <alignment horizontal="center" vertical="bottom" textRotation="0" wrapText="false" indent="0" shrinkToFit="false"/>
      <protection locked="true" hidden="true"/>
    </xf>
    <xf numFmtId="164" fontId="84" fillId="54" borderId="1" xfId="1177" applyFont="true" applyBorder="true" applyAlignment="false" applyProtection="true">
      <alignment horizontal="general" vertical="bottom" textRotation="0" wrapText="false" indent="0" shrinkToFit="false"/>
      <protection locked="true" hidden="true"/>
    </xf>
    <xf numFmtId="172" fontId="0" fillId="54" borderId="1" xfId="0" applyFont="false" applyBorder="true" applyAlignment="true" applyProtection="true">
      <alignment horizontal="center" vertical="bottom" textRotation="0" wrapText="false" indent="0" shrinkToFit="false"/>
      <protection locked="true" hidden="true"/>
    </xf>
    <xf numFmtId="172" fontId="0" fillId="54" borderId="1" xfId="0" applyFont="false" applyBorder="true" applyAlignment="true" applyProtection="true">
      <alignment horizontal="center" vertical="center" textRotation="0" wrapText="false" indent="0" shrinkToFit="false"/>
      <protection locked="true" hidden="true"/>
    </xf>
    <xf numFmtId="172" fontId="64" fillId="54" borderId="1" xfId="0" applyFont="true" applyBorder="true" applyAlignment="true" applyProtection="true">
      <alignment horizontal="center" vertical="bottom" textRotation="0" wrapText="false" indent="0" shrinkToFit="false"/>
      <protection locked="true" hidden="true"/>
    </xf>
    <xf numFmtId="164" fontId="0" fillId="54" borderId="1" xfId="1177" applyFont="true" applyBorder="true" applyAlignment="false" applyProtection="true">
      <alignment horizontal="general" vertical="bottom" textRotation="0" wrapText="false" indent="0" shrinkToFit="false"/>
      <protection locked="true" hidden="true"/>
    </xf>
    <xf numFmtId="164" fontId="0" fillId="54" borderId="1" xfId="1177" applyFont="true" applyBorder="true" applyAlignment="true" applyProtection="true">
      <alignment horizontal="left" vertical="center" textRotation="0" wrapText="false" indent="0" shrinkToFit="false"/>
      <protection locked="true" hidden="true"/>
    </xf>
    <xf numFmtId="164" fontId="28" fillId="31" borderId="1" xfId="1177" applyFont="true" applyBorder="true" applyAlignment="false" applyProtection="true">
      <alignment horizontal="general" vertical="bottom" textRotation="0" wrapText="false" indent="0" shrinkToFit="false"/>
      <protection locked="true" hidden="true"/>
    </xf>
    <xf numFmtId="172" fontId="28" fillId="31" borderId="1" xfId="0" applyFont="true" applyBorder="true" applyAlignment="true" applyProtection="true">
      <alignment horizontal="center" vertical="bottom" textRotation="0" wrapText="false" indent="0" shrinkToFit="false"/>
      <protection locked="true" hidden="true"/>
    </xf>
    <xf numFmtId="172" fontId="84" fillId="31" borderId="1" xfId="0" applyFont="true" applyBorder="true" applyAlignment="true" applyProtection="true">
      <alignment horizontal="center" vertical="bottom" textRotation="0" wrapText="false" indent="0" shrinkToFit="false"/>
      <protection locked="true" hidden="true"/>
    </xf>
    <xf numFmtId="164" fontId="84" fillId="31" borderId="1" xfId="1177" applyFont="true" applyBorder="true" applyAlignment="true" applyProtection="true">
      <alignment horizontal="left" vertical="bottom" textRotation="0" wrapText="false" indent="0" shrinkToFit="false"/>
      <protection locked="true" hidden="true"/>
    </xf>
    <xf numFmtId="172" fontId="0" fillId="31" borderId="1" xfId="0" applyFont="false" applyBorder="true" applyAlignment="true" applyProtection="true">
      <alignment horizontal="center" vertical="bottom" textRotation="0" wrapText="false" indent="0" shrinkToFit="false"/>
      <protection locked="true" hidden="true"/>
    </xf>
    <xf numFmtId="172" fontId="0" fillId="31" borderId="1" xfId="0" applyFont="false" applyBorder="true" applyAlignment="true" applyProtection="true">
      <alignment horizontal="center" vertical="center" textRotation="0" wrapText="false" indent="0" shrinkToFit="false"/>
      <protection locked="true" hidden="true"/>
    </xf>
    <xf numFmtId="172" fontId="64" fillId="31" borderId="1" xfId="0" applyFont="true" applyBorder="true" applyAlignment="true" applyProtection="true">
      <alignment horizontal="center" vertical="center" textRotation="0" wrapText="false" indent="0" shrinkToFit="false"/>
      <protection locked="true" hidden="true"/>
    </xf>
    <xf numFmtId="164" fontId="0" fillId="31" borderId="1" xfId="0" applyFont="true" applyBorder="true" applyAlignment="false" applyProtection="true">
      <alignment horizontal="general" vertical="bottom" textRotation="0" wrapText="false" indent="0" shrinkToFit="false"/>
      <protection locked="true" hidden="true"/>
    </xf>
    <xf numFmtId="164" fontId="0" fillId="31" borderId="1" xfId="1177" applyFont="true" applyBorder="true" applyAlignment="false" applyProtection="true">
      <alignment horizontal="general" vertical="bottom" textRotation="0" wrapText="false" indent="0" shrinkToFit="false"/>
      <protection locked="true" hidden="true"/>
    </xf>
    <xf numFmtId="164" fontId="28" fillId="55" borderId="1" xfId="1177" applyFont="true" applyBorder="true" applyAlignment="false" applyProtection="true">
      <alignment horizontal="general" vertical="bottom" textRotation="0" wrapText="false" indent="0" shrinkToFit="false"/>
      <protection locked="true" hidden="true"/>
    </xf>
    <xf numFmtId="172" fontId="28" fillId="55" borderId="1" xfId="0" applyFont="true" applyBorder="true" applyAlignment="true" applyProtection="true">
      <alignment horizontal="center" vertical="bottom" textRotation="0" wrapText="false" indent="0" shrinkToFit="false"/>
      <protection locked="true" hidden="true"/>
    </xf>
    <xf numFmtId="164" fontId="84" fillId="55" borderId="1" xfId="1177" applyFont="true" applyBorder="true" applyAlignment="false" applyProtection="true">
      <alignment horizontal="general" vertical="bottom" textRotation="0" wrapText="false" indent="0" shrinkToFit="false"/>
      <protection locked="true" hidden="true"/>
    </xf>
    <xf numFmtId="172" fontId="0" fillId="55" borderId="1" xfId="0" applyFont="false" applyBorder="true" applyAlignment="true" applyProtection="true">
      <alignment horizontal="center" vertical="bottom" textRotation="0" wrapText="false" indent="0" shrinkToFit="false"/>
      <protection locked="true" hidden="true"/>
    </xf>
    <xf numFmtId="172" fontId="0" fillId="55" borderId="1" xfId="0" applyFont="false" applyBorder="true" applyAlignment="true" applyProtection="true">
      <alignment horizontal="center" vertical="center" textRotation="0" wrapText="false" indent="0" shrinkToFit="false"/>
      <protection locked="true" hidden="true"/>
    </xf>
    <xf numFmtId="164" fontId="28" fillId="0" borderId="1" xfId="0" applyFont="true" applyBorder="true" applyAlignment="false" applyProtection="true">
      <alignment horizontal="general" vertical="bottom" textRotation="0" wrapText="false" indent="0" shrinkToFit="false"/>
      <protection locked="true" hidden="true"/>
    </xf>
    <xf numFmtId="172" fontId="28" fillId="0" borderId="1" xfId="0" applyFont="true" applyBorder="true" applyAlignment="true" applyProtection="true">
      <alignment horizontal="center" vertical="bottom" textRotation="0" wrapText="false" indent="0" shrinkToFit="false"/>
      <protection locked="true" hidden="true"/>
    </xf>
    <xf numFmtId="172" fontId="84" fillId="0" borderId="1" xfId="0" applyFont="true" applyBorder="true" applyAlignment="true" applyProtection="true">
      <alignment horizontal="center" vertical="bottom" textRotation="0" wrapText="false" indent="0" shrinkToFit="false"/>
      <protection locked="true" hidden="true"/>
    </xf>
    <xf numFmtId="164" fontId="0" fillId="55" borderId="1" xfId="1177" applyFont="true" applyBorder="true" applyAlignment="false" applyProtection="true">
      <alignment horizontal="general" vertical="bottom" textRotation="0" wrapText="false" indent="0" shrinkToFit="false"/>
      <protection locked="true" hidden="true"/>
    </xf>
    <xf numFmtId="172" fontId="0" fillId="0" borderId="1" xfId="0" applyFont="false" applyBorder="true" applyAlignment="true" applyProtection="true">
      <alignment horizontal="center" vertical="bottom" textRotation="0" wrapText="false" indent="0" shrinkToFit="false"/>
      <protection locked="true" hidden="true"/>
    </xf>
    <xf numFmtId="172" fontId="0" fillId="0" borderId="1" xfId="0" applyFont="false" applyBorder="true" applyAlignment="true" applyProtection="true">
      <alignment horizontal="center" vertical="center" textRotation="0" wrapText="false" indent="0" shrinkToFit="false"/>
      <protection locked="true" hidden="true"/>
    </xf>
    <xf numFmtId="164" fontId="0" fillId="56" borderId="1" xfId="1177" applyFont="true" applyBorder="true" applyAlignment="false" applyProtection="true">
      <alignment horizontal="general" vertical="bottom" textRotation="0" wrapText="false" indent="0" shrinkToFit="false"/>
      <protection locked="true" hidden="true"/>
    </xf>
    <xf numFmtId="164" fontId="0" fillId="34" borderId="1" xfId="1177" applyFont="true" applyBorder="true" applyAlignment="false" applyProtection="true">
      <alignment horizontal="general" vertical="bottom" textRotation="0" wrapText="false" indent="0" shrinkToFit="false"/>
      <protection locked="true" hidden="true"/>
    </xf>
    <xf numFmtId="164" fontId="0" fillId="0" borderId="1" xfId="1177" applyFont="true" applyBorder="true" applyAlignment="false" applyProtection="true">
      <alignment horizontal="general" vertical="bottom" textRotation="0" wrapText="false" indent="0" shrinkToFit="false"/>
      <protection locked="true" hidden="true"/>
    </xf>
    <xf numFmtId="172" fontId="64" fillId="0" borderId="1" xfId="0" applyFont="true" applyBorder="true" applyAlignment="true" applyProtection="true">
      <alignment horizontal="center" vertical="center" textRotation="0" wrapText="false" indent="0" shrinkToFit="false"/>
      <protection locked="true" hidden="true"/>
    </xf>
    <xf numFmtId="178" fontId="28" fillId="0" borderId="0" xfId="0" applyFont="true" applyBorder="false" applyAlignment="false" applyProtection="false">
      <alignment horizontal="general" vertical="bottom" textRotation="0" wrapText="false" indent="0" shrinkToFit="false"/>
      <protection locked="true" hidden="false"/>
    </xf>
    <xf numFmtId="164" fontId="0" fillId="0" borderId="0" xfId="1177" applyFont="true" applyBorder="true" applyAlignment="false" applyProtection="true">
      <alignment horizontal="general" vertical="bottom" textRotation="0" wrapText="false" indent="0" shrinkToFit="false"/>
      <protection locked="true" hidden="true"/>
    </xf>
    <xf numFmtId="164" fontId="64" fillId="36" borderId="0" xfId="0" applyFont="true" applyBorder="false" applyAlignment="false" applyProtection="false">
      <alignment horizontal="general" vertical="bottom" textRotation="0" wrapText="false" indent="0" shrinkToFit="false"/>
      <protection locked="true" hidden="false"/>
    </xf>
    <xf numFmtId="172" fontId="22" fillId="7" borderId="1" xfId="0" applyFont="true" applyBorder="true" applyAlignment="true" applyProtection="true">
      <alignment horizontal="center" vertical="bottom" textRotation="0" wrapText="false" indent="0" shrinkToFit="false"/>
      <protection locked="true" hidden="true"/>
    </xf>
    <xf numFmtId="172" fontId="4" fillId="7" borderId="1" xfId="0" applyFont="true" applyBorder="true" applyAlignment="true" applyProtection="true">
      <alignment horizontal="center" vertical="center" textRotation="0" wrapText="false" indent="0" shrinkToFit="false"/>
      <protection locked="true" hidden="true"/>
    </xf>
  </cellXfs>
  <cellStyles count="1795">
    <cellStyle name="Normal" xfId="0" builtinId="0"/>
    <cellStyle name="Comma" xfId="15" builtinId="3"/>
    <cellStyle name="Comma [0]" xfId="16" builtinId="6"/>
    <cellStyle name="Currency" xfId="17" builtinId="4"/>
    <cellStyle name="Currency [0]" xfId="18" builtinId="7"/>
    <cellStyle name="Percent" xfId="19" builtinId="5"/>
    <cellStyle name="20 % - Akzent1 2" xfId="21"/>
    <cellStyle name="20 % - Akzent1 2 2" xfId="22"/>
    <cellStyle name="20 % - Akzent1 3" xfId="23"/>
    <cellStyle name="20 % - Akzent1 3 2" xfId="24"/>
    <cellStyle name="20 % - Akzent2 2" xfId="25"/>
    <cellStyle name="20 % - Akzent2 2 2" xfId="26"/>
    <cellStyle name="20 % - Akzent2 3" xfId="27"/>
    <cellStyle name="20 % - Akzent2 3 2" xfId="28"/>
    <cellStyle name="20 % - Akzent3 2" xfId="29"/>
    <cellStyle name="20 % - Akzent3 2 2" xfId="30"/>
    <cellStyle name="20 % - Akzent3 3" xfId="31"/>
    <cellStyle name="20 % - Akzent3 3 2" xfId="32"/>
    <cellStyle name="20 % - Akzent4 2" xfId="33"/>
    <cellStyle name="20 % - Akzent4 2 2" xfId="34"/>
    <cellStyle name="20 % - Akzent4 3" xfId="35"/>
    <cellStyle name="20 % - Akzent4 3 2" xfId="36"/>
    <cellStyle name="20 % - Akzent5 2" xfId="37"/>
    <cellStyle name="20 % - Akzent5 2 2" xfId="38"/>
    <cellStyle name="20 % - Akzent5 3" xfId="39"/>
    <cellStyle name="20 % - Akzent5 3 2" xfId="40"/>
    <cellStyle name="20 % - Akzent6 2" xfId="41"/>
    <cellStyle name="20 % - Akzent6 2 2" xfId="42"/>
    <cellStyle name="20 % - Akzent6 3" xfId="43"/>
    <cellStyle name="20 % - Akzent6 3 2" xfId="44"/>
    <cellStyle name="20% - Accent1 2" xfId="45"/>
    <cellStyle name="20% - Accent1 2 2" xfId="46"/>
    <cellStyle name="20% - Accent1 3" xfId="47"/>
    <cellStyle name="20% - Accent1 3 2" xfId="48"/>
    <cellStyle name="20% - Accent2 2" xfId="49"/>
    <cellStyle name="20% - Accent2 2 2" xfId="50"/>
    <cellStyle name="20% - Accent2 3" xfId="51"/>
    <cellStyle name="20% - Accent2 3 2" xfId="52"/>
    <cellStyle name="20% - Accent3 2" xfId="53"/>
    <cellStyle name="20% - Accent3 2 2" xfId="54"/>
    <cellStyle name="20% - Accent3 3" xfId="55"/>
    <cellStyle name="20% - Accent3 3 2" xfId="56"/>
    <cellStyle name="20% - Accent4 2" xfId="57"/>
    <cellStyle name="20% - Accent4 2 2" xfId="58"/>
    <cellStyle name="20% - Accent4 3" xfId="59"/>
    <cellStyle name="20% - Accent4 3 2" xfId="60"/>
    <cellStyle name="20% - Accent5 2" xfId="61"/>
    <cellStyle name="20% - Accent5 2 2" xfId="62"/>
    <cellStyle name="20% - Accent5 3" xfId="63"/>
    <cellStyle name="20% - Accent5 3 2" xfId="64"/>
    <cellStyle name="20% - Accent6 2" xfId="65"/>
    <cellStyle name="20% - Accent6 2 2" xfId="66"/>
    <cellStyle name="20% - Accent6 3" xfId="67"/>
    <cellStyle name="20% - Accent6 3 2" xfId="68"/>
    <cellStyle name="2x indented GHG Textfiels" xfId="69"/>
    <cellStyle name="2x indented GHG Textfiels 2" xfId="70"/>
    <cellStyle name="2x indented GHG Textfiels 2 2" xfId="71"/>
    <cellStyle name="2x indented GHG Textfiels 2 2 2" xfId="72"/>
    <cellStyle name="2x indented GHG Textfiels 2 3" xfId="73"/>
    <cellStyle name="2x indented GHG Textfiels 3" xfId="74"/>
    <cellStyle name="2x indented GHG Textfiels 3 2" xfId="75"/>
    <cellStyle name="2x indented GHG Textfiels 3 2 2" xfId="76"/>
    <cellStyle name="2x indented GHG Textfiels 3 2 2 2" xfId="77"/>
    <cellStyle name="2x indented GHG Textfiels 3 2 2 2 2" xfId="78"/>
    <cellStyle name="2x indented GHG Textfiels 3 2 2 3" xfId="79"/>
    <cellStyle name="2x indented GHG Textfiels 3 2 3" xfId="80"/>
    <cellStyle name="2x indented GHG Textfiels 3 2 3 2" xfId="81"/>
    <cellStyle name="2x indented GHG Textfiels 3 2 4" xfId="82"/>
    <cellStyle name="2x indented GHG Textfiels 3 3" xfId="83"/>
    <cellStyle name="2x indented GHG Textfiels 3 3 2" xfId="84"/>
    <cellStyle name="2x indented GHG Textfiels 3 3 2 2" xfId="85"/>
    <cellStyle name="2x indented GHG Textfiels 3 3 2 2 2" xfId="86"/>
    <cellStyle name="2x indented GHG Textfiels 3 3 2 3" xfId="87"/>
    <cellStyle name="2x indented GHG Textfiels 3 3 3" xfId="88"/>
    <cellStyle name="2x indented GHG Textfiels 3 3 3 2" xfId="89"/>
    <cellStyle name="2x indented GHG Textfiels 3 3 3 2 2" xfId="90"/>
    <cellStyle name="2x indented GHG Textfiels 3 3 3 3" xfId="91"/>
    <cellStyle name="2x indented GHG Textfiels 3 3 4" xfId="92"/>
    <cellStyle name="2x indented GHG Textfiels 3 3 4 2" xfId="93"/>
    <cellStyle name="2x indented GHG Textfiels 3 3 4 2 2" xfId="94"/>
    <cellStyle name="2x indented GHG Textfiels 3 3 4 3" xfId="95"/>
    <cellStyle name="2x indented GHG Textfiels 3 3 5" xfId="96"/>
    <cellStyle name="2x indented GHG Textfiels 3 4" xfId="97"/>
    <cellStyle name="2x indented GHG Textfiels 4" xfId="98"/>
    <cellStyle name="40 % - Akzent1 2" xfId="99"/>
    <cellStyle name="40 % - Akzent1 2 2" xfId="100"/>
    <cellStyle name="40 % - Akzent1 3" xfId="101"/>
    <cellStyle name="40 % - Akzent1 3 2" xfId="102"/>
    <cellStyle name="40 % - Akzent2 2" xfId="103"/>
    <cellStyle name="40 % - Akzent2 2 2" xfId="104"/>
    <cellStyle name="40 % - Akzent2 3" xfId="105"/>
    <cellStyle name="40 % - Akzent2 3 2" xfId="106"/>
    <cellStyle name="40 % - Akzent3 2" xfId="107"/>
    <cellStyle name="40 % - Akzent3 2 2" xfId="108"/>
    <cellStyle name="40 % - Akzent3 3" xfId="109"/>
    <cellStyle name="40 % - Akzent3 3 2" xfId="110"/>
    <cellStyle name="40 % - Akzent4 2" xfId="111"/>
    <cellStyle name="40 % - Akzent4 2 2" xfId="112"/>
    <cellStyle name="40 % - Akzent4 3" xfId="113"/>
    <cellStyle name="40 % - Akzent4 3 2" xfId="114"/>
    <cellStyle name="40 % - Akzent5 2" xfId="115"/>
    <cellStyle name="40 % - Akzent5 2 2" xfId="116"/>
    <cellStyle name="40 % - Akzent5 3" xfId="117"/>
    <cellStyle name="40 % - Akzent5 3 2" xfId="118"/>
    <cellStyle name="40 % - Akzent6 2" xfId="119"/>
    <cellStyle name="40 % - Akzent6 2 2" xfId="120"/>
    <cellStyle name="40 % - Akzent6 3" xfId="121"/>
    <cellStyle name="40 % - Akzent6 3 2" xfId="122"/>
    <cellStyle name="40% - Accent1 2" xfId="123"/>
    <cellStyle name="40% - Accent1 2 2" xfId="124"/>
    <cellStyle name="40% - Accent1 3" xfId="125"/>
    <cellStyle name="40% - Accent1 3 2" xfId="126"/>
    <cellStyle name="40% - Accent2 2" xfId="127"/>
    <cellStyle name="40% - Accent2 2 2" xfId="128"/>
    <cellStyle name="40% - Accent2 3" xfId="129"/>
    <cellStyle name="40% - Accent2 3 2" xfId="130"/>
    <cellStyle name="40% - Accent3 2" xfId="131"/>
    <cellStyle name="40% - Accent3 2 2" xfId="132"/>
    <cellStyle name="40% - Accent3 3" xfId="133"/>
    <cellStyle name="40% - Accent3 3 2" xfId="134"/>
    <cellStyle name="40% - Accent4 2" xfId="135"/>
    <cellStyle name="40% - Accent4 2 2" xfId="136"/>
    <cellStyle name="40% - Accent4 3" xfId="137"/>
    <cellStyle name="40% - Accent4 3 2" xfId="138"/>
    <cellStyle name="40% - Accent5 2" xfId="139"/>
    <cellStyle name="40% - Accent5 2 2" xfId="140"/>
    <cellStyle name="40% - Accent5 3" xfId="141"/>
    <cellStyle name="40% - Accent5 3 2" xfId="142"/>
    <cellStyle name="40% - Accent6 2" xfId="143"/>
    <cellStyle name="40% - Accent6 2 2" xfId="144"/>
    <cellStyle name="40% - Accent6 3" xfId="145"/>
    <cellStyle name="40% - Accent6 3 2" xfId="146"/>
    <cellStyle name="5x indented GHG Textfiels" xfId="147"/>
    <cellStyle name="5x indented GHG Textfiels 2" xfId="148"/>
    <cellStyle name="5x indented GHG Textfiels 2 2" xfId="149"/>
    <cellStyle name="5x indented GHG Textfiels 2 2 2" xfId="150"/>
    <cellStyle name="5x indented GHG Textfiels 2 3" xfId="151"/>
    <cellStyle name="5x indented GHG Textfiels 3" xfId="152"/>
    <cellStyle name="5x indented GHG Textfiels 3 2" xfId="153"/>
    <cellStyle name="5x indented GHG Textfiels 3 2 2" xfId="154"/>
    <cellStyle name="5x indented GHG Textfiels 3 3" xfId="155"/>
    <cellStyle name="5x indented GHG Textfiels 3 3 2" xfId="156"/>
    <cellStyle name="5x indented GHG Textfiels 3 3 2 2" xfId="157"/>
    <cellStyle name="5x indented GHG Textfiels 3 3 2 2 2" xfId="158"/>
    <cellStyle name="5x indented GHG Textfiels 3 3 2 3" xfId="159"/>
    <cellStyle name="5x indented GHG Textfiels 3 3 3" xfId="160"/>
    <cellStyle name="5x indented GHG Textfiels 3 3 3 2" xfId="161"/>
    <cellStyle name="5x indented GHG Textfiels 3 3 3 2 2" xfId="162"/>
    <cellStyle name="5x indented GHG Textfiels 3 3 3 3" xfId="163"/>
    <cellStyle name="5x indented GHG Textfiels 3 3 4" xfId="164"/>
    <cellStyle name="5x indented GHG Textfiels 3 3 4 2" xfId="165"/>
    <cellStyle name="5x indented GHG Textfiels 3 3 4 2 2" xfId="166"/>
    <cellStyle name="5x indented GHG Textfiels 3 3 4 3" xfId="167"/>
    <cellStyle name="5x indented GHG Textfiels 3 3 5" xfId="168"/>
    <cellStyle name="5x indented GHG Textfiels 3 3 5 2" xfId="169"/>
    <cellStyle name="5x indented GHG Textfiels 3 3 6" xfId="170"/>
    <cellStyle name="5x indented GHG Textfiels 3 4" xfId="171"/>
    <cellStyle name="5x indented GHG Textfiels 4" xfId="172"/>
    <cellStyle name="5x indented GHG Textfiels_Table 4(II)" xfId="173"/>
    <cellStyle name="60 % - Akzent1 2" xfId="174"/>
    <cellStyle name="60 % - Akzent1 2 2" xfId="175"/>
    <cellStyle name="60 % - Akzent1 3" xfId="176"/>
    <cellStyle name="60 % - Akzent1 3 2" xfId="177"/>
    <cellStyle name="60 % - Akzent2 2" xfId="178"/>
    <cellStyle name="60 % - Akzent2 2 2" xfId="179"/>
    <cellStyle name="60 % - Akzent2 3" xfId="180"/>
    <cellStyle name="60 % - Akzent2 3 2" xfId="181"/>
    <cellStyle name="60 % - Akzent3 2" xfId="182"/>
    <cellStyle name="60 % - Akzent3 2 2" xfId="183"/>
    <cellStyle name="60 % - Akzent3 3" xfId="184"/>
    <cellStyle name="60 % - Akzent3 3 2" xfId="185"/>
    <cellStyle name="60 % - Akzent4 2" xfId="186"/>
    <cellStyle name="60 % - Akzent4 2 2" xfId="187"/>
    <cellStyle name="60 % - Akzent4 3" xfId="188"/>
    <cellStyle name="60 % - Akzent4 3 2" xfId="189"/>
    <cellStyle name="60 % - Akzent5 2" xfId="190"/>
    <cellStyle name="60 % - Akzent5 2 2" xfId="191"/>
    <cellStyle name="60 % - Akzent5 3" xfId="192"/>
    <cellStyle name="60 % - Akzent5 3 2" xfId="193"/>
    <cellStyle name="60 % - Akzent6 2" xfId="194"/>
    <cellStyle name="60 % - Akzent6 2 2" xfId="195"/>
    <cellStyle name="60 % - Akzent6 3" xfId="196"/>
    <cellStyle name="60 % - Akzent6 3 2" xfId="197"/>
    <cellStyle name="60% - Accent1 2" xfId="198"/>
    <cellStyle name="60% - Accent1 2 2" xfId="199"/>
    <cellStyle name="60% - Accent1 3" xfId="200"/>
    <cellStyle name="60% - Accent1 3 2" xfId="201"/>
    <cellStyle name="60% - Accent2 2" xfId="202"/>
    <cellStyle name="60% - Accent2 2 2" xfId="203"/>
    <cellStyle name="60% - Accent2 3" xfId="204"/>
    <cellStyle name="60% - Accent2 3 2" xfId="205"/>
    <cellStyle name="60% - Accent3 2" xfId="206"/>
    <cellStyle name="60% - Accent3 2 2" xfId="207"/>
    <cellStyle name="60% - Accent3 3" xfId="208"/>
    <cellStyle name="60% - Accent3 3 2" xfId="209"/>
    <cellStyle name="60% - Accent4 2" xfId="210"/>
    <cellStyle name="60% - Accent4 2 2" xfId="211"/>
    <cellStyle name="60% - Accent4 3" xfId="212"/>
    <cellStyle name="60% - Accent4 3 2" xfId="213"/>
    <cellStyle name="60% - Accent5 2" xfId="214"/>
    <cellStyle name="60% - Accent5 2 2" xfId="215"/>
    <cellStyle name="60% - Accent5 3" xfId="216"/>
    <cellStyle name="60% - Accent5 3 2" xfId="217"/>
    <cellStyle name="60% - Accent6 2" xfId="218"/>
    <cellStyle name="60% - Accent6 2 2" xfId="219"/>
    <cellStyle name="60% - Accent6 3" xfId="220"/>
    <cellStyle name="60% - Accent6 3 2" xfId="221"/>
    <cellStyle name="???????????" xfId="222"/>
    <cellStyle name="??????????? 2" xfId="223"/>
    <cellStyle name="???????_2++" xfId="224"/>
    <cellStyle name="Accent 1 1" xfId="225"/>
    <cellStyle name="Accent 1 1 2" xfId="226"/>
    <cellStyle name="Accent 1 6" xfId="227"/>
    <cellStyle name="Accent 2 1" xfId="228"/>
    <cellStyle name="Accent 2 1 2" xfId="229"/>
    <cellStyle name="Accent 2 7" xfId="230"/>
    <cellStyle name="Accent 3 1" xfId="231"/>
    <cellStyle name="Accent 3 1 2" xfId="232"/>
    <cellStyle name="Accent 3 8" xfId="233"/>
    <cellStyle name="Accent 4" xfId="234"/>
    <cellStyle name="Accent 4 2" xfId="235"/>
    <cellStyle name="Accent 5" xfId="236"/>
    <cellStyle name="Accent1 2" xfId="237"/>
    <cellStyle name="Accent1 2 2" xfId="238"/>
    <cellStyle name="Accent1 3" xfId="239"/>
    <cellStyle name="Accent1 3 2" xfId="240"/>
    <cellStyle name="Accent1 4" xfId="241"/>
    <cellStyle name="Accent1 4 2" xfId="242"/>
    <cellStyle name="Accent2 2" xfId="243"/>
    <cellStyle name="Accent2 2 2" xfId="244"/>
    <cellStyle name="Accent2 3" xfId="245"/>
    <cellStyle name="Accent2 3 2" xfId="246"/>
    <cellStyle name="Accent2 4" xfId="247"/>
    <cellStyle name="Accent2 4 2" xfId="248"/>
    <cellStyle name="Accent3 2" xfId="249"/>
    <cellStyle name="Accent3 2 2" xfId="250"/>
    <cellStyle name="Accent3 3" xfId="251"/>
    <cellStyle name="Accent3 3 2" xfId="252"/>
    <cellStyle name="Accent3 4" xfId="253"/>
    <cellStyle name="Accent3 4 2" xfId="254"/>
    <cellStyle name="Accent4 2" xfId="255"/>
    <cellStyle name="Accent4 2 2" xfId="256"/>
    <cellStyle name="Accent4 3" xfId="257"/>
    <cellStyle name="Accent4 3 2" xfId="258"/>
    <cellStyle name="Accent4 4" xfId="259"/>
    <cellStyle name="Accent4 4 2" xfId="260"/>
    <cellStyle name="Accent5 2" xfId="261"/>
    <cellStyle name="Accent5 2 2" xfId="262"/>
    <cellStyle name="Accent5 3" xfId="263"/>
    <cellStyle name="Accent5 3 2" xfId="264"/>
    <cellStyle name="Accent5 4" xfId="265"/>
    <cellStyle name="Accent5 4 2" xfId="266"/>
    <cellStyle name="Accent6 2" xfId="267"/>
    <cellStyle name="Accent6 2 2" xfId="268"/>
    <cellStyle name="Accent6 3" xfId="269"/>
    <cellStyle name="Accent6 3 2" xfId="270"/>
    <cellStyle name="Accent6 4" xfId="271"/>
    <cellStyle name="Accent6 4 2" xfId="272"/>
    <cellStyle name="AggblueBoldCels" xfId="273"/>
    <cellStyle name="AggblueBoldCels 2" xfId="274"/>
    <cellStyle name="AggblueBoldCels 2 2" xfId="275"/>
    <cellStyle name="AggblueBoldCels 3" xfId="276"/>
    <cellStyle name="AggblueCels" xfId="277"/>
    <cellStyle name="AggblueCels 2" xfId="278"/>
    <cellStyle name="AggblueCels 2 2" xfId="279"/>
    <cellStyle name="AggblueCels 3" xfId="280"/>
    <cellStyle name="AggblueCels_1x" xfId="281"/>
    <cellStyle name="AggBoldCells" xfId="282"/>
    <cellStyle name="AggBoldCells 2" xfId="283"/>
    <cellStyle name="AggBoldCells 2 2" xfId="284"/>
    <cellStyle name="AggBoldCells 3" xfId="285"/>
    <cellStyle name="AggBoldCells 3 2" xfId="286"/>
    <cellStyle name="AggBoldCells 4" xfId="287"/>
    <cellStyle name="AggBoldCells 4 2" xfId="288"/>
    <cellStyle name="AggBoldCells 5" xfId="289"/>
    <cellStyle name="AggCels" xfId="290"/>
    <cellStyle name="AggCels 2" xfId="291"/>
    <cellStyle name="AggCels 2 2" xfId="292"/>
    <cellStyle name="AggCels 3" xfId="293"/>
    <cellStyle name="AggCels 3 2" xfId="294"/>
    <cellStyle name="AggCels 4" xfId="295"/>
    <cellStyle name="AggCels 4 2" xfId="296"/>
    <cellStyle name="AggCels 5" xfId="297"/>
    <cellStyle name="AggCels_T(2)" xfId="298"/>
    <cellStyle name="AggGreen" xfId="299"/>
    <cellStyle name="AggGreen 2" xfId="300"/>
    <cellStyle name="AggGreen 2 2" xfId="301"/>
    <cellStyle name="AggGreen 2 2 2" xfId="302"/>
    <cellStyle name="AggGreen 2 2 2 2" xfId="303"/>
    <cellStyle name="AggGreen 2 2 2 2 2" xfId="304"/>
    <cellStyle name="AggGreen 2 2 2 3" xfId="305"/>
    <cellStyle name="AggGreen 2 2 3" xfId="306"/>
    <cellStyle name="AggGreen 2 2 3 2" xfId="307"/>
    <cellStyle name="AggGreen 2 2 4" xfId="308"/>
    <cellStyle name="AggGreen 2 3" xfId="309"/>
    <cellStyle name="AggGreen 2 3 2" xfId="310"/>
    <cellStyle name="AggGreen 2 3 2 2" xfId="311"/>
    <cellStyle name="AggGreen 2 3 2 2 2" xfId="312"/>
    <cellStyle name="AggGreen 2 3 2 3" xfId="313"/>
    <cellStyle name="AggGreen 2 3 3" xfId="314"/>
    <cellStyle name="AggGreen 2 3 3 2" xfId="315"/>
    <cellStyle name="AggGreen 2 3 3 2 2" xfId="316"/>
    <cellStyle name="AggGreen 2 3 3 3" xfId="317"/>
    <cellStyle name="AggGreen 2 3 4" xfId="318"/>
    <cellStyle name="AggGreen 2 3 4 2" xfId="319"/>
    <cellStyle name="AggGreen 2 3 4 2 2" xfId="320"/>
    <cellStyle name="AggGreen 2 3 4 3" xfId="321"/>
    <cellStyle name="AggGreen 2 3 5" xfId="322"/>
    <cellStyle name="AggGreen 2 4" xfId="323"/>
    <cellStyle name="AggGreen 3" xfId="324"/>
    <cellStyle name="AggGreen 3 2" xfId="325"/>
    <cellStyle name="AggGreen 3 2 2" xfId="326"/>
    <cellStyle name="AggGreen 3 2 2 2" xfId="327"/>
    <cellStyle name="AggGreen 3 2 3" xfId="328"/>
    <cellStyle name="AggGreen 3 3" xfId="329"/>
    <cellStyle name="AggGreen 3 3 2" xfId="330"/>
    <cellStyle name="AggGreen 3 4" xfId="331"/>
    <cellStyle name="AggGreen 4" xfId="332"/>
    <cellStyle name="AggGreen 4 2" xfId="333"/>
    <cellStyle name="AggGreen 4 2 2" xfId="334"/>
    <cellStyle name="AggGreen 4 2 2 2" xfId="335"/>
    <cellStyle name="AggGreen 4 2 3" xfId="336"/>
    <cellStyle name="AggGreen 4 3" xfId="337"/>
    <cellStyle name="AggGreen 4 3 2" xfId="338"/>
    <cellStyle name="AggGreen 4 3 2 2" xfId="339"/>
    <cellStyle name="AggGreen 4 3 3" xfId="340"/>
    <cellStyle name="AggGreen 4 4" xfId="341"/>
    <cellStyle name="AggGreen 4 4 2" xfId="342"/>
    <cellStyle name="AggGreen 4 4 2 2" xfId="343"/>
    <cellStyle name="AggGreen 4 4 3" xfId="344"/>
    <cellStyle name="AggGreen 4 5" xfId="345"/>
    <cellStyle name="AggGreen 5" xfId="346"/>
    <cellStyle name="AggGreen 5 2" xfId="347"/>
    <cellStyle name="AggGreen 6" xfId="348"/>
    <cellStyle name="AggGreen12" xfId="349"/>
    <cellStyle name="AggGreen12 2" xfId="350"/>
    <cellStyle name="AggGreen12 2 2" xfId="351"/>
    <cellStyle name="AggGreen12 2 2 2" xfId="352"/>
    <cellStyle name="AggGreen12 2 2 2 2" xfId="353"/>
    <cellStyle name="AggGreen12 2 2 2 2 2" xfId="354"/>
    <cellStyle name="AggGreen12 2 2 2 3" xfId="355"/>
    <cellStyle name="AggGreen12 2 2 3" xfId="356"/>
    <cellStyle name="AggGreen12 2 2 3 2" xfId="357"/>
    <cellStyle name="AggGreen12 2 2 4" xfId="358"/>
    <cellStyle name="AggGreen12 2 3" xfId="359"/>
    <cellStyle name="AggGreen12 2 3 2" xfId="360"/>
    <cellStyle name="AggGreen12 2 3 2 2" xfId="361"/>
    <cellStyle name="AggGreen12 2 3 2 2 2" xfId="362"/>
    <cellStyle name="AggGreen12 2 3 2 3" xfId="363"/>
    <cellStyle name="AggGreen12 2 3 3" xfId="364"/>
    <cellStyle name="AggGreen12 2 3 3 2" xfId="365"/>
    <cellStyle name="AggGreen12 2 3 3 2 2" xfId="366"/>
    <cellStyle name="AggGreen12 2 3 3 3" xfId="367"/>
    <cellStyle name="AggGreen12 2 3 4" xfId="368"/>
    <cellStyle name="AggGreen12 2 3 4 2" xfId="369"/>
    <cellStyle name="AggGreen12 2 3 4 2 2" xfId="370"/>
    <cellStyle name="AggGreen12 2 3 4 3" xfId="371"/>
    <cellStyle name="AggGreen12 2 3 5" xfId="372"/>
    <cellStyle name="AggGreen12 2 4" xfId="373"/>
    <cellStyle name="AggGreen12 3" xfId="374"/>
    <cellStyle name="AggGreen12 3 2" xfId="375"/>
    <cellStyle name="AggGreen12 3 2 2" xfId="376"/>
    <cellStyle name="AggGreen12 3 2 2 2" xfId="377"/>
    <cellStyle name="AggGreen12 3 2 3" xfId="378"/>
    <cellStyle name="AggGreen12 3 3" xfId="379"/>
    <cellStyle name="AggGreen12 3 3 2" xfId="380"/>
    <cellStyle name="AggGreen12 3 4" xfId="381"/>
    <cellStyle name="AggGreen12 4" xfId="382"/>
    <cellStyle name="AggGreen12 4 2" xfId="383"/>
    <cellStyle name="AggGreen12 4 2 2" xfId="384"/>
    <cellStyle name="AggGreen12 4 2 2 2" xfId="385"/>
    <cellStyle name="AggGreen12 4 2 3" xfId="386"/>
    <cellStyle name="AggGreen12 4 3" xfId="387"/>
    <cellStyle name="AggGreen12 4 3 2" xfId="388"/>
    <cellStyle name="AggGreen12 4 3 2 2" xfId="389"/>
    <cellStyle name="AggGreen12 4 3 3" xfId="390"/>
    <cellStyle name="AggGreen12 4 4" xfId="391"/>
    <cellStyle name="AggGreen12 4 4 2" xfId="392"/>
    <cellStyle name="AggGreen12 4 4 2 2" xfId="393"/>
    <cellStyle name="AggGreen12 4 4 3" xfId="394"/>
    <cellStyle name="AggGreen12 4 5" xfId="395"/>
    <cellStyle name="AggGreen12 5" xfId="396"/>
    <cellStyle name="AggGreen12 5 2" xfId="397"/>
    <cellStyle name="AggGreen12 6" xfId="398"/>
    <cellStyle name="AggGreen_Bbdr" xfId="399"/>
    <cellStyle name="AggOrange" xfId="400"/>
    <cellStyle name="AggOrange 2" xfId="401"/>
    <cellStyle name="AggOrange 2 2" xfId="402"/>
    <cellStyle name="AggOrange 2 2 2" xfId="403"/>
    <cellStyle name="AggOrange 2 2 2 2" xfId="404"/>
    <cellStyle name="AggOrange 2 2 2 2 2" xfId="405"/>
    <cellStyle name="AggOrange 2 2 2 3" xfId="406"/>
    <cellStyle name="AggOrange 2 2 3" xfId="407"/>
    <cellStyle name="AggOrange 2 2 3 2" xfId="408"/>
    <cellStyle name="AggOrange 2 2 4" xfId="409"/>
    <cellStyle name="AggOrange 2 3" xfId="410"/>
    <cellStyle name="AggOrange 2 3 2" xfId="411"/>
    <cellStyle name="AggOrange 2 3 2 2" xfId="412"/>
    <cellStyle name="AggOrange 2 3 2 2 2" xfId="413"/>
    <cellStyle name="AggOrange 2 3 2 3" xfId="414"/>
    <cellStyle name="AggOrange 2 3 3" xfId="415"/>
    <cellStyle name="AggOrange 2 3 3 2" xfId="416"/>
    <cellStyle name="AggOrange 2 3 3 2 2" xfId="417"/>
    <cellStyle name="AggOrange 2 3 3 3" xfId="418"/>
    <cellStyle name="AggOrange 2 3 4" xfId="419"/>
    <cellStyle name="AggOrange 2 3 4 2" xfId="420"/>
    <cellStyle name="AggOrange 2 3 4 2 2" xfId="421"/>
    <cellStyle name="AggOrange 2 3 4 3" xfId="422"/>
    <cellStyle name="AggOrange 2 3 5" xfId="423"/>
    <cellStyle name="AggOrange 2 4" xfId="424"/>
    <cellStyle name="AggOrange 3" xfId="425"/>
    <cellStyle name="AggOrange 3 2" xfId="426"/>
    <cellStyle name="AggOrange 3 2 2" xfId="427"/>
    <cellStyle name="AggOrange 3 2 2 2" xfId="428"/>
    <cellStyle name="AggOrange 3 2 3" xfId="429"/>
    <cellStyle name="AggOrange 3 3" xfId="430"/>
    <cellStyle name="AggOrange 3 3 2" xfId="431"/>
    <cellStyle name="AggOrange 3 4" xfId="432"/>
    <cellStyle name="AggOrange 4" xfId="433"/>
    <cellStyle name="AggOrange 4 2" xfId="434"/>
    <cellStyle name="AggOrange 4 2 2" xfId="435"/>
    <cellStyle name="AggOrange 4 2 2 2" xfId="436"/>
    <cellStyle name="AggOrange 4 2 3" xfId="437"/>
    <cellStyle name="AggOrange 4 3" xfId="438"/>
    <cellStyle name="AggOrange 4 3 2" xfId="439"/>
    <cellStyle name="AggOrange 4 3 2 2" xfId="440"/>
    <cellStyle name="AggOrange 4 3 3" xfId="441"/>
    <cellStyle name="AggOrange 4 4" xfId="442"/>
    <cellStyle name="AggOrange 4 4 2" xfId="443"/>
    <cellStyle name="AggOrange 4 4 2 2" xfId="444"/>
    <cellStyle name="AggOrange 4 4 3" xfId="445"/>
    <cellStyle name="AggOrange 4 5" xfId="446"/>
    <cellStyle name="AggOrange 5" xfId="447"/>
    <cellStyle name="AggOrange 5 2" xfId="448"/>
    <cellStyle name="AggOrange 6" xfId="449"/>
    <cellStyle name="AggOrange9" xfId="450"/>
    <cellStyle name="AggOrange9 2" xfId="451"/>
    <cellStyle name="AggOrange9 2 2" xfId="452"/>
    <cellStyle name="AggOrange9 2 2 2" xfId="453"/>
    <cellStyle name="AggOrange9 2 2 2 2" xfId="454"/>
    <cellStyle name="AggOrange9 2 2 2 2 2" xfId="455"/>
    <cellStyle name="AggOrange9 2 2 2 3" xfId="456"/>
    <cellStyle name="AggOrange9 2 2 3" xfId="457"/>
    <cellStyle name="AggOrange9 2 2 3 2" xfId="458"/>
    <cellStyle name="AggOrange9 2 2 4" xfId="459"/>
    <cellStyle name="AggOrange9 2 3" xfId="460"/>
    <cellStyle name="AggOrange9 2 3 2" xfId="461"/>
    <cellStyle name="AggOrange9 2 3 2 2" xfId="462"/>
    <cellStyle name="AggOrange9 2 3 2 2 2" xfId="463"/>
    <cellStyle name="AggOrange9 2 3 2 3" xfId="464"/>
    <cellStyle name="AggOrange9 2 3 3" xfId="465"/>
    <cellStyle name="AggOrange9 2 3 3 2" xfId="466"/>
    <cellStyle name="AggOrange9 2 3 3 2 2" xfId="467"/>
    <cellStyle name="AggOrange9 2 3 3 3" xfId="468"/>
    <cellStyle name="AggOrange9 2 3 4" xfId="469"/>
    <cellStyle name="AggOrange9 2 3 4 2" xfId="470"/>
    <cellStyle name="AggOrange9 2 3 4 2 2" xfId="471"/>
    <cellStyle name="AggOrange9 2 3 4 3" xfId="472"/>
    <cellStyle name="AggOrange9 2 3 5" xfId="473"/>
    <cellStyle name="AggOrange9 2 4" xfId="474"/>
    <cellStyle name="AggOrange9 3" xfId="475"/>
    <cellStyle name="AggOrange9 3 2" xfId="476"/>
    <cellStyle name="AggOrange9 3 2 2" xfId="477"/>
    <cellStyle name="AggOrange9 3 2 2 2" xfId="478"/>
    <cellStyle name="AggOrange9 3 2 3" xfId="479"/>
    <cellStyle name="AggOrange9 3 3" xfId="480"/>
    <cellStyle name="AggOrange9 3 3 2" xfId="481"/>
    <cellStyle name="AggOrange9 3 4" xfId="482"/>
    <cellStyle name="AggOrange9 4" xfId="483"/>
    <cellStyle name="AggOrange9 4 2" xfId="484"/>
    <cellStyle name="AggOrange9 4 2 2" xfId="485"/>
    <cellStyle name="AggOrange9 4 2 2 2" xfId="486"/>
    <cellStyle name="AggOrange9 4 2 3" xfId="487"/>
    <cellStyle name="AggOrange9 4 3" xfId="488"/>
    <cellStyle name="AggOrange9 4 3 2" xfId="489"/>
    <cellStyle name="AggOrange9 4 3 2 2" xfId="490"/>
    <cellStyle name="AggOrange9 4 3 3" xfId="491"/>
    <cellStyle name="AggOrange9 4 4" xfId="492"/>
    <cellStyle name="AggOrange9 4 4 2" xfId="493"/>
    <cellStyle name="AggOrange9 4 4 2 2" xfId="494"/>
    <cellStyle name="AggOrange9 4 4 3" xfId="495"/>
    <cellStyle name="AggOrange9 4 5" xfId="496"/>
    <cellStyle name="AggOrange9 5" xfId="497"/>
    <cellStyle name="AggOrange9 5 2" xfId="498"/>
    <cellStyle name="AggOrange9 6" xfId="499"/>
    <cellStyle name="AggOrange_B_border" xfId="500"/>
    <cellStyle name="AggOrangeLB_2x" xfId="501"/>
    <cellStyle name="AggOrangeLBorder" xfId="502"/>
    <cellStyle name="AggOrangeLBorder 2" xfId="503"/>
    <cellStyle name="AggOrangeLBorder 2 2" xfId="504"/>
    <cellStyle name="AggOrangeLBorder 2 2 2" xfId="505"/>
    <cellStyle name="AggOrangeLBorder 2 3" xfId="506"/>
    <cellStyle name="AggOrangeLBorder 2 3 2" xfId="507"/>
    <cellStyle name="AggOrangeLBorder 2 3 2 2" xfId="508"/>
    <cellStyle name="AggOrangeLBorder 2 3 2 2 2" xfId="509"/>
    <cellStyle name="AggOrangeLBorder 2 3 2 3" xfId="510"/>
    <cellStyle name="AggOrangeLBorder 2 3 3" xfId="511"/>
    <cellStyle name="AggOrangeLBorder 2 3 3 2" xfId="512"/>
    <cellStyle name="AggOrangeLBorder 2 3 3 2 2" xfId="513"/>
    <cellStyle name="AggOrangeLBorder 2 3 3 3" xfId="514"/>
    <cellStyle name="AggOrangeLBorder 2 3 4" xfId="515"/>
    <cellStyle name="AggOrangeLBorder 2 3 4 2" xfId="516"/>
    <cellStyle name="AggOrangeLBorder 2 3 4 2 2" xfId="517"/>
    <cellStyle name="AggOrangeLBorder 2 3 4 3" xfId="518"/>
    <cellStyle name="AggOrangeLBorder 2 3 5" xfId="519"/>
    <cellStyle name="AggOrangeLBorder 2 3 5 2" xfId="520"/>
    <cellStyle name="AggOrangeLBorder 2 3 6" xfId="521"/>
    <cellStyle name="AggOrangeLBorder 2 4" xfId="522"/>
    <cellStyle name="AggOrangeLBorder 3" xfId="523"/>
    <cellStyle name="AggOrangeLBorder 3 2" xfId="524"/>
    <cellStyle name="AggOrangeLBorder 4" xfId="525"/>
    <cellStyle name="AggOrangeLBorder 4 2" xfId="526"/>
    <cellStyle name="AggOrangeLBorder 4 2 2" xfId="527"/>
    <cellStyle name="AggOrangeLBorder 4 2 2 2" xfId="528"/>
    <cellStyle name="AggOrangeLBorder 4 2 3" xfId="529"/>
    <cellStyle name="AggOrangeLBorder 4 3" xfId="530"/>
    <cellStyle name="AggOrangeLBorder 4 3 2" xfId="531"/>
    <cellStyle name="AggOrangeLBorder 4 3 2 2" xfId="532"/>
    <cellStyle name="AggOrangeLBorder 4 3 3" xfId="533"/>
    <cellStyle name="AggOrangeLBorder 4 4" xfId="534"/>
    <cellStyle name="AggOrangeLBorder 4 4 2" xfId="535"/>
    <cellStyle name="AggOrangeLBorder 4 4 2 2" xfId="536"/>
    <cellStyle name="AggOrangeLBorder 4 4 3" xfId="537"/>
    <cellStyle name="AggOrangeLBorder 4 5" xfId="538"/>
    <cellStyle name="AggOrangeLBorder 4 5 2" xfId="539"/>
    <cellStyle name="AggOrangeLBorder 4 6" xfId="540"/>
    <cellStyle name="AggOrangeLBorder 5" xfId="541"/>
    <cellStyle name="AggOrangeLBorder 5 2" xfId="542"/>
    <cellStyle name="AggOrangeLBorder 6" xfId="543"/>
    <cellStyle name="AggOrangeRBorder" xfId="544"/>
    <cellStyle name="AggOrangeRBorder 2" xfId="545"/>
    <cellStyle name="AggOrangeRBorder 2 2" xfId="546"/>
    <cellStyle name="AggOrangeRBorder 2 2 2" xfId="547"/>
    <cellStyle name="AggOrangeRBorder 2 2 2 2" xfId="548"/>
    <cellStyle name="AggOrangeRBorder 2 2 2 2 2" xfId="549"/>
    <cellStyle name="AggOrangeRBorder 2 2 2 3" xfId="550"/>
    <cellStyle name="AggOrangeRBorder 2 2 3" xfId="551"/>
    <cellStyle name="AggOrangeRBorder 2 3" xfId="552"/>
    <cellStyle name="AggOrangeRBorder 2 3 2" xfId="553"/>
    <cellStyle name="AggOrangeRBorder 2 3 2 2" xfId="554"/>
    <cellStyle name="AggOrangeRBorder 2 3 2 2 2" xfId="555"/>
    <cellStyle name="AggOrangeRBorder 2 3 2 3" xfId="556"/>
    <cellStyle name="AggOrangeRBorder 2 3 3" xfId="557"/>
    <cellStyle name="AggOrangeRBorder 2 3 3 2" xfId="558"/>
    <cellStyle name="AggOrangeRBorder 2 3 3 2 2" xfId="559"/>
    <cellStyle name="AggOrangeRBorder 2 3 3 3" xfId="560"/>
    <cellStyle name="AggOrangeRBorder 2 3 4" xfId="561"/>
    <cellStyle name="AggOrangeRBorder 2 3 4 2" xfId="562"/>
    <cellStyle name="AggOrangeRBorder 2 3 4 2 2" xfId="563"/>
    <cellStyle name="AggOrangeRBorder 2 3 4 3" xfId="564"/>
    <cellStyle name="AggOrangeRBorder 2 3 5" xfId="565"/>
    <cellStyle name="AggOrangeRBorder 2 3 5 2" xfId="566"/>
    <cellStyle name="AggOrangeRBorder 2 3 6" xfId="567"/>
    <cellStyle name="AggOrangeRBorder 2 4" xfId="568"/>
    <cellStyle name="AggOrangeRBorder 3" xfId="569"/>
    <cellStyle name="AggOrangeRBorder 3 2" xfId="570"/>
    <cellStyle name="AggOrangeRBorder 3 2 2" xfId="571"/>
    <cellStyle name="AggOrangeRBorder 3 2 2 2" xfId="572"/>
    <cellStyle name="AggOrangeRBorder 3 2 3" xfId="573"/>
    <cellStyle name="AggOrangeRBorder 3 2 3 2" xfId="574"/>
    <cellStyle name="AggOrangeRBorder 3 2 4" xfId="575"/>
    <cellStyle name="AggOrangeRBorder 3 3" xfId="576"/>
    <cellStyle name="AggOrangeRBorder 4" xfId="577"/>
    <cellStyle name="AggOrangeRBorder 4 2" xfId="578"/>
    <cellStyle name="AggOrangeRBorder 4 2 2" xfId="579"/>
    <cellStyle name="AggOrangeRBorder 4 2 2 2" xfId="580"/>
    <cellStyle name="AggOrangeRBorder 4 2 3" xfId="581"/>
    <cellStyle name="AggOrangeRBorder 4 3" xfId="582"/>
    <cellStyle name="AggOrangeRBorder 4 3 2" xfId="583"/>
    <cellStyle name="AggOrangeRBorder 4 3 2 2" xfId="584"/>
    <cellStyle name="AggOrangeRBorder 4 3 3" xfId="585"/>
    <cellStyle name="AggOrangeRBorder 4 4" xfId="586"/>
    <cellStyle name="AggOrangeRBorder 4 4 2" xfId="587"/>
    <cellStyle name="AggOrangeRBorder 4 4 2 2" xfId="588"/>
    <cellStyle name="AggOrangeRBorder 4 4 3" xfId="589"/>
    <cellStyle name="AggOrangeRBorder 4 5" xfId="590"/>
    <cellStyle name="AggOrangeRBorder 4 5 2" xfId="591"/>
    <cellStyle name="AggOrangeRBorder 4 6" xfId="592"/>
    <cellStyle name="AggOrangeRBorder 5" xfId="593"/>
    <cellStyle name="AggOrangeRBorder 5 2" xfId="594"/>
    <cellStyle name="AggOrangeRBorder 6" xfId="595"/>
    <cellStyle name="AggOrangeRBorder_CRFReport-template" xfId="596"/>
    <cellStyle name="Akzent1" xfId="597"/>
    <cellStyle name="Akzent1 2" xfId="598"/>
    <cellStyle name="Akzent2" xfId="599"/>
    <cellStyle name="Akzent2 2" xfId="600"/>
    <cellStyle name="Akzent3" xfId="601"/>
    <cellStyle name="Akzent3 2" xfId="602"/>
    <cellStyle name="Akzent4" xfId="603"/>
    <cellStyle name="Akzent4 2" xfId="604"/>
    <cellStyle name="Akzent5" xfId="605"/>
    <cellStyle name="Akzent5 2" xfId="606"/>
    <cellStyle name="Akzent6" xfId="607"/>
    <cellStyle name="Akzent6 2" xfId="608"/>
    <cellStyle name="Ausgabe 2" xfId="609"/>
    <cellStyle name="Ausgabe 2 2" xfId="610"/>
    <cellStyle name="Ausgabe 2 2 2" xfId="611"/>
    <cellStyle name="Ausgabe 2 2 2 2" xfId="612"/>
    <cellStyle name="Ausgabe 2 2 3" xfId="613"/>
    <cellStyle name="Ausgabe 2 3" xfId="614"/>
    <cellStyle name="Ausgabe 2 3 2" xfId="615"/>
    <cellStyle name="Ausgabe 2 3 2 2" xfId="616"/>
    <cellStyle name="Ausgabe 2 3 3" xfId="617"/>
    <cellStyle name="Ausgabe 2 4" xfId="618"/>
    <cellStyle name="Ausgabe 2 4 2" xfId="619"/>
    <cellStyle name="Ausgabe 2 5" xfId="620"/>
    <cellStyle name="Ausgabe 3" xfId="621"/>
    <cellStyle name="Ausgabe 3 2" xfId="622"/>
    <cellStyle name="Ausgabe 3 2 2" xfId="623"/>
    <cellStyle name="Ausgabe 3 2 2 2" xfId="624"/>
    <cellStyle name="Ausgabe 3 2 3" xfId="625"/>
    <cellStyle name="Ausgabe 3 3" xfId="626"/>
    <cellStyle name="Ausgabe 3 3 2" xfId="627"/>
    <cellStyle name="Ausgabe 3 3 2 2" xfId="628"/>
    <cellStyle name="Ausgabe 3 3 3" xfId="629"/>
    <cellStyle name="Ausgabe 3 4" xfId="630"/>
    <cellStyle name="Ausgabe 3 4 2" xfId="631"/>
    <cellStyle name="Ausgabe 3 5" xfId="632"/>
    <cellStyle name="Ausgabe 4" xfId="633"/>
    <cellStyle name="Ausgabe 4 2" xfId="634"/>
    <cellStyle name="Ausgabe 4 2 2" xfId="635"/>
    <cellStyle name="Ausgabe 4 3" xfId="636"/>
    <cellStyle name="Ausgabe 5" xfId="637"/>
    <cellStyle name="Ausgabe 5 2" xfId="638"/>
    <cellStyle name="Ausgabe 5 2 2" xfId="639"/>
    <cellStyle name="Ausgabe 5 3" xfId="640"/>
    <cellStyle name="Ausgabe 6" xfId="641"/>
    <cellStyle name="Ausgabe 6 2" xfId="642"/>
    <cellStyle name="Bad 1" xfId="643"/>
    <cellStyle name="Bad 1 2" xfId="644"/>
    <cellStyle name="Bad 2" xfId="645"/>
    <cellStyle name="Bad 2 2" xfId="646"/>
    <cellStyle name="Bad 3" xfId="647"/>
    <cellStyle name="Bad 3 2" xfId="648"/>
    <cellStyle name="Bad 4" xfId="649"/>
    <cellStyle name="Bad 4 2" xfId="650"/>
    <cellStyle name="Bad 9" xfId="651"/>
    <cellStyle name="Berechnung 2" xfId="652"/>
    <cellStyle name="Berechnung 2 2" xfId="653"/>
    <cellStyle name="Berechnung 2 2 2" xfId="654"/>
    <cellStyle name="Berechnung 2 2 2 2" xfId="655"/>
    <cellStyle name="Berechnung 2 2 3" xfId="656"/>
    <cellStyle name="Berechnung 2 3" xfId="657"/>
    <cellStyle name="Berechnung 2 3 2" xfId="658"/>
    <cellStyle name="Berechnung 2 3 2 2" xfId="659"/>
    <cellStyle name="Berechnung 2 3 3" xfId="660"/>
    <cellStyle name="Berechnung 2 4" xfId="661"/>
    <cellStyle name="Berechnung 2 4 2" xfId="662"/>
    <cellStyle name="Berechnung 2 4 2 2" xfId="663"/>
    <cellStyle name="Berechnung 2 4 3" xfId="664"/>
    <cellStyle name="Berechnung 2 5" xfId="665"/>
    <cellStyle name="Berechnung 2 5 2" xfId="666"/>
    <cellStyle name="Berechnung 2 6" xfId="667"/>
    <cellStyle name="Berechnung 3" xfId="668"/>
    <cellStyle name="Berechnung 3 2" xfId="669"/>
    <cellStyle name="Berechnung 3 2 2" xfId="670"/>
    <cellStyle name="Berechnung 3 2 2 2" xfId="671"/>
    <cellStyle name="Berechnung 3 2 3" xfId="672"/>
    <cellStyle name="Berechnung 3 3" xfId="673"/>
    <cellStyle name="Berechnung 3 3 2" xfId="674"/>
    <cellStyle name="Berechnung 3 3 2 2" xfId="675"/>
    <cellStyle name="Berechnung 3 3 3" xfId="676"/>
    <cellStyle name="Berechnung 3 4" xfId="677"/>
    <cellStyle name="Berechnung 3 4 2" xfId="678"/>
    <cellStyle name="Berechnung 3 4 2 2" xfId="679"/>
    <cellStyle name="Berechnung 3 4 3" xfId="680"/>
    <cellStyle name="Berechnung 3 5" xfId="681"/>
    <cellStyle name="Berechnung 3 5 2" xfId="682"/>
    <cellStyle name="Berechnung 3 6" xfId="683"/>
    <cellStyle name="Berechnung 4" xfId="684"/>
    <cellStyle name="Berechnung 4 2" xfId="685"/>
    <cellStyle name="Berechnung 4 2 2" xfId="686"/>
    <cellStyle name="Berechnung 4 3" xfId="687"/>
    <cellStyle name="Berechnung 5" xfId="688"/>
    <cellStyle name="Berechnung 5 2" xfId="689"/>
    <cellStyle name="Berechnung 5 2 2" xfId="690"/>
    <cellStyle name="Berechnung 5 3" xfId="691"/>
    <cellStyle name="Berechnung 6" xfId="692"/>
    <cellStyle name="Berechnung 6 2" xfId="693"/>
    <cellStyle name="Berechnung 6 2 2" xfId="694"/>
    <cellStyle name="Berechnung 6 3" xfId="695"/>
    <cellStyle name="Berechnung 7" xfId="696"/>
    <cellStyle name="Berechnung 7 2" xfId="697"/>
    <cellStyle name="Bold GHG Numbers (0.00)" xfId="698"/>
    <cellStyle name="Bold GHG Numbers (0.00) 2" xfId="699"/>
    <cellStyle name="Calculation 2" xfId="700"/>
    <cellStyle name="Calculation 2 2" xfId="701"/>
    <cellStyle name="Calculation 2 2 2" xfId="702"/>
    <cellStyle name="Calculation 2 2 2 2" xfId="703"/>
    <cellStyle name="Calculation 2 2 3" xfId="704"/>
    <cellStyle name="Calculation 2 3" xfId="705"/>
    <cellStyle name="Calculation 2 3 2" xfId="706"/>
    <cellStyle name="Calculation 2 3 2 2" xfId="707"/>
    <cellStyle name="Calculation 2 3 3" xfId="708"/>
    <cellStyle name="Calculation 2 4" xfId="709"/>
    <cellStyle name="Calculation 2 4 2" xfId="710"/>
    <cellStyle name="Calculation 2 4 2 2" xfId="711"/>
    <cellStyle name="Calculation 2 4 3" xfId="712"/>
    <cellStyle name="Calculation 2 5" xfId="713"/>
    <cellStyle name="Calculation 2 5 2" xfId="714"/>
    <cellStyle name="Calculation 2 6" xfId="715"/>
    <cellStyle name="Calculation 3" xfId="716"/>
    <cellStyle name="Calculation 3 2" xfId="717"/>
    <cellStyle name="Calculation 3 2 2" xfId="718"/>
    <cellStyle name="Calculation 3 2 2 2" xfId="719"/>
    <cellStyle name="Calculation 3 2 3" xfId="720"/>
    <cellStyle name="Calculation 3 3" xfId="721"/>
    <cellStyle name="Calculation 3 3 2" xfId="722"/>
    <cellStyle name="Calculation 3 3 2 2" xfId="723"/>
    <cellStyle name="Calculation 3 3 3" xfId="724"/>
    <cellStyle name="Calculation 3 4" xfId="725"/>
    <cellStyle name="Calculation 3 4 2" xfId="726"/>
    <cellStyle name="Calculation 3 4 2 2" xfId="727"/>
    <cellStyle name="Calculation 3 4 3" xfId="728"/>
    <cellStyle name="Calculation 3 5" xfId="729"/>
    <cellStyle name="Calculation 3 5 2" xfId="730"/>
    <cellStyle name="Calculation 3 6" xfId="731"/>
    <cellStyle name="Check Cell 2" xfId="732"/>
    <cellStyle name="Check Cell 2 2" xfId="733"/>
    <cellStyle name="Check Cell 3" xfId="734"/>
    <cellStyle name="Check Cell 3 2" xfId="735"/>
    <cellStyle name="Check Cell 4" xfId="736"/>
    <cellStyle name="Check Cell 4 2" xfId="737"/>
    <cellStyle name="Comma 2" xfId="738"/>
    <cellStyle name="Comma 2 2" xfId="739"/>
    <cellStyle name="Comma 2 2 2" xfId="740"/>
    <cellStyle name="Comma 2 2 2 2" xfId="741"/>
    <cellStyle name="Comma 2 2 3" xfId="742"/>
    <cellStyle name="Comma 2 3" xfId="743"/>
    <cellStyle name="Comma 3" xfId="744"/>
    <cellStyle name="Comma 3 2" xfId="745"/>
    <cellStyle name="Constants" xfId="746"/>
    <cellStyle name="Constants 2" xfId="747"/>
    <cellStyle name="ContentsHyperlink" xfId="748"/>
    <cellStyle name="ContentsHyperlink 2" xfId="749"/>
    <cellStyle name="CustomCellsOrange" xfId="750"/>
    <cellStyle name="CustomCellsOrange 2" xfId="751"/>
    <cellStyle name="CustomCellsOrange 2 2" xfId="752"/>
    <cellStyle name="CustomCellsOrange 2 2 2" xfId="753"/>
    <cellStyle name="CustomCellsOrange 2 2 2 2" xfId="754"/>
    <cellStyle name="CustomCellsOrange 2 2 2 2 2" xfId="755"/>
    <cellStyle name="CustomCellsOrange 2 2 2 2 2 2" xfId="756"/>
    <cellStyle name="CustomCellsOrange 2 2 2 2 3" xfId="757"/>
    <cellStyle name="CustomCellsOrange 2 2 2 3" xfId="758"/>
    <cellStyle name="CustomCellsOrange 2 2 3" xfId="759"/>
    <cellStyle name="CustomCellsOrange 2 2 3 2" xfId="760"/>
    <cellStyle name="CustomCellsOrange 2 2 3 2 2" xfId="761"/>
    <cellStyle name="CustomCellsOrange 2 2 3 3" xfId="762"/>
    <cellStyle name="CustomCellsOrange 2 2 4" xfId="763"/>
    <cellStyle name="CustomCellsOrange 2 2 4 2" xfId="764"/>
    <cellStyle name="CustomCellsOrange 2 2 4 2 2" xfId="765"/>
    <cellStyle name="CustomCellsOrange 2 2 4 3" xfId="766"/>
    <cellStyle name="CustomCellsOrange 2 2 5" xfId="767"/>
    <cellStyle name="CustomCellsOrange 2 2 5 2" xfId="768"/>
    <cellStyle name="CustomCellsOrange 2 2 5 2 2" xfId="769"/>
    <cellStyle name="CustomCellsOrange 2 2 5 3" xfId="770"/>
    <cellStyle name="CustomCellsOrange 2 2 6" xfId="771"/>
    <cellStyle name="CustomCellsOrange 2 3" xfId="772"/>
    <cellStyle name="CustomCellsOrange 3" xfId="773"/>
    <cellStyle name="CustomCellsOrange 3 2" xfId="774"/>
    <cellStyle name="CustomCellsOrange 3 2 2" xfId="775"/>
    <cellStyle name="CustomCellsOrange 3 2 2 2" xfId="776"/>
    <cellStyle name="CustomCellsOrange 3 2 3" xfId="777"/>
    <cellStyle name="CustomCellsOrange 3 3" xfId="778"/>
    <cellStyle name="CustomCellsOrange 3 3 2" xfId="779"/>
    <cellStyle name="CustomCellsOrange 3 3 2 2" xfId="780"/>
    <cellStyle name="CustomCellsOrange 3 3 3" xfId="781"/>
    <cellStyle name="CustomCellsOrange 3 4" xfId="782"/>
    <cellStyle name="CustomCellsOrange 3 4 2" xfId="783"/>
    <cellStyle name="CustomCellsOrange 3 4 2 2" xfId="784"/>
    <cellStyle name="CustomCellsOrange 3 4 3" xfId="785"/>
    <cellStyle name="CustomCellsOrange 3 5" xfId="786"/>
    <cellStyle name="CustomCellsOrange 3 5 2" xfId="787"/>
    <cellStyle name="CustomCellsOrange 3 6" xfId="788"/>
    <cellStyle name="CustomCellsOrange 4" xfId="789"/>
    <cellStyle name="CustomizationCells" xfId="790"/>
    <cellStyle name="CustomizationCells 2" xfId="791"/>
    <cellStyle name="CustomizationCells 2 2" xfId="792"/>
    <cellStyle name="CustomizationCells 2 2 2" xfId="793"/>
    <cellStyle name="CustomizationCells 2 2 2 2" xfId="794"/>
    <cellStyle name="CustomizationCells 2 2 2 2 2" xfId="795"/>
    <cellStyle name="CustomizationCells 2 2 2 2 2 2" xfId="796"/>
    <cellStyle name="CustomizationCells 2 2 2 2 3" xfId="797"/>
    <cellStyle name="CustomizationCells 2 2 2 3" xfId="798"/>
    <cellStyle name="CustomizationCells 2 2 3" xfId="799"/>
    <cellStyle name="CustomizationCells 2 2 3 2" xfId="800"/>
    <cellStyle name="CustomizationCells 2 2 3 2 2" xfId="801"/>
    <cellStyle name="CustomizationCells 2 2 3 3" xfId="802"/>
    <cellStyle name="CustomizationCells 2 2 4" xfId="803"/>
    <cellStyle name="CustomizationCells 2 2 4 2" xfId="804"/>
    <cellStyle name="CustomizationCells 2 2 4 2 2" xfId="805"/>
    <cellStyle name="CustomizationCells 2 2 4 3" xfId="806"/>
    <cellStyle name="CustomizationCells 2 2 5" xfId="807"/>
    <cellStyle name="CustomizationCells 2 2 5 2" xfId="808"/>
    <cellStyle name="CustomizationCells 2 2 5 2 2" xfId="809"/>
    <cellStyle name="CustomizationCells 2 2 5 3" xfId="810"/>
    <cellStyle name="CustomizationCells 2 2 6" xfId="811"/>
    <cellStyle name="CustomizationCells 2 3" xfId="812"/>
    <cellStyle name="CustomizationCells 3" xfId="813"/>
    <cellStyle name="CustomizationCells 3 2" xfId="814"/>
    <cellStyle name="CustomizationCells 3 2 2" xfId="815"/>
    <cellStyle name="CustomizationCells 3 2 2 2" xfId="816"/>
    <cellStyle name="CustomizationCells 3 2 3" xfId="817"/>
    <cellStyle name="CustomizationCells 3 3" xfId="818"/>
    <cellStyle name="CustomizationCells 3 3 2" xfId="819"/>
    <cellStyle name="CustomizationCells 3 3 2 2" xfId="820"/>
    <cellStyle name="CustomizationCells 3 3 3" xfId="821"/>
    <cellStyle name="CustomizationCells 3 4" xfId="822"/>
    <cellStyle name="CustomizationCells 3 4 2" xfId="823"/>
    <cellStyle name="CustomizationCells 3 4 2 2" xfId="824"/>
    <cellStyle name="CustomizationCells 3 4 3" xfId="825"/>
    <cellStyle name="CustomizationCells 3 5" xfId="826"/>
    <cellStyle name="CustomizationCells 3 5 2" xfId="827"/>
    <cellStyle name="CustomizationCells 3 6" xfId="828"/>
    <cellStyle name="CustomizationCells 4" xfId="829"/>
    <cellStyle name="CustomizationCells 4 2" xfId="830"/>
    <cellStyle name="CustomizationCells 5" xfId="831"/>
    <cellStyle name="CustomizationGreenCells" xfId="832"/>
    <cellStyle name="CustomizationGreenCells 2" xfId="833"/>
    <cellStyle name="CustomizationGreenCells 2 2" xfId="834"/>
    <cellStyle name="CustomizationGreenCells 3" xfId="835"/>
    <cellStyle name="CustomizationGreenCells 3 2" xfId="836"/>
    <cellStyle name="CustomizationGreenCells 3 2 2" xfId="837"/>
    <cellStyle name="CustomizationGreenCells 3 2 2 2" xfId="838"/>
    <cellStyle name="CustomizationGreenCells 3 2 3" xfId="839"/>
    <cellStyle name="CustomizationGreenCells 3 3" xfId="840"/>
    <cellStyle name="CustomizationGreenCells 3 3 2" xfId="841"/>
    <cellStyle name="CustomizationGreenCells 3 3 2 2" xfId="842"/>
    <cellStyle name="CustomizationGreenCells 3 3 3" xfId="843"/>
    <cellStyle name="CustomizationGreenCells 3 4" xfId="844"/>
    <cellStyle name="CustomizationGreenCells 3 4 2" xfId="845"/>
    <cellStyle name="CustomizationGreenCells 3 4 2 2" xfId="846"/>
    <cellStyle name="CustomizationGreenCells 3 4 3" xfId="847"/>
    <cellStyle name="CustomizationGreenCells 3 5" xfId="848"/>
    <cellStyle name="CustomizationGreenCells 3 5 2" xfId="849"/>
    <cellStyle name="CustomizationGreenCells 3 6" xfId="850"/>
    <cellStyle name="CustomizationGreenCells 4" xfId="851"/>
    <cellStyle name="DocBox_EmptyRow" xfId="852"/>
    <cellStyle name="Eingabe" xfId="853"/>
    <cellStyle name="Eingabe 2" xfId="854"/>
    <cellStyle name="Eingabe 2 2" xfId="855"/>
    <cellStyle name="Eingabe 3" xfId="856"/>
    <cellStyle name="Eingabe 3 2" xfId="857"/>
    <cellStyle name="Eingabe 3 2 2" xfId="858"/>
    <cellStyle name="Eingabe 3 2 2 2" xfId="859"/>
    <cellStyle name="Eingabe 3 2 3" xfId="860"/>
    <cellStyle name="Eingabe 3 3" xfId="861"/>
    <cellStyle name="Eingabe 3 3 2" xfId="862"/>
    <cellStyle name="Eingabe 3 3 2 2" xfId="863"/>
    <cellStyle name="Eingabe 3 3 3" xfId="864"/>
    <cellStyle name="Eingabe 3 4" xfId="865"/>
    <cellStyle name="Eingabe 3 4 2" xfId="866"/>
    <cellStyle name="Eingabe 3 4 2 2" xfId="867"/>
    <cellStyle name="Eingabe 3 4 3" xfId="868"/>
    <cellStyle name="Eingabe 3 5" xfId="869"/>
    <cellStyle name="Eingabe 3 5 2" xfId="870"/>
    <cellStyle name="Eingabe 3 6" xfId="871"/>
    <cellStyle name="Eingabe 4" xfId="872"/>
    <cellStyle name="Eingabe 4 2" xfId="873"/>
    <cellStyle name="Eingabe 4 2 2" xfId="874"/>
    <cellStyle name="Eingabe 4 2 2 2" xfId="875"/>
    <cellStyle name="Eingabe 4 2 3" xfId="876"/>
    <cellStyle name="Eingabe 4 3" xfId="877"/>
    <cellStyle name="Eingabe 4 3 2" xfId="878"/>
    <cellStyle name="Eingabe 4 3 2 2" xfId="879"/>
    <cellStyle name="Eingabe 4 3 3" xfId="880"/>
    <cellStyle name="Eingabe 4 4" xfId="881"/>
    <cellStyle name="Eingabe 4 4 2" xfId="882"/>
    <cellStyle name="Eingabe 4 4 2 2" xfId="883"/>
    <cellStyle name="Eingabe 4 4 3" xfId="884"/>
    <cellStyle name="Eingabe 4 5" xfId="885"/>
    <cellStyle name="Eingabe 4 5 2" xfId="886"/>
    <cellStyle name="Eingabe 4 6" xfId="887"/>
    <cellStyle name="Eingabe 5" xfId="888"/>
    <cellStyle name="Eingabe 5 2" xfId="889"/>
    <cellStyle name="Eingabe 5 2 2" xfId="890"/>
    <cellStyle name="Eingabe 5 3" xfId="891"/>
    <cellStyle name="Eingabe 6" xfId="892"/>
    <cellStyle name="Eingabe 6 2" xfId="893"/>
    <cellStyle name="Eingabe 6 2 2" xfId="894"/>
    <cellStyle name="Eingabe 6 3" xfId="895"/>
    <cellStyle name="Eingabe 7" xfId="896"/>
    <cellStyle name="Eingabe 7 2" xfId="897"/>
    <cellStyle name="Eingabe 7 2 2" xfId="898"/>
    <cellStyle name="Eingabe 7 3" xfId="899"/>
    <cellStyle name="Eingabe 8" xfId="900"/>
    <cellStyle name="Eingabe 8 2" xfId="901"/>
    <cellStyle name="Eingabe 9" xfId="902"/>
    <cellStyle name="Empty_B_border" xfId="903"/>
    <cellStyle name="Ergebnis 2" xfId="904"/>
    <cellStyle name="Ergebnis 2 2" xfId="905"/>
    <cellStyle name="Ergebnis 2 2 2" xfId="906"/>
    <cellStyle name="Ergebnis 2 2 2 2" xfId="907"/>
    <cellStyle name="Ergebnis 2 2 3" xfId="908"/>
    <cellStyle name="Ergebnis 2 3" xfId="909"/>
    <cellStyle name="Ergebnis 2 3 2" xfId="910"/>
    <cellStyle name="Ergebnis 2 3 2 2" xfId="911"/>
    <cellStyle name="Ergebnis 2 3 3" xfId="912"/>
    <cellStyle name="Ergebnis 2 4" xfId="913"/>
    <cellStyle name="Ergebnis 2 4 2" xfId="914"/>
    <cellStyle name="Ergebnis 2 4 2 2" xfId="915"/>
    <cellStyle name="Ergebnis 2 4 3" xfId="916"/>
    <cellStyle name="Ergebnis 2 5" xfId="917"/>
    <cellStyle name="Ergebnis 2 5 2" xfId="918"/>
    <cellStyle name="Ergebnis 2 6" xfId="919"/>
    <cellStyle name="Ergebnis 3" xfId="920"/>
    <cellStyle name="Ergebnis 3 2" xfId="921"/>
    <cellStyle name="Ergebnis 3 2 2" xfId="922"/>
    <cellStyle name="Ergebnis 3 2 2 2" xfId="923"/>
    <cellStyle name="Ergebnis 3 2 3" xfId="924"/>
    <cellStyle name="Ergebnis 3 3" xfId="925"/>
    <cellStyle name="Ergebnis 3 3 2" xfId="926"/>
    <cellStyle name="Ergebnis 3 3 2 2" xfId="927"/>
    <cellStyle name="Ergebnis 3 3 3" xfId="928"/>
    <cellStyle name="Ergebnis 3 4" xfId="929"/>
    <cellStyle name="Ergebnis 3 4 2" xfId="930"/>
    <cellStyle name="Ergebnis 3 4 2 2" xfId="931"/>
    <cellStyle name="Ergebnis 3 4 3" xfId="932"/>
    <cellStyle name="Ergebnis 3 5" xfId="933"/>
    <cellStyle name="Ergebnis 3 5 2" xfId="934"/>
    <cellStyle name="Ergebnis 3 6" xfId="935"/>
    <cellStyle name="Ergebnis 4" xfId="936"/>
    <cellStyle name="Ergebnis 4 2" xfId="937"/>
    <cellStyle name="Ergebnis 4 2 2" xfId="938"/>
    <cellStyle name="Ergebnis 4 3" xfId="939"/>
    <cellStyle name="Ergebnis 5" xfId="940"/>
    <cellStyle name="Ergebnis 5 2" xfId="941"/>
    <cellStyle name="Ergebnis 5 2 2" xfId="942"/>
    <cellStyle name="Ergebnis 5 3" xfId="943"/>
    <cellStyle name="Ergebnis 6" xfId="944"/>
    <cellStyle name="Ergebnis 6 2" xfId="945"/>
    <cellStyle name="Ergebnis 6 2 2" xfId="946"/>
    <cellStyle name="Ergebnis 6 3" xfId="947"/>
    <cellStyle name="Ergebnis 7" xfId="948"/>
    <cellStyle name="Ergebnis 7 2" xfId="949"/>
    <cellStyle name="Erklärender Text 2" xfId="950"/>
    <cellStyle name="Erklärender Text 2 2" xfId="951"/>
    <cellStyle name="Erklärender Text 3" xfId="952"/>
    <cellStyle name="Erklärender Text 3 2" xfId="953"/>
    <cellStyle name="Error 1" xfId="954"/>
    <cellStyle name="Error 1 2" xfId="955"/>
    <cellStyle name="Error 10" xfId="956"/>
    <cellStyle name="Explanatory Text 2" xfId="957"/>
    <cellStyle name="Explanatory Text 2 2" xfId="958"/>
    <cellStyle name="Explanatory Text 3" xfId="959"/>
    <cellStyle name="Explanatory Text 3 2" xfId="960"/>
    <cellStyle name="Footnote 1" xfId="961"/>
    <cellStyle name="Footnote 1 2" xfId="962"/>
    <cellStyle name="Footnote 11" xfId="963"/>
    <cellStyle name="Good 1" xfId="964"/>
    <cellStyle name="Good 1 2" xfId="965"/>
    <cellStyle name="Good 12" xfId="966"/>
    <cellStyle name="Good 2" xfId="967"/>
    <cellStyle name="Good 2 2" xfId="968"/>
    <cellStyle name="Good 3" xfId="969"/>
    <cellStyle name="Good 3 2" xfId="970"/>
    <cellStyle name="Good 4" xfId="971"/>
    <cellStyle name="Good 4 2" xfId="972"/>
    <cellStyle name="Gut" xfId="973"/>
    <cellStyle name="Gut 2" xfId="974"/>
    <cellStyle name="Heading 1 1" xfId="975"/>
    <cellStyle name="Heading 1 1 2" xfId="976"/>
    <cellStyle name="Heading 1 13" xfId="977"/>
    <cellStyle name="Heading 1 2" xfId="978"/>
    <cellStyle name="Heading 1 2 2" xfId="979"/>
    <cellStyle name="Heading 1 3" xfId="980"/>
    <cellStyle name="Heading 1 3 2" xfId="981"/>
    <cellStyle name="Heading 1 4" xfId="982"/>
    <cellStyle name="Heading 1 4 2" xfId="983"/>
    <cellStyle name="Heading 2 1" xfId="984"/>
    <cellStyle name="Heading 2 1 2" xfId="985"/>
    <cellStyle name="Heading 2 14" xfId="986"/>
    <cellStyle name="Heading 2 2" xfId="987"/>
    <cellStyle name="Heading 2 2 2" xfId="988"/>
    <cellStyle name="Heading 2 3" xfId="989"/>
    <cellStyle name="Heading 2 3 2" xfId="990"/>
    <cellStyle name="Heading 2 4" xfId="991"/>
    <cellStyle name="Heading 2 4 2" xfId="992"/>
    <cellStyle name="Heading 3" xfId="993"/>
    <cellStyle name="Heading 3 2" xfId="994"/>
    <cellStyle name="Heading 3 2 2" xfId="995"/>
    <cellStyle name="Heading 3 3" xfId="996"/>
    <cellStyle name="Heading 3 3 2" xfId="997"/>
    <cellStyle name="Heading 3 4" xfId="998"/>
    <cellStyle name="Heading 3 4 2" xfId="999"/>
    <cellStyle name="Heading 3 5" xfId="1000"/>
    <cellStyle name="Heading 4 2" xfId="1001"/>
    <cellStyle name="Heading 4 2 2" xfId="1002"/>
    <cellStyle name="Heading 4 3" xfId="1003"/>
    <cellStyle name="Heading 4 3 2" xfId="1004"/>
    <cellStyle name="Heading 4 4" xfId="1005"/>
    <cellStyle name="Heading 4 4 2" xfId="1006"/>
    <cellStyle name="Headline" xfId="1007"/>
    <cellStyle name="Headline 2" xfId="1008"/>
    <cellStyle name="Hyperlink 1" xfId="1009"/>
    <cellStyle name="Hyperlink 1 2" xfId="1010"/>
    <cellStyle name="Hyperlink 15" xfId="1011"/>
    <cellStyle name="Input 2" xfId="1012"/>
    <cellStyle name="Input 2 2" xfId="1013"/>
    <cellStyle name="Input 2 2 2" xfId="1014"/>
    <cellStyle name="Input 2 2 2 2" xfId="1015"/>
    <cellStyle name="Input 2 2 3" xfId="1016"/>
    <cellStyle name="Input 2 3" xfId="1017"/>
    <cellStyle name="Input 2 3 2" xfId="1018"/>
    <cellStyle name="Input 2 3 2 2" xfId="1019"/>
    <cellStyle name="Input 2 3 3" xfId="1020"/>
    <cellStyle name="Input 2 4" xfId="1021"/>
    <cellStyle name="Input 2 4 2" xfId="1022"/>
    <cellStyle name="Input 2 4 2 2" xfId="1023"/>
    <cellStyle name="Input 2 4 3" xfId="1024"/>
    <cellStyle name="Input 2 5" xfId="1025"/>
    <cellStyle name="Input 2 5 2" xfId="1026"/>
    <cellStyle name="Input 2 6" xfId="1027"/>
    <cellStyle name="Input 3" xfId="1028"/>
    <cellStyle name="Input 3 2" xfId="1029"/>
    <cellStyle name="Input 3 2 2" xfId="1030"/>
    <cellStyle name="Input 3 2 2 2" xfId="1031"/>
    <cellStyle name="Input 3 2 3" xfId="1032"/>
    <cellStyle name="Input 3 3" xfId="1033"/>
    <cellStyle name="Input 3 3 2" xfId="1034"/>
    <cellStyle name="Input 3 3 2 2" xfId="1035"/>
    <cellStyle name="Input 3 3 3" xfId="1036"/>
    <cellStyle name="Input 3 4" xfId="1037"/>
    <cellStyle name="Input 3 4 2" xfId="1038"/>
    <cellStyle name="Input 3 4 2 2" xfId="1039"/>
    <cellStyle name="Input 3 4 3" xfId="1040"/>
    <cellStyle name="Input 3 5" xfId="1041"/>
    <cellStyle name="Input 3 5 2" xfId="1042"/>
    <cellStyle name="Input 3 6" xfId="1043"/>
    <cellStyle name="Input 4" xfId="1044"/>
    <cellStyle name="Input 4 2" xfId="1045"/>
    <cellStyle name="InputCells" xfId="1046"/>
    <cellStyle name="InputCells 2" xfId="1047"/>
    <cellStyle name="InputCells 2 2" xfId="1048"/>
    <cellStyle name="InputCells 3" xfId="1049"/>
    <cellStyle name="InputCells 3 2" xfId="1050"/>
    <cellStyle name="InputCells 4" xfId="1051"/>
    <cellStyle name="InputCells 4 2" xfId="1052"/>
    <cellStyle name="InputCells 5" xfId="1053"/>
    <cellStyle name="InputCells12" xfId="1054"/>
    <cellStyle name="InputCells12 2" xfId="1055"/>
    <cellStyle name="InputCells12 2 2" xfId="1056"/>
    <cellStyle name="InputCells12 2 2 2" xfId="1057"/>
    <cellStyle name="InputCells12 2 2 2 2" xfId="1058"/>
    <cellStyle name="InputCells12 2 2 2 2 2" xfId="1059"/>
    <cellStyle name="InputCells12 2 2 2 3" xfId="1060"/>
    <cellStyle name="InputCells12 2 2 3" xfId="1061"/>
    <cellStyle name="InputCells12 2 2 3 2" xfId="1062"/>
    <cellStyle name="InputCells12 2 2 4" xfId="1063"/>
    <cellStyle name="InputCells12 2 3" xfId="1064"/>
    <cellStyle name="InputCells12 2 3 2" xfId="1065"/>
    <cellStyle name="InputCells12 2 3 2 2" xfId="1066"/>
    <cellStyle name="InputCells12 2 3 2 2 2" xfId="1067"/>
    <cellStyle name="InputCells12 2 3 2 3" xfId="1068"/>
    <cellStyle name="InputCells12 2 3 3" xfId="1069"/>
    <cellStyle name="InputCells12 2 3 3 2" xfId="1070"/>
    <cellStyle name="InputCells12 2 3 3 2 2" xfId="1071"/>
    <cellStyle name="InputCells12 2 3 3 3" xfId="1072"/>
    <cellStyle name="InputCells12 2 3 4" xfId="1073"/>
    <cellStyle name="InputCells12 2 3 4 2" xfId="1074"/>
    <cellStyle name="InputCells12 2 3 4 2 2" xfId="1075"/>
    <cellStyle name="InputCells12 2 3 4 3" xfId="1076"/>
    <cellStyle name="InputCells12 2 3 5" xfId="1077"/>
    <cellStyle name="InputCells12 2 4" xfId="1078"/>
    <cellStyle name="InputCells12 3" xfId="1079"/>
    <cellStyle name="InputCells12 3 2" xfId="1080"/>
    <cellStyle name="InputCells12 3 2 2" xfId="1081"/>
    <cellStyle name="InputCells12 3 2 2 2" xfId="1082"/>
    <cellStyle name="InputCells12 3 2 3" xfId="1083"/>
    <cellStyle name="InputCells12 3 3" xfId="1084"/>
    <cellStyle name="InputCells12 3 3 2" xfId="1085"/>
    <cellStyle name="InputCells12 3 4" xfId="1086"/>
    <cellStyle name="InputCells12 4" xfId="1087"/>
    <cellStyle name="InputCells12 4 2" xfId="1088"/>
    <cellStyle name="InputCells12 4 2 2" xfId="1089"/>
    <cellStyle name="InputCells12 4 2 2 2" xfId="1090"/>
    <cellStyle name="InputCells12 4 2 3" xfId="1091"/>
    <cellStyle name="InputCells12 4 3" xfId="1092"/>
    <cellStyle name="InputCells12 4 3 2" xfId="1093"/>
    <cellStyle name="InputCells12 4 3 2 2" xfId="1094"/>
    <cellStyle name="InputCells12 4 3 3" xfId="1095"/>
    <cellStyle name="InputCells12 4 4" xfId="1096"/>
    <cellStyle name="InputCells12 4 4 2" xfId="1097"/>
    <cellStyle name="InputCells12 4 4 2 2" xfId="1098"/>
    <cellStyle name="InputCells12 4 4 3" xfId="1099"/>
    <cellStyle name="InputCells12 4 5" xfId="1100"/>
    <cellStyle name="InputCells12 5" xfId="1101"/>
    <cellStyle name="InputCells12 5 2" xfId="1102"/>
    <cellStyle name="InputCells12 6" xfId="1103"/>
    <cellStyle name="InputCells12_BBorder" xfId="1104"/>
    <cellStyle name="InputCells_Bborder_1" xfId="1105"/>
    <cellStyle name="IntCells" xfId="1106"/>
    <cellStyle name="IntCells 2" xfId="1107"/>
    <cellStyle name="KP_thin_border_dark_grey" xfId="1108"/>
    <cellStyle name="Linked Cell 2" xfId="1109"/>
    <cellStyle name="Linked Cell 2 2" xfId="1110"/>
    <cellStyle name="Linked Cell 3" xfId="1111"/>
    <cellStyle name="Linked Cell 3 2" xfId="1112"/>
    <cellStyle name="Linked Cell 4" xfId="1113"/>
    <cellStyle name="Linked Cell 4 2" xfId="1114"/>
    <cellStyle name="Milliers 2" xfId="1115"/>
    <cellStyle name="Milliers 2 2" xfId="1116"/>
    <cellStyle name="Milliers 3" xfId="1117"/>
    <cellStyle name="Neutral 1" xfId="1118"/>
    <cellStyle name="Neutral 1 2" xfId="1119"/>
    <cellStyle name="Neutral 16" xfId="1120"/>
    <cellStyle name="Neutral 2" xfId="1121"/>
    <cellStyle name="Neutral 2 2" xfId="1122"/>
    <cellStyle name="Neutral 3" xfId="1123"/>
    <cellStyle name="Neutral 3 2" xfId="1124"/>
    <cellStyle name="Normaali 2" xfId="1125"/>
    <cellStyle name="Normaali 2 2" xfId="1126"/>
    <cellStyle name="Normaali 2 2 2" xfId="1127"/>
    <cellStyle name="Normaali 2 3" xfId="1128"/>
    <cellStyle name="Normal 10" xfId="1129"/>
    <cellStyle name="Normal 10 2" xfId="1130"/>
    <cellStyle name="Normal 10 2 2" xfId="1131"/>
    <cellStyle name="Normal 10 3" xfId="1132"/>
    <cellStyle name="Normal 11" xfId="1133"/>
    <cellStyle name="Normal 11 2" xfId="1134"/>
    <cellStyle name="Normal 11 2 2" xfId="1135"/>
    <cellStyle name="Normal 11 3" xfId="1136"/>
    <cellStyle name="Normal 12" xfId="1137"/>
    <cellStyle name="Normal 12 2" xfId="1138"/>
    <cellStyle name="Normal 12 2 2" xfId="1139"/>
    <cellStyle name="Normal 12 3" xfId="1140"/>
    <cellStyle name="Normal 13" xfId="1141"/>
    <cellStyle name="Normal 2" xfId="1142"/>
    <cellStyle name="Normal 2 2" xfId="1143"/>
    <cellStyle name="Normal 2 2 2" xfId="1144"/>
    <cellStyle name="Normal 2 2 2 2" xfId="1145"/>
    <cellStyle name="Normal 2 2 3" xfId="1146"/>
    <cellStyle name="Normal 2 3" xfId="1147"/>
    <cellStyle name="Normal 2 3 2" xfId="1148"/>
    <cellStyle name="Normal 2 3 2 2" xfId="1149"/>
    <cellStyle name="Normal 2 3 3" xfId="1150"/>
    <cellStyle name="Normal 2 4" xfId="1151"/>
    <cellStyle name="Normal 2 4 2" xfId="1152"/>
    <cellStyle name="Normal 2 5" xfId="1153"/>
    <cellStyle name="Normal 3" xfId="1154"/>
    <cellStyle name="Normal 3 2" xfId="1155"/>
    <cellStyle name="Normal 3 2 2" xfId="1156"/>
    <cellStyle name="Normal 3 2 2 2" xfId="1157"/>
    <cellStyle name="Normal 3 2 3" xfId="1158"/>
    <cellStyle name="Normal 3 3" xfId="1159"/>
    <cellStyle name="Normal 3 3 2" xfId="1160"/>
    <cellStyle name="Normal 3 4" xfId="1161"/>
    <cellStyle name="Normal 3 4 2" xfId="1162"/>
    <cellStyle name="Normal 3 5" xfId="1163"/>
    <cellStyle name="Normal 4" xfId="1164"/>
    <cellStyle name="Normal 4 2" xfId="1165"/>
    <cellStyle name="Normal 4 2 2" xfId="1166"/>
    <cellStyle name="Normal 4 2 2 2" xfId="1167"/>
    <cellStyle name="Normal 4 2 3" xfId="1168"/>
    <cellStyle name="Normal 4 2 3 2" xfId="1169"/>
    <cellStyle name="Normal 4 2 4" xfId="1170"/>
    <cellStyle name="Normal 4 3" xfId="1171"/>
    <cellStyle name="Normal 4 3 2" xfId="1172"/>
    <cellStyle name="Normal 4 3 2 2" xfId="1173"/>
    <cellStyle name="Normal 4 3 3" xfId="1174"/>
    <cellStyle name="Normal 4 4" xfId="1175"/>
    <cellStyle name="Normal 5" xfId="1176"/>
    <cellStyle name="Normal 5 2" xfId="1177"/>
    <cellStyle name="Normal 5 2 2" xfId="1178"/>
    <cellStyle name="Normal 5 2 2 2" xfId="1179"/>
    <cellStyle name="Normal 5 2 2 2 2" xfId="1180"/>
    <cellStyle name="Normal 5 2 2 2 2 2" xfId="1181"/>
    <cellStyle name="Normal 5 2 2 2 2 2 2" xfId="1182"/>
    <cellStyle name="Normal 5 2 2 2 2 3" xfId="1183"/>
    <cellStyle name="Normal 5 2 2 2 3" xfId="1184"/>
    <cellStyle name="Normal 5 2 2 2 3 2" xfId="1185"/>
    <cellStyle name="Normal 5 2 2 2 4" xfId="1186"/>
    <cellStyle name="Normal 5 2 2 3" xfId="1187"/>
    <cellStyle name="Normal 5 2 2 3 2" xfId="1188"/>
    <cellStyle name="Normal 5 2 2 3 2 2" xfId="1189"/>
    <cellStyle name="Normal 5 2 2 3 3" xfId="1190"/>
    <cellStyle name="Normal 5 2 2 4" xfId="1191"/>
    <cellStyle name="Normal 5 2 2 4 2" xfId="1192"/>
    <cellStyle name="Normal 5 2 2 5" xfId="1193"/>
    <cellStyle name="Normal 5 2 3" xfId="1194"/>
    <cellStyle name="Normal 5 2 3 2" xfId="1195"/>
    <cellStyle name="Normal 5 2 3 2 2" xfId="1196"/>
    <cellStyle name="Normal 5 2 3 2 2 2" xfId="1197"/>
    <cellStyle name="Normal 5 2 3 2 3" xfId="1198"/>
    <cellStyle name="Normal 5 2 3 3" xfId="1199"/>
    <cellStyle name="Normal 5 2 3 3 2" xfId="1200"/>
    <cellStyle name="Normal 5 2 3 4" xfId="1201"/>
    <cellStyle name="Normal 5 2 4" xfId="1202"/>
    <cellStyle name="Normal 5 2 4 2" xfId="1203"/>
    <cellStyle name="Normal 5 2 4 2 2" xfId="1204"/>
    <cellStyle name="Normal 5 2 4 3" xfId="1205"/>
    <cellStyle name="Normal 5 2 5" xfId="1206"/>
    <cellStyle name="Normal 5 2 5 2" xfId="1207"/>
    <cellStyle name="Normal 5 2 5 2 2" xfId="1208"/>
    <cellStyle name="Normal 5 2 5 3" xfId="1209"/>
    <cellStyle name="Normal 5 2 6" xfId="1210"/>
    <cellStyle name="Normal 5 2 6 2" xfId="1211"/>
    <cellStyle name="Normal 5 2 7" xfId="1212"/>
    <cellStyle name="Normal 5 3" xfId="1213"/>
    <cellStyle name="Normal 5 3 2" xfId="1214"/>
    <cellStyle name="Normal 5 3 2 2" xfId="1215"/>
    <cellStyle name="Normal 5 3 2 2 2" xfId="1216"/>
    <cellStyle name="Normal 5 3 2 2 2 2" xfId="1217"/>
    <cellStyle name="Normal 5 3 2 2 3" xfId="1218"/>
    <cellStyle name="Normal 5 3 2 3" xfId="1219"/>
    <cellStyle name="Normal 5 3 2 3 2" xfId="1220"/>
    <cellStyle name="Normal 5 3 2 4" xfId="1221"/>
    <cellStyle name="Normal 5 3 3" xfId="1222"/>
    <cellStyle name="Normal 5 3 3 2" xfId="1223"/>
    <cellStyle name="Normal 5 3 3 2 2" xfId="1224"/>
    <cellStyle name="Normal 5 3 3 3" xfId="1225"/>
    <cellStyle name="Normal 5 3 4" xfId="1226"/>
    <cellStyle name="Normal 5 3 4 2" xfId="1227"/>
    <cellStyle name="Normal 5 3 5" xfId="1228"/>
    <cellStyle name="Normal 5 4" xfId="1229"/>
    <cellStyle name="Normal 5 4 2" xfId="1230"/>
    <cellStyle name="Normal 5 4 2 2" xfId="1231"/>
    <cellStyle name="Normal 5 4 2 2 2" xfId="1232"/>
    <cellStyle name="Normal 5 4 2 3" xfId="1233"/>
    <cellStyle name="Normal 5 4 3" xfId="1234"/>
    <cellStyle name="Normal 5 4 3 2" xfId="1235"/>
    <cellStyle name="Normal 5 4 4" xfId="1236"/>
    <cellStyle name="Normal 5 5" xfId="1237"/>
    <cellStyle name="Normal 5 5 2" xfId="1238"/>
    <cellStyle name="Normal 5 5 2 2" xfId="1239"/>
    <cellStyle name="Normal 5 5 3" xfId="1240"/>
    <cellStyle name="Normal 5 6" xfId="1241"/>
    <cellStyle name="Normal 5 6 2" xfId="1242"/>
    <cellStyle name="Normal 5 7" xfId="1243"/>
    <cellStyle name="Normal 5 7 2" xfId="1244"/>
    <cellStyle name="Normal 5 8" xfId="1245"/>
    <cellStyle name="Normal 5 8 2" xfId="1246"/>
    <cellStyle name="Normal 5 9" xfId="1247"/>
    <cellStyle name="Normal 6" xfId="1248"/>
    <cellStyle name="Normal 6 10" xfId="1249"/>
    <cellStyle name="Normal 6 10 2" xfId="1250"/>
    <cellStyle name="Normal 6 10 2 2" xfId="1251"/>
    <cellStyle name="Normal 6 10 3" xfId="1252"/>
    <cellStyle name="Normal 6 11" xfId="1253"/>
    <cellStyle name="Normal 6 11 2" xfId="1254"/>
    <cellStyle name="Normal 6 12" xfId="1255"/>
    <cellStyle name="Normal 6 2" xfId="1256"/>
    <cellStyle name="Normal 6 2 2" xfId="1257"/>
    <cellStyle name="Normal 6 2 2 2" xfId="1258"/>
    <cellStyle name="Normal 6 2 2 2 2" xfId="1259"/>
    <cellStyle name="Normal 6 2 2 2 2 2" xfId="1260"/>
    <cellStyle name="Normal 6 2 2 2 2 2 2" xfId="1261"/>
    <cellStyle name="Normal 6 2 2 2 2 3" xfId="1262"/>
    <cellStyle name="Normal 6 2 2 2 3" xfId="1263"/>
    <cellStyle name="Normal 6 2 2 2 3 2" xfId="1264"/>
    <cellStyle name="Normal 6 2 2 2 4" xfId="1265"/>
    <cellStyle name="Normal 6 2 2 3" xfId="1266"/>
    <cellStyle name="Normal 6 2 2 3 2" xfId="1267"/>
    <cellStyle name="Normal 6 2 2 3 2 2" xfId="1268"/>
    <cellStyle name="Normal 6 2 2 3 3" xfId="1269"/>
    <cellStyle name="Normal 6 2 2 4" xfId="1270"/>
    <cellStyle name="Normal 6 2 2 4 2" xfId="1271"/>
    <cellStyle name="Normal 6 2 2 5" xfId="1272"/>
    <cellStyle name="Normal 6 2 3" xfId="1273"/>
    <cellStyle name="Normal 6 2 3 2" xfId="1274"/>
    <cellStyle name="Normal 6 2 3 2 2" xfId="1275"/>
    <cellStyle name="Normal 6 2 3 2 2 2" xfId="1276"/>
    <cellStyle name="Normal 6 2 3 2 3" xfId="1277"/>
    <cellStyle name="Normal 6 2 3 3" xfId="1278"/>
    <cellStyle name="Normal 6 2 3 3 2" xfId="1279"/>
    <cellStyle name="Normal 6 2 3 4" xfId="1280"/>
    <cellStyle name="Normal 6 2 4" xfId="1281"/>
    <cellStyle name="Normal 6 2 4 2" xfId="1282"/>
    <cellStyle name="Normal 6 2 4 2 2" xfId="1283"/>
    <cellStyle name="Normal 6 2 4 3" xfId="1284"/>
    <cellStyle name="Normal 6 2 5" xfId="1285"/>
    <cellStyle name="Normal 6 2 5 2" xfId="1286"/>
    <cellStyle name="Normal 6 2 5 2 2" xfId="1287"/>
    <cellStyle name="Normal 6 2 5 3" xfId="1288"/>
    <cellStyle name="Normal 6 2 6" xfId="1289"/>
    <cellStyle name="Normal 6 2 6 2" xfId="1290"/>
    <cellStyle name="Normal 6 2 7" xfId="1291"/>
    <cellStyle name="Normal 6 3" xfId="1292"/>
    <cellStyle name="Normal 6 3 2" xfId="1293"/>
    <cellStyle name="Normal 6 3 2 2" xfId="1294"/>
    <cellStyle name="Normal 6 3 2 2 2" xfId="1295"/>
    <cellStyle name="Normal 6 3 2 2 2 2" xfId="1296"/>
    <cellStyle name="Normal 6 3 2 2 2 2 2" xfId="1297"/>
    <cellStyle name="Normal 6 3 2 2 2 3" xfId="1298"/>
    <cellStyle name="Normal 6 3 2 2 3" xfId="1299"/>
    <cellStyle name="Normal 6 3 2 2 3 2" xfId="1300"/>
    <cellStyle name="Normal 6 3 2 2 4" xfId="1301"/>
    <cellStyle name="Normal 6 3 2 3" xfId="1302"/>
    <cellStyle name="Normal 6 3 2 3 2" xfId="1303"/>
    <cellStyle name="Normal 6 3 2 3 2 2" xfId="1304"/>
    <cellStyle name="Normal 6 3 2 3 3" xfId="1305"/>
    <cellStyle name="Normal 6 3 2 4" xfId="1306"/>
    <cellStyle name="Normal 6 3 2 4 2" xfId="1307"/>
    <cellStyle name="Normal 6 3 2 5" xfId="1308"/>
    <cellStyle name="Normal 6 3 3" xfId="1309"/>
    <cellStyle name="Normal 6 3 3 2" xfId="1310"/>
    <cellStyle name="Normal 6 3 3 2 2" xfId="1311"/>
    <cellStyle name="Normal 6 3 3 2 2 2" xfId="1312"/>
    <cellStyle name="Normal 6 3 3 2 3" xfId="1313"/>
    <cellStyle name="Normal 6 3 3 3" xfId="1314"/>
    <cellStyle name="Normal 6 3 3 3 2" xfId="1315"/>
    <cellStyle name="Normal 6 3 3 4" xfId="1316"/>
    <cellStyle name="Normal 6 3 4" xfId="1317"/>
    <cellStyle name="Normal 6 3 4 2" xfId="1318"/>
    <cellStyle name="Normal 6 3 4 2 2" xfId="1319"/>
    <cellStyle name="Normal 6 3 4 3" xfId="1320"/>
    <cellStyle name="Normal 6 3 5" xfId="1321"/>
    <cellStyle name="Normal 6 3 5 2" xfId="1322"/>
    <cellStyle name="Normal 6 3 6" xfId="1323"/>
    <cellStyle name="Normal 6 4" xfId="1324"/>
    <cellStyle name="Normal 6 4 2" xfId="1325"/>
    <cellStyle name="Normal 6 4 2 2" xfId="1326"/>
    <cellStyle name="Normal 6 4 2 2 2" xfId="1327"/>
    <cellStyle name="Normal 6 4 2 2 2 2" xfId="1328"/>
    <cellStyle name="Normal 6 4 2 2 3" xfId="1329"/>
    <cellStyle name="Normal 6 4 2 3" xfId="1330"/>
    <cellStyle name="Normal 6 4 2 3 2" xfId="1331"/>
    <cellStyle name="Normal 6 4 2 4" xfId="1332"/>
    <cellStyle name="Normal 6 4 3" xfId="1333"/>
    <cellStyle name="Normal 6 4 3 2" xfId="1334"/>
    <cellStyle name="Normal 6 4 3 2 2" xfId="1335"/>
    <cellStyle name="Normal 6 4 3 3" xfId="1336"/>
    <cellStyle name="Normal 6 4 4" xfId="1337"/>
    <cellStyle name="Normal 6 4 4 2" xfId="1338"/>
    <cellStyle name="Normal 6 4 5" xfId="1339"/>
    <cellStyle name="Normal 6 5" xfId="1340"/>
    <cellStyle name="Normal 6 5 2" xfId="1341"/>
    <cellStyle name="Normal 6 5 2 2" xfId="1342"/>
    <cellStyle name="Normal 6 5 2 2 2" xfId="1343"/>
    <cellStyle name="Normal 6 5 2 3" xfId="1344"/>
    <cellStyle name="Normal 6 5 3" xfId="1345"/>
    <cellStyle name="Normal 6 5 3 2" xfId="1346"/>
    <cellStyle name="Normal 6 5 4" xfId="1347"/>
    <cellStyle name="Normal 6 6" xfId="1348"/>
    <cellStyle name="Normal 6 6 2" xfId="1349"/>
    <cellStyle name="Normal 6 6 2 2" xfId="1350"/>
    <cellStyle name="Normal 6 6 3" xfId="1351"/>
    <cellStyle name="Normal 6 7" xfId="1352"/>
    <cellStyle name="Normal 6 7 2" xfId="1353"/>
    <cellStyle name="Normal 6 7 2 2" xfId="1354"/>
    <cellStyle name="Normal 6 7 3" xfId="1355"/>
    <cellStyle name="Normal 6 8" xfId="1356"/>
    <cellStyle name="Normal 6 8 2" xfId="1357"/>
    <cellStyle name="Normal 6 8 2 2" xfId="1358"/>
    <cellStyle name="Normal 6 8 3" xfId="1359"/>
    <cellStyle name="Normal 6 9" xfId="1360"/>
    <cellStyle name="Normal 6 9 2" xfId="1361"/>
    <cellStyle name="Normal 6 9 2 2" xfId="1362"/>
    <cellStyle name="Normal 6 9 3" xfId="1363"/>
    <cellStyle name="Normal 7" xfId="1364"/>
    <cellStyle name="Normal 7 2" xfId="1365"/>
    <cellStyle name="Normal 7 2 2" xfId="1366"/>
    <cellStyle name="Normal 7 2 2 2" xfId="1367"/>
    <cellStyle name="Normal 7 2 2 2 2" xfId="1368"/>
    <cellStyle name="Normal 7 2 2 2 2 2" xfId="1369"/>
    <cellStyle name="Normal 7 2 2 2 2 2 2" xfId="1370"/>
    <cellStyle name="Normal 7 2 2 2 2 3" xfId="1371"/>
    <cellStyle name="Normal 7 2 2 2 3" xfId="1372"/>
    <cellStyle name="Normal 7 2 2 2 3 2" xfId="1373"/>
    <cellStyle name="Normal 7 2 2 2 4" xfId="1374"/>
    <cellStyle name="Normal 7 2 2 3" xfId="1375"/>
    <cellStyle name="Normal 7 2 2 3 2" xfId="1376"/>
    <cellStyle name="Normal 7 2 2 3 2 2" xfId="1377"/>
    <cellStyle name="Normal 7 2 2 3 3" xfId="1378"/>
    <cellStyle name="Normal 7 2 2 4" xfId="1379"/>
    <cellStyle name="Normal 7 2 2 4 2" xfId="1380"/>
    <cellStyle name="Normal 7 2 2 5" xfId="1381"/>
    <cellStyle name="Normal 7 2 3" xfId="1382"/>
    <cellStyle name="Normal 7 2 3 2" xfId="1383"/>
    <cellStyle name="Normal 7 2 3 2 2" xfId="1384"/>
    <cellStyle name="Normal 7 2 3 2 2 2" xfId="1385"/>
    <cellStyle name="Normal 7 2 3 2 3" xfId="1386"/>
    <cellStyle name="Normal 7 2 3 3" xfId="1387"/>
    <cellStyle name="Normal 7 2 3 3 2" xfId="1388"/>
    <cellStyle name="Normal 7 2 3 4" xfId="1389"/>
    <cellStyle name="Normal 7 2 4" xfId="1390"/>
    <cellStyle name="Normal 7 2 4 2" xfId="1391"/>
    <cellStyle name="Normal 7 2 4 2 2" xfId="1392"/>
    <cellStyle name="Normal 7 2 4 3" xfId="1393"/>
    <cellStyle name="Normal 7 2 5" xfId="1394"/>
    <cellStyle name="Normal 7 2 5 2" xfId="1395"/>
    <cellStyle name="Normal 7 2 5 2 2" xfId="1396"/>
    <cellStyle name="Normal 7 2 5 3" xfId="1397"/>
    <cellStyle name="Normal 7 2 6" xfId="1398"/>
    <cellStyle name="Normal 7 2 6 2" xfId="1399"/>
    <cellStyle name="Normal 7 2 7" xfId="1400"/>
    <cellStyle name="Normal 7 3" xfId="1401"/>
    <cellStyle name="Normal 7 3 2" xfId="1402"/>
    <cellStyle name="Normal 7 3 2 2" xfId="1403"/>
    <cellStyle name="Normal 7 3 2 2 2" xfId="1404"/>
    <cellStyle name="Normal 7 3 2 2 2 2" xfId="1405"/>
    <cellStyle name="Normal 7 3 2 2 3" xfId="1406"/>
    <cellStyle name="Normal 7 3 2 3" xfId="1407"/>
    <cellStyle name="Normal 7 3 2 3 2" xfId="1408"/>
    <cellStyle name="Normal 7 3 2 4" xfId="1409"/>
    <cellStyle name="Normal 7 3 3" xfId="1410"/>
    <cellStyle name="Normal 7 3 3 2" xfId="1411"/>
    <cellStyle name="Normal 7 3 3 2 2" xfId="1412"/>
    <cellStyle name="Normal 7 3 3 3" xfId="1413"/>
    <cellStyle name="Normal 7 3 4" xfId="1414"/>
    <cellStyle name="Normal 7 3 4 2" xfId="1415"/>
    <cellStyle name="Normal 7 3 5" xfId="1416"/>
    <cellStyle name="Normal 7 4" xfId="1417"/>
    <cellStyle name="Normal 7 4 2" xfId="1418"/>
    <cellStyle name="Normal 7 4 2 2" xfId="1419"/>
    <cellStyle name="Normal 7 4 2 2 2" xfId="1420"/>
    <cellStyle name="Normal 7 4 2 3" xfId="1421"/>
    <cellStyle name="Normal 7 4 3" xfId="1422"/>
    <cellStyle name="Normal 7 4 3 2" xfId="1423"/>
    <cellStyle name="Normal 7 4 4" xfId="1424"/>
    <cellStyle name="Normal 7 5" xfId="1425"/>
    <cellStyle name="Normal 7 5 2" xfId="1426"/>
    <cellStyle name="Normal 7 5 2 2" xfId="1427"/>
    <cellStyle name="Normal 7 5 3" xfId="1428"/>
    <cellStyle name="Normal 7 6" xfId="1429"/>
    <cellStyle name="Normal 7 6 2" xfId="1430"/>
    <cellStyle name="Normal 7 7" xfId="1431"/>
    <cellStyle name="Normal 7 7 2" xfId="1432"/>
    <cellStyle name="Normal 7 8" xfId="1433"/>
    <cellStyle name="Normal 7 8 2" xfId="1434"/>
    <cellStyle name="Normal 7 9" xfId="1435"/>
    <cellStyle name="Normal 8" xfId="1436"/>
    <cellStyle name="Normal 8 2" xfId="1437"/>
    <cellStyle name="Normal 8 2 2" xfId="1438"/>
    <cellStyle name="Normal 8 3" xfId="1439"/>
    <cellStyle name="Normal 8 3 2" xfId="1440"/>
    <cellStyle name="Normal 8 4" xfId="1441"/>
    <cellStyle name="Normal 9" xfId="1442"/>
    <cellStyle name="Normal 9 2" xfId="1443"/>
    <cellStyle name="Normal 9 2 2" xfId="1444"/>
    <cellStyle name="Normal 9 3" xfId="1445"/>
    <cellStyle name="Normal GHG Numbers (0.00)" xfId="1446"/>
    <cellStyle name="Normal GHG Numbers (0.00) 2" xfId="1447"/>
    <cellStyle name="Normal GHG Numbers (0.00) 2 2" xfId="1448"/>
    <cellStyle name="Normal GHG Numbers (0.00) 3" xfId="1449"/>
    <cellStyle name="Normal GHG Numbers (0.00) 3 2" xfId="1450"/>
    <cellStyle name="Normal GHG Numbers (0.00) 3 2 2" xfId="1451"/>
    <cellStyle name="Normal GHG Numbers (0.00) 3 2 2 2" xfId="1452"/>
    <cellStyle name="Normal GHG Numbers (0.00) 3 2 2 2 2" xfId="1453"/>
    <cellStyle name="Normal GHG Numbers (0.00) 3 2 2 3" xfId="1454"/>
    <cellStyle name="Normal GHG Numbers (0.00) 3 2 3" xfId="1455"/>
    <cellStyle name="Normal GHG Numbers (0.00) 3 2 3 2" xfId="1456"/>
    <cellStyle name="Normal GHG Numbers (0.00) 3 2 4" xfId="1457"/>
    <cellStyle name="Normal GHG Numbers (0.00) 3 3" xfId="1458"/>
    <cellStyle name="Normal GHG Numbers (0.00) 3 3 2" xfId="1459"/>
    <cellStyle name="Normal GHG Numbers (0.00) 3 3 2 2" xfId="1460"/>
    <cellStyle name="Normal GHG Numbers (0.00) 3 3 2 2 2" xfId="1461"/>
    <cellStyle name="Normal GHG Numbers (0.00) 3 3 2 3" xfId="1462"/>
    <cellStyle name="Normal GHG Numbers (0.00) 3 3 3" xfId="1463"/>
    <cellStyle name="Normal GHG Numbers (0.00) 3 3 3 2" xfId="1464"/>
    <cellStyle name="Normal GHG Numbers (0.00) 3 3 3 2 2" xfId="1465"/>
    <cellStyle name="Normal GHG Numbers (0.00) 3 3 3 3" xfId="1466"/>
    <cellStyle name="Normal GHG Numbers (0.00) 3 3 4" xfId="1467"/>
    <cellStyle name="Normal GHG Numbers (0.00) 3 3 4 2" xfId="1468"/>
    <cellStyle name="Normal GHG Numbers (0.00) 3 3 4 2 2" xfId="1469"/>
    <cellStyle name="Normal GHG Numbers (0.00) 3 3 4 3" xfId="1470"/>
    <cellStyle name="Normal GHG Numbers (0.00) 3 3 5" xfId="1471"/>
    <cellStyle name="Normal GHG Numbers (0.00) 3 4" xfId="1472"/>
    <cellStyle name="Normal GHG Numbers (0.00) 3 4 2" xfId="1473"/>
    <cellStyle name="Normal GHG Numbers (0.00) 3 5" xfId="1474"/>
    <cellStyle name="Normal GHG Numbers (0.00) 4" xfId="1475"/>
    <cellStyle name="Normal GHG Textfiels Bold" xfId="1476"/>
    <cellStyle name="Normal GHG Textfiels Bold 2" xfId="1477"/>
    <cellStyle name="Normal GHG Textfiels Bold 2 2" xfId="1478"/>
    <cellStyle name="Normal GHG Textfiels Bold 3" xfId="1479"/>
    <cellStyle name="Normal GHG Textfiels Bold 3 2" xfId="1480"/>
    <cellStyle name="Normal GHG Textfiels Bold 3 2 2" xfId="1481"/>
    <cellStyle name="Normal GHG Textfiels Bold 3 2 2 2" xfId="1482"/>
    <cellStyle name="Normal GHG Textfiels Bold 3 2 2 2 2" xfId="1483"/>
    <cellStyle name="Normal GHG Textfiels Bold 3 2 2 3" xfId="1484"/>
    <cellStyle name="Normal GHG Textfiels Bold 3 2 3" xfId="1485"/>
    <cellStyle name="Normal GHG Textfiels Bold 3 2 3 2" xfId="1486"/>
    <cellStyle name="Normal GHG Textfiels Bold 3 2 4" xfId="1487"/>
    <cellStyle name="Normal GHG Textfiels Bold 3 3" xfId="1488"/>
    <cellStyle name="Normal GHG Textfiels Bold 3 3 2" xfId="1489"/>
    <cellStyle name="Normal GHG Textfiels Bold 3 3 2 2" xfId="1490"/>
    <cellStyle name="Normal GHG Textfiels Bold 3 3 2 2 2" xfId="1491"/>
    <cellStyle name="Normal GHG Textfiels Bold 3 3 2 3" xfId="1492"/>
    <cellStyle name="Normal GHG Textfiels Bold 3 3 3" xfId="1493"/>
    <cellStyle name="Normal GHG Textfiels Bold 3 3 3 2" xfId="1494"/>
    <cellStyle name="Normal GHG Textfiels Bold 3 3 3 2 2" xfId="1495"/>
    <cellStyle name="Normal GHG Textfiels Bold 3 3 3 3" xfId="1496"/>
    <cellStyle name="Normal GHG Textfiels Bold 3 3 4" xfId="1497"/>
    <cellStyle name="Normal GHG Textfiels Bold 3 3 4 2" xfId="1498"/>
    <cellStyle name="Normal GHG Textfiels Bold 3 3 4 2 2" xfId="1499"/>
    <cellStyle name="Normal GHG Textfiels Bold 3 3 4 3" xfId="1500"/>
    <cellStyle name="Normal GHG Textfiels Bold 3 3 5" xfId="1501"/>
    <cellStyle name="Normal GHG Textfiels Bold 3 4" xfId="1502"/>
    <cellStyle name="Normal GHG Textfiels Bold 4" xfId="1503"/>
    <cellStyle name="Normal GHG whole table" xfId="1504"/>
    <cellStyle name="Normal GHG whole table 2" xfId="1505"/>
    <cellStyle name="Normal GHG whole table 2 2" xfId="1506"/>
    <cellStyle name="Normal GHG whole table 2 2 2" xfId="1507"/>
    <cellStyle name="Normal GHG whole table 2 2 2 2" xfId="1508"/>
    <cellStyle name="Normal GHG whole table 2 2 3" xfId="1509"/>
    <cellStyle name="Normal GHG whole table 2 3" xfId="1510"/>
    <cellStyle name="Normal GHG whole table 2 3 2" xfId="1511"/>
    <cellStyle name="Normal GHG whole table 2 4" xfId="1512"/>
    <cellStyle name="Normal GHG whole table 3" xfId="1513"/>
    <cellStyle name="Normal GHG whole table 3 2" xfId="1514"/>
    <cellStyle name="Normal GHG whole table 3 2 2" xfId="1515"/>
    <cellStyle name="Normal GHG whole table 3 2 2 2" xfId="1516"/>
    <cellStyle name="Normal GHG whole table 3 2 3" xfId="1517"/>
    <cellStyle name="Normal GHG whole table 3 3" xfId="1518"/>
    <cellStyle name="Normal GHG whole table 3 3 2" xfId="1519"/>
    <cellStyle name="Normal GHG whole table 3 3 2 2" xfId="1520"/>
    <cellStyle name="Normal GHG whole table 3 3 3" xfId="1521"/>
    <cellStyle name="Normal GHG whole table 3 4" xfId="1522"/>
    <cellStyle name="Normal GHG whole table 3 4 2" xfId="1523"/>
    <cellStyle name="Normal GHG whole table 3 4 2 2" xfId="1524"/>
    <cellStyle name="Normal GHG whole table 3 4 3" xfId="1525"/>
    <cellStyle name="Normal GHG whole table 3 5" xfId="1526"/>
    <cellStyle name="Normal GHG whole table 4" xfId="1527"/>
    <cellStyle name="Normal GHG whole table 4 2" xfId="1528"/>
    <cellStyle name="Normal GHG whole table 5" xfId="1529"/>
    <cellStyle name="Normal GHG-Shade" xfId="1530"/>
    <cellStyle name="Normal GHG-Shade 2" xfId="1531"/>
    <cellStyle name="Normal GHG-Shade 2 2" xfId="1532"/>
    <cellStyle name="Normal GHG-Shade 2 2 2" xfId="1533"/>
    <cellStyle name="Normal GHG-Shade 2 3" xfId="1534"/>
    <cellStyle name="Normal GHG-Shade 2 3 2" xfId="1535"/>
    <cellStyle name="Normal GHG-Shade 2 4" xfId="1536"/>
    <cellStyle name="Normal GHG-Shade 2 4 2" xfId="1537"/>
    <cellStyle name="Normal GHG-Shade 2 5" xfId="1538"/>
    <cellStyle name="Normal GHG-Shade 2 5 2" xfId="1539"/>
    <cellStyle name="Normal GHG-Shade 2 6" xfId="1540"/>
    <cellStyle name="Normal GHG-Shade 3" xfId="1541"/>
    <cellStyle name="Normal GHG-Shade 3 2" xfId="1542"/>
    <cellStyle name="Normal GHG-Shade 3 2 2" xfId="1543"/>
    <cellStyle name="Normal GHG-Shade 3 3" xfId="1544"/>
    <cellStyle name="Normal GHG-Shade 4" xfId="1545"/>
    <cellStyle name="Normal GHG-Shade 4 2" xfId="1546"/>
    <cellStyle name="Normal GHG-Shade 4 2 2" xfId="1547"/>
    <cellStyle name="Normal GHG-Shade 4 3" xfId="1548"/>
    <cellStyle name="Normal GHG-Shade 5" xfId="1549"/>
    <cellStyle name="Normal_restitutions" xfId="1550"/>
    <cellStyle name="Normál_Munka1" xfId="1551"/>
    <cellStyle name="Note 1" xfId="1552"/>
    <cellStyle name="Note 1 2" xfId="1553"/>
    <cellStyle name="Note 17" xfId="1554"/>
    <cellStyle name="Note 2" xfId="1555"/>
    <cellStyle name="Note 2 2" xfId="1556"/>
    <cellStyle name="Note 2 2 2" xfId="0"/>
    <cellStyle name="Note 2 2 2 2" xfId="0"/>
    <cellStyle name="Note 2 2 3" xfId="0"/>
    <cellStyle name="Note 2 3" xfId="0"/>
    <cellStyle name="Note 2 3 2" xfId="0"/>
    <cellStyle name="Note 2 3 2 2" xfId="0"/>
    <cellStyle name="Note 2 3 3" xfId="0"/>
    <cellStyle name="Note 2 4" xfId="0"/>
    <cellStyle name="Note 2 4 2" xfId="0"/>
    <cellStyle name="Note 2 4 2 2" xfId="0"/>
    <cellStyle name="Note 2 4 3" xfId="0"/>
    <cellStyle name="Note 2 5" xfId="0"/>
    <cellStyle name="Note 2 5 2" xfId="0"/>
    <cellStyle name="Note 2 6" xfId="0"/>
    <cellStyle name="Note 3" xfId="0"/>
    <cellStyle name="Note 3 2" xfId="0"/>
    <cellStyle name="Note 3 2 2" xfId="0"/>
    <cellStyle name="Note 3 2 2 2" xfId="0"/>
    <cellStyle name="Note 3 2 3" xfId="0"/>
    <cellStyle name="Note 3 3" xfId="0"/>
    <cellStyle name="Note 3 3 2" xfId="0"/>
    <cellStyle name="Note 3 3 2 2" xfId="0"/>
    <cellStyle name="Note 3 3 3" xfId="0"/>
    <cellStyle name="Note 3 4" xfId="0"/>
    <cellStyle name="Note 3 4 2" xfId="0"/>
    <cellStyle name="Note 3 4 2 2" xfId="0"/>
    <cellStyle name="Note 3 4 3" xfId="0"/>
    <cellStyle name="Note 3 5" xfId="0"/>
    <cellStyle name="Note 3 5 2" xfId="0"/>
    <cellStyle name="Note 3 6" xfId="0"/>
    <cellStyle name="Notiz" xfId="0"/>
    <cellStyle name="Notiz 2" xfId="0"/>
    <cellStyle name="Notiz 2 2" xfId="0"/>
    <cellStyle name="Notiz 2 2 2" xfId="0"/>
    <cellStyle name="Notiz 2 3" xfId="0"/>
    <cellStyle name="Notiz 3" xfId="0"/>
    <cellStyle name="Notiz 3 2" xfId="0"/>
    <cellStyle name="Notiz 3 2 2" xfId="0"/>
    <cellStyle name="Notiz 3 3" xfId="0"/>
    <cellStyle name="Notiz 4" xfId="0"/>
    <cellStyle name="Notiz 4 2" xfId="0"/>
    <cellStyle name="Notiz 4 2 2" xfId="0"/>
    <cellStyle name="Notiz 4 3" xfId="0"/>
    <cellStyle name="Notiz 5" xfId="0"/>
    <cellStyle name="Notiz 5 2" xfId="0"/>
    <cellStyle name="Notiz 6" xfId="0"/>
    <cellStyle name="Output 2" xfId="0"/>
    <cellStyle name="Output 2 2" xfId="0"/>
    <cellStyle name="Output 2 2 2" xfId="0"/>
    <cellStyle name="Output 2 2 2 2" xfId="0"/>
    <cellStyle name="Output 2 2 3" xfId="0"/>
    <cellStyle name="Output 2 3" xfId="0"/>
    <cellStyle name="Output 2 3 2" xfId="0"/>
    <cellStyle name="Output 2 3 2 2" xfId="0"/>
    <cellStyle name="Output 2 3 3" xfId="0"/>
    <cellStyle name="Output 2 4" xfId="0"/>
    <cellStyle name="Output 2 4 2" xfId="0"/>
    <cellStyle name="Output 2 5" xfId="0"/>
    <cellStyle name="Output 3" xfId="0"/>
    <cellStyle name="Output 3 2" xfId="0"/>
    <cellStyle name="Output 3 2 2" xfId="0"/>
    <cellStyle name="Output 3 2 2 2" xfId="0"/>
    <cellStyle name="Output 3 2 3" xfId="0"/>
    <cellStyle name="Output 3 3" xfId="0"/>
    <cellStyle name="Output 3 3 2" xfId="0"/>
    <cellStyle name="Output 3 3 2 2" xfId="0"/>
    <cellStyle name="Output 3 3 3" xfId="0"/>
    <cellStyle name="Output 3 4" xfId="0"/>
    <cellStyle name="Output 3 4 2" xfId="0"/>
    <cellStyle name="Output 3 5" xfId="0"/>
    <cellStyle name="Pattern" xfId="0"/>
    <cellStyle name="Pattern 2" xfId="0"/>
    <cellStyle name="Pattern 2 2" xfId="0"/>
    <cellStyle name="Pattern 2 2 2" xfId="0"/>
    <cellStyle name="Pattern 2 2 2 2" xfId="0"/>
    <cellStyle name="Pattern 2 2 3" xfId="0"/>
    <cellStyle name="Pattern 2 3" xfId="0"/>
    <cellStyle name="Pattern 2 3 2" xfId="0"/>
    <cellStyle name="Pattern 2 4" xfId="0"/>
    <cellStyle name="Pattern 3" xfId="0"/>
    <cellStyle name="Pattern 3 2" xfId="0"/>
    <cellStyle name="Pattern 3 2 2" xfId="0"/>
    <cellStyle name="Pattern 3 2 2 2" xfId="0"/>
    <cellStyle name="Pattern 3 2 3" xfId="0"/>
    <cellStyle name="Pattern 3 3" xfId="0"/>
    <cellStyle name="Pattern 3 3 2" xfId="0"/>
    <cellStyle name="Pattern 3 3 2 2" xfId="0"/>
    <cellStyle name="Pattern 3 3 3" xfId="0"/>
    <cellStyle name="Pattern 3 4" xfId="0"/>
    <cellStyle name="Pattern 3 4 2" xfId="0"/>
    <cellStyle name="Pattern 3 4 2 2" xfId="0"/>
    <cellStyle name="Pattern 3 4 3" xfId="0"/>
    <cellStyle name="Pattern 3 5" xfId="0"/>
    <cellStyle name="Pattern 4" xfId="0"/>
    <cellStyle name="Percent 2" xfId="0"/>
    <cellStyle name="Percent 2 2" xfId="0"/>
    <cellStyle name="Percent 2 2 2" xfId="0"/>
    <cellStyle name="Percent 2 3" xfId="0"/>
    <cellStyle name="Pourcentage 2" xfId="0"/>
    <cellStyle name="Pourcentage 2 2" xfId="0"/>
    <cellStyle name="Pourcentage 2 2 2" xfId="0"/>
    <cellStyle name="Pourcentage 2 3" xfId="0"/>
    <cellStyle name="Pourcentage 3" xfId="0"/>
    <cellStyle name="Pourcentage 3 2" xfId="0"/>
    <cellStyle name="Pourcentage 4" xfId="0"/>
    <cellStyle name="Pourcentage 4 2" xfId="0"/>
    <cellStyle name="Pourcentage 5" xfId="0"/>
    <cellStyle name="RowLevel_1 2" xfId="0"/>
    <cellStyle name="Schlecht" xfId="0"/>
    <cellStyle name="Schlecht 2" xfId="0"/>
    <cellStyle name="Shade" xfId="0"/>
    <cellStyle name="Shade 2" xfId="0"/>
    <cellStyle name="Shade 2 2" xfId="0"/>
    <cellStyle name="Shade 2 2 2" xfId="0"/>
    <cellStyle name="Shade 2 2 2 2" xfId="0"/>
    <cellStyle name="Shade 2 2 2 2 2" xfId="0"/>
    <cellStyle name="Shade 2 2 2 3" xfId="0"/>
    <cellStyle name="Shade 2 2 3" xfId="0"/>
    <cellStyle name="Shade 2 2 3 2" xfId="0"/>
    <cellStyle name="Shade 2 2 4" xfId="0"/>
    <cellStyle name="Shade 2 3" xfId="0"/>
    <cellStyle name="Shade 2 3 2" xfId="0"/>
    <cellStyle name="Shade 2 3 2 2" xfId="0"/>
    <cellStyle name="Shade 2 3 2 2 2" xfId="0"/>
    <cellStyle name="Shade 2 3 2 3" xfId="0"/>
    <cellStyle name="Shade 2 3 3" xfId="0"/>
    <cellStyle name="Shade 2 3 3 2" xfId="0"/>
    <cellStyle name="Shade 2 3 3 2 2" xfId="0"/>
    <cellStyle name="Shade 2 3 3 3" xfId="0"/>
    <cellStyle name="Shade 2 3 4" xfId="0"/>
    <cellStyle name="Shade 2 3 4 2" xfId="0"/>
    <cellStyle name="Shade 2 3 4 2 2" xfId="0"/>
    <cellStyle name="Shade 2 3 4 3" xfId="0"/>
    <cellStyle name="Shade 2 3 5" xfId="0"/>
    <cellStyle name="Shade 2 4" xfId="0"/>
    <cellStyle name="Shade 3" xfId="0"/>
    <cellStyle name="Shade 3 2" xfId="0"/>
    <cellStyle name="Shade 3 2 2" xfId="0"/>
    <cellStyle name="Shade 3 2 2 2" xfId="0"/>
    <cellStyle name="Shade 3 2 3" xfId="0"/>
    <cellStyle name="Shade 3 3" xfId="0"/>
    <cellStyle name="Shade 3 3 2" xfId="0"/>
    <cellStyle name="Shade 3 4" xfId="0"/>
    <cellStyle name="Shade 4" xfId="0"/>
    <cellStyle name="Shade 4 2" xfId="0"/>
    <cellStyle name="Shade 4 2 2" xfId="0"/>
    <cellStyle name="Shade 4 2 2 2" xfId="0"/>
    <cellStyle name="Shade 4 2 3" xfId="0"/>
    <cellStyle name="Shade 4 2 3 2" xfId="0"/>
    <cellStyle name="Shade 4 2 4" xfId="0"/>
    <cellStyle name="Shade 4 3" xfId="0"/>
    <cellStyle name="Shade 4 3 2" xfId="0"/>
    <cellStyle name="Shade 4 3 2 2" xfId="0"/>
    <cellStyle name="Shade 4 3 3" xfId="0"/>
    <cellStyle name="Shade 4 4" xfId="0"/>
    <cellStyle name="Shade 4 4 2" xfId="0"/>
    <cellStyle name="Shade 4 4 2 2" xfId="0"/>
    <cellStyle name="Shade 4 4 3" xfId="0"/>
    <cellStyle name="Shade 4 5" xfId="0"/>
    <cellStyle name="Shade 5" xfId="0"/>
    <cellStyle name="Shade 5 2" xfId="0"/>
    <cellStyle name="Shade 6" xfId="0"/>
    <cellStyle name="Shade_B_border2" xfId="0"/>
    <cellStyle name="Standard 2" xfId="0"/>
    <cellStyle name="Standard 2 2" xfId="0"/>
    <cellStyle name="Standard 2 2 2" xfId="0"/>
    <cellStyle name="Standard 2 2 2 2" xfId="0"/>
    <cellStyle name="Standard 2 2 3" xfId="0"/>
    <cellStyle name="Standard 2 3" xfId="0"/>
    <cellStyle name="Standard 2 3 2" xfId="0"/>
    <cellStyle name="Standard 2 4" xfId="0"/>
    <cellStyle name="Status 1" xfId="0"/>
    <cellStyle name="Status 1 2" xfId="0"/>
    <cellStyle name="Status 18" xfId="0"/>
    <cellStyle name="Text 1" xfId="0"/>
    <cellStyle name="Text 1 2" xfId="0"/>
    <cellStyle name="Text 19" xfId="0"/>
    <cellStyle name="Texte explicatif 2" xfId="0"/>
    <cellStyle name="Texte explicatif 2 2" xfId="0"/>
    <cellStyle name="Title 2" xfId="0"/>
    <cellStyle name="Title 2 2" xfId="0"/>
    <cellStyle name="Title 3" xfId="0"/>
    <cellStyle name="Title 3 2" xfId="0"/>
    <cellStyle name="Total 2" xfId="0"/>
    <cellStyle name="Total 2 2" xfId="0"/>
    <cellStyle name="Total 2 2 2" xfId="0"/>
    <cellStyle name="Total 2 2 2 2" xfId="0"/>
    <cellStyle name="Total 2 2 3" xfId="0"/>
    <cellStyle name="Total 2 3" xfId="0"/>
    <cellStyle name="Total 2 3 2" xfId="0"/>
    <cellStyle name="Total 2 3 2 2" xfId="0"/>
    <cellStyle name="Total 2 3 3" xfId="0"/>
    <cellStyle name="Total 2 4" xfId="0"/>
    <cellStyle name="Total 2 4 2" xfId="0"/>
    <cellStyle name="Total 2 4 2 2" xfId="0"/>
    <cellStyle name="Total 2 4 3" xfId="0"/>
    <cellStyle name="Total 2 5" xfId="0"/>
    <cellStyle name="Total 2 5 2" xfId="0"/>
    <cellStyle name="Total 2 6" xfId="0"/>
    <cellStyle name="Total 3" xfId="0"/>
    <cellStyle name="Total 3 2" xfId="0"/>
    <cellStyle name="Total 3 2 2" xfId="0"/>
    <cellStyle name="Total 3 2 2 2" xfId="0"/>
    <cellStyle name="Total 3 2 3" xfId="0"/>
    <cellStyle name="Total 3 3" xfId="0"/>
    <cellStyle name="Total 3 3 2" xfId="0"/>
    <cellStyle name="Total 3 3 2 2" xfId="0"/>
    <cellStyle name="Total 3 3 3" xfId="0"/>
    <cellStyle name="Total 3 4" xfId="0"/>
    <cellStyle name="Total 3 4 2" xfId="0"/>
    <cellStyle name="Total 3 4 2 2" xfId="0"/>
    <cellStyle name="Total 3 4 3" xfId="0"/>
    <cellStyle name="Total 3 5" xfId="0"/>
    <cellStyle name="Total 3 5 2" xfId="0"/>
    <cellStyle name="Total 3 6" xfId="0"/>
    <cellStyle name="Variable1" xfId="0"/>
    <cellStyle name="VariableG_3" xfId="0"/>
    <cellStyle name="VariableW_3" xfId="0"/>
    <cellStyle name="Verknüpfte Zelle" xfId="0"/>
    <cellStyle name="Verknüpfte Zelle 2" xfId="0"/>
    <cellStyle name="Warnender Text 2" xfId="0"/>
    <cellStyle name="Warnender Text 2 2" xfId="0"/>
    <cellStyle name="Warnender Text 3" xfId="0"/>
    <cellStyle name="Warnender Text 3 2" xfId="0"/>
    <cellStyle name="Warning 1" xfId="0"/>
    <cellStyle name="Warning 1 2" xfId="0"/>
    <cellStyle name="Warning 20" xfId="0"/>
    <cellStyle name="Warning Text 2" xfId="0"/>
    <cellStyle name="Warning Text 2 2" xfId="0"/>
    <cellStyle name="Warning Text 3" xfId="0"/>
    <cellStyle name="Warning Text 3 2" xfId="0"/>
    <cellStyle name="Zelle überprüfen" xfId="0"/>
    <cellStyle name="Zelle überprüfen 2" xfId="0"/>
    <cellStyle name="Überschrift" xfId="0"/>
    <cellStyle name="Überschrift 1" xfId="0"/>
    <cellStyle name="Überschrift 1 2" xfId="0"/>
    <cellStyle name="Überschrift 2" xfId="0"/>
    <cellStyle name="Überschrift 2 2" xfId="0"/>
    <cellStyle name="Überschrift 3" xfId="0"/>
    <cellStyle name="Überschrift 3 2" xfId="0"/>
    <cellStyle name="Überschrift 4" xfId="0"/>
    <cellStyle name="Überschrift 4 2" xfId="0"/>
    <cellStyle name="Überschrift 5" xfId="0"/>
    <cellStyle name="Гиперссылка" xfId="0"/>
    <cellStyle name="Гиперссылка 2" xfId="0"/>
    <cellStyle name="Гиперссылка 2 2" xfId="0"/>
    <cellStyle name="Гиперссылка 3" xfId="0"/>
    <cellStyle name="Гиперссылка 3 2" xfId="0"/>
    <cellStyle name="Гиперссылка 4" xfId="0"/>
    <cellStyle name="Гиперссылка 4 2" xfId="0"/>
    <cellStyle name="Гиперссылка 5" xfId="0"/>
    <cellStyle name="Обычный_2++" xfId="0"/>
    <cellStyle name="*unknown*" xfId="20" builtinId="8"/>
  </cellStyles>
  <colors>
    <indexedColors>
      <rgbColor rgb="FF000000"/>
      <rgbColor rgb="FFFFFFFF"/>
      <rgbColor rgb="FFFF0000"/>
      <rgbColor rgb="FF00FF00"/>
      <rgbColor rgb="FF0000FF"/>
      <rgbColor rgb="FFFFFF00"/>
      <rgbColor rgb="FFBFBFBF"/>
      <rgbColor rgb="FFB4C7E5"/>
      <rgbColor rgb="FFC40000"/>
      <rgbColor rgb="FF148317"/>
      <rgbColor rgb="FFE9E3F2"/>
      <rgbColor rgb="FFED7D31"/>
      <rgbColor rgb="FF800080"/>
      <rgbColor rgb="FF296098"/>
      <rgbColor rgb="FFC0C0C0"/>
      <rgbColor rgb="FF808080"/>
      <rgbColor rgb="FFA9A7A7"/>
      <rgbColor rgb="FF7A2D99"/>
      <rgbColor rgb="FFFFFFC8"/>
      <rgbColor rgb="FFCCFFFF"/>
      <rgbColor rgb="FFCCCCCC"/>
      <rgbColor rgb="FFFF898C"/>
      <rgbColor rgb="FF006DB4"/>
      <rgbColor rgb="FFCAD0FE"/>
      <rgbColor rgb="FFF2F2F2"/>
      <rgbColor rgb="FFB7C5DB"/>
      <rgbColor rgb="FFFFC000"/>
      <rgbColor rgb="FFBDD7EE"/>
      <rgbColor rgb="FFED661E"/>
      <rgbColor rgb="FFCC0101"/>
      <rgbColor rgb="FF2F5597"/>
      <rgbColor rgb="FFE0E3F2"/>
      <rgbColor rgb="FF9DC3E6"/>
      <rgbColor rgb="FFDEEBF7"/>
      <rgbColor rgb="FFCCFFCC"/>
      <rgbColor rgb="FFE2F0D9"/>
      <rgbColor rgb="FF9ACBFD"/>
      <rgbColor rgb="FFFF99CC"/>
      <rgbColor rgb="FFCC99FF"/>
      <rgbColor rgb="FFFFCC9B"/>
      <rgbColor rgb="FF3D7AC0"/>
      <rgbColor rgb="FF33CCCC"/>
      <rgbColor rgb="FF73AF45"/>
      <rgbColor rgb="FFFFCC00"/>
      <rgbColor rgb="FFFF9900"/>
      <rgbColor rgb="FFFF5900"/>
      <rgbColor rgb="FF2E66A0"/>
      <rgbColor rgb="FF959698"/>
      <rgbColor rgb="FF013347"/>
      <rgbColor rgb="FF508B36"/>
      <rgbColor rgb="FFD8D8D8"/>
      <rgbColor rgb="FFFF9109"/>
      <rgbColor rgb="FF72521C"/>
      <rgbColor rgb="FFF86032"/>
      <rgbColor rgb="FF333399"/>
      <rgbColor rgb="FF30343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2.xml"/><Relationship Id="rId15" Type="http://schemas.openxmlformats.org/officeDocument/2006/relationships/externalLink" Target="externalLinks/externalLink1.xml"/><Relationship Id="rId16" Type="http://schemas.openxmlformats.org/officeDocument/2006/relationships/externalLink" Target="externalLinks/externalLink3.xml"/><Relationship Id="rId17" Type="http://schemas.openxmlformats.org/officeDocument/2006/relationships/sharedStrings" Target="sharedStrings.xml"/>
</Relationships>
</file>

<file path=xl/charts/chart10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CLINKER</a:t>
            </a:r>
          </a:p>
        </c:rich>
      </c:tx>
      <c:overlay val="0"/>
      <c:spPr>
        <a:noFill/>
        <a:ln>
          <a:noFill/>
        </a:ln>
      </c:spPr>
    </c:title>
    <c:autoTitleDeleted val="0"/>
    <c:plotArea>
      <c:barChart>
        <c:barDir val="col"/>
        <c:grouping val="clustered"/>
        <c:varyColors val="0"/>
        <c:gapWidth val="100"/>
        <c:overlap val="0"/>
        <c:axId val="25945278"/>
        <c:axId val="30341592"/>
      </c:barChart>
      <c:catAx>
        <c:axId val="25945278"/>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30341592"/>
        <c:crossesAt val="0"/>
        <c:auto val="1"/>
        <c:lblAlgn val="ctr"/>
        <c:lblOffset val="100"/>
      </c:catAx>
      <c:valAx>
        <c:axId val="30341592"/>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25945278"/>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0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AMMONIAC</a:t>
            </a:r>
          </a:p>
        </c:rich>
      </c:tx>
      <c:overlay val="0"/>
      <c:spPr>
        <a:noFill/>
        <a:ln>
          <a:noFill/>
        </a:ln>
      </c:spPr>
    </c:title>
    <c:autoTitleDeleted val="0"/>
    <c:plotArea>
      <c:barChart>
        <c:barDir val="col"/>
        <c:grouping val="clustered"/>
        <c:varyColors val="0"/>
        <c:gapWidth val="100"/>
        <c:overlap val="0"/>
        <c:axId val="27829519"/>
        <c:axId val="7814256"/>
      </c:barChart>
      <c:catAx>
        <c:axId val="27829519"/>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7814256"/>
        <c:crossesAt val="0"/>
        <c:auto val="1"/>
        <c:lblAlgn val="ctr"/>
        <c:lblOffset val="100"/>
      </c:catAx>
      <c:valAx>
        <c:axId val="7814256"/>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27829519"/>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0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DICHLORE</a:t>
            </a:r>
          </a:p>
        </c:rich>
      </c:tx>
      <c:overlay val="0"/>
      <c:spPr>
        <a:noFill/>
        <a:ln>
          <a:noFill/>
        </a:ln>
      </c:spPr>
    </c:title>
    <c:autoTitleDeleted val="0"/>
    <c:plotArea>
      <c:barChart>
        <c:barDir val="col"/>
        <c:grouping val="clustered"/>
        <c:varyColors val="0"/>
        <c:gapWidth val="100"/>
        <c:overlap val="0"/>
        <c:axId val="83043130"/>
        <c:axId val="23647100"/>
      </c:barChart>
      <c:catAx>
        <c:axId val="83043130"/>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23647100"/>
        <c:crossesAt val="0"/>
        <c:auto val="1"/>
        <c:lblAlgn val="ctr"/>
        <c:lblOffset val="100"/>
      </c:catAx>
      <c:valAx>
        <c:axId val="23647100"/>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83043130"/>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0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Ethylène</a:t>
            </a:r>
          </a:p>
        </c:rich>
      </c:tx>
      <c:overlay val="0"/>
      <c:spPr>
        <a:noFill/>
        <a:ln>
          <a:noFill/>
        </a:ln>
      </c:spPr>
    </c:title>
    <c:autoTitleDeleted val="0"/>
    <c:plotArea>
      <c:barChart>
        <c:barDir val="col"/>
        <c:grouping val="clustered"/>
        <c:varyColors val="0"/>
        <c:gapWidth val="100"/>
        <c:overlap val="0"/>
        <c:axId val="78472902"/>
        <c:axId val="89244922"/>
      </c:barChart>
      <c:catAx>
        <c:axId val="78472902"/>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89244922"/>
        <c:crossesAt val="0"/>
        <c:auto val="1"/>
        <c:lblAlgn val="ctr"/>
        <c:lblOffset val="100"/>
      </c:catAx>
      <c:valAx>
        <c:axId val="89244922"/>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78472902"/>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0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Papier</a:t>
            </a:r>
          </a:p>
        </c:rich>
      </c:tx>
      <c:overlay val="0"/>
      <c:spPr>
        <a:noFill/>
        <a:ln>
          <a:noFill/>
        </a:ln>
      </c:spPr>
    </c:title>
    <c:autoTitleDeleted val="0"/>
    <c:plotArea>
      <c:barChart>
        <c:barDir val="col"/>
        <c:grouping val="clustered"/>
        <c:varyColors val="0"/>
        <c:gapWidth val="100"/>
        <c:overlap val="0"/>
        <c:axId val="52870717"/>
        <c:axId val="97247323"/>
      </c:barChart>
      <c:catAx>
        <c:axId val="52870717"/>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97247323"/>
        <c:crossesAt val="0"/>
        <c:auto val="1"/>
        <c:lblAlgn val="ctr"/>
        <c:lblOffset val="100"/>
      </c:catAx>
      <c:valAx>
        <c:axId val="97247323"/>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52870717"/>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10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Sucre</a:t>
            </a:r>
          </a:p>
        </c:rich>
      </c:tx>
      <c:overlay val="0"/>
      <c:spPr>
        <a:noFill/>
        <a:ln>
          <a:noFill/>
        </a:ln>
      </c:spPr>
    </c:title>
    <c:autoTitleDeleted val="0"/>
    <c:plotArea>
      <c:barChart>
        <c:barDir val="col"/>
        <c:grouping val="clustered"/>
        <c:varyColors val="0"/>
        <c:gapWidth val="100"/>
        <c:overlap val="0"/>
        <c:axId val="77859548"/>
        <c:axId val="71494358"/>
      </c:barChart>
      <c:catAx>
        <c:axId val="77859548"/>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71494358"/>
        <c:crossesAt val="0"/>
        <c:auto val="1"/>
        <c:lblAlgn val="ctr"/>
        <c:lblOffset val="100"/>
      </c:catAx>
      <c:valAx>
        <c:axId val="71494358"/>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77859548"/>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8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Evolution des niveaux de production (indice 2019)</a:t>
            </a:r>
          </a:p>
        </c:rich>
      </c:tx>
      <c:overlay val="0"/>
      <c:spPr>
        <a:noFill/>
        <a:ln>
          <a:noFill/>
        </a:ln>
      </c:spPr>
    </c:title>
    <c:autoTitleDeleted val="0"/>
    <c:plotArea>
      <c:layout>
        <c:manualLayout>
          <c:layoutTarget val="inner"/>
          <c:xMode val="edge"/>
          <c:yMode val="edge"/>
          <c:x val="0.0687381103360812"/>
          <c:y val="0.139434969405025"/>
          <c:w val="0.878186429930247"/>
          <c:h val="0.660981643015232"/>
        </c:manualLayout>
      </c:layout>
      <c:scatterChart>
        <c:scatterStyle val="lineMarker"/>
        <c:varyColors val="0"/>
        <c:ser>
          <c:idx val="0"/>
          <c:order val="0"/>
          <c:tx>
            <c:strRef>
              <c:f>IGCE!$B$143</c:f>
              <c:strCache>
                <c:ptCount val="1"/>
                <c:pt idx="0">
                  <c:v>IGCE AMS</c:v>
                </c:pt>
              </c:strCache>
            </c:strRef>
          </c:tx>
          <c:spPr>
            <a:solidFill>
              <a:srgbClr val="5b9bd5"/>
            </a:solidFill>
            <a:ln w="19080">
              <a:solidFill>
                <a:srgbClr val="5b9bd5"/>
              </a:solidFill>
              <a:round/>
            </a:ln>
          </c:spPr>
          <c:marker>
            <c:symbol val="circle"/>
            <c:size val="5"/>
            <c:spPr>
              <a:solidFill>
                <a:srgbClr val="5b9bd5"/>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IGCE!$C$119:$J$119</c:f>
              <c:numCache>
                <c:formatCode>General</c:formatCode>
                <c:ptCount val="8"/>
                <c:pt idx="0">
                  <c:v>2019</c:v>
                </c:pt>
                <c:pt idx="1">
                  <c:v>2020</c:v>
                </c:pt>
                <c:pt idx="2">
                  <c:v>2025</c:v>
                </c:pt>
                <c:pt idx="3">
                  <c:v>2030</c:v>
                </c:pt>
                <c:pt idx="4">
                  <c:v>2035</c:v>
                </c:pt>
                <c:pt idx="5">
                  <c:v>2040</c:v>
                </c:pt>
                <c:pt idx="6">
                  <c:v>2045</c:v>
                </c:pt>
                <c:pt idx="7">
                  <c:v>2050</c:v>
                </c:pt>
              </c:numCache>
            </c:numRef>
          </c:xVal>
          <c:yVal>
            <c:numRef>
              <c:f>IGCE!$C$135:$J$135</c:f>
              <c:numCache>
                <c:formatCode>General</c:formatCode>
                <c:ptCount val="8"/>
                <c:pt idx="0">
                  <c:v>1</c:v>
                </c:pt>
                <c:pt idx="1">
                  <c:v>0.857490202195964</c:v>
                </c:pt>
                <c:pt idx="2">
                  <c:v>0.966240031821127</c:v>
                </c:pt>
                <c:pt idx="3">
                  <c:v>0.934550448878864</c:v>
                </c:pt>
                <c:pt idx="4">
                  <c:v>0.913398390739163</c:v>
                </c:pt>
                <c:pt idx="5">
                  <c:v>0.892330501951275</c:v>
                </c:pt>
                <c:pt idx="6">
                  <c:v>0.871023116831776</c:v>
                </c:pt>
                <c:pt idx="7">
                  <c:v>0.849693379251094</c:v>
                </c:pt>
              </c:numCache>
            </c:numRef>
          </c:yVal>
          <c:smooth val="1"/>
        </c:ser>
        <c:ser>
          <c:idx val="1"/>
          <c:order val="1"/>
          <c:tx>
            <c:strRef>
              <c:f>IGCE!$B$145</c:f>
              <c:strCache>
                <c:ptCount val="1"/>
                <c:pt idx="0">
                  <c:v>Diffus AMS</c:v>
                </c:pt>
              </c:strCache>
            </c:strRef>
          </c:tx>
          <c:spPr>
            <a:solidFill>
              <a:srgbClr val="ed7d31"/>
            </a:solidFill>
            <a:ln w="19080">
              <a:solidFill>
                <a:srgbClr val="ed7d31"/>
              </a:solidFill>
              <a:round/>
            </a:ln>
          </c:spPr>
          <c:marker>
            <c:symbol val="circle"/>
            <c:size val="5"/>
            <c:spPr>
              <a:solidFill>
                <a:srgbClr val="ed7d31"/>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Diffus!$C$96:$J$96</c:f>
              <c:numCache>
                <c:formatCode>General</c:formatCode>
                <c:ptCount val="8"/>
                <c:pt idx="0">
                  <c:v>2019</c:v>
                </c:pt>
                <c:pt idx="1">
                  <c:v>2020</c:v>
                </c:pt>
                <c:pt idx="2">
                  <c:v>2025</c:v>
                </c:pt>
                <c:pt idx="3">
                  <c:v>2030</c:v>
                </c:pt>
                <c:pt idx="4">
                  <c:v>2035</c:v>
                </c:pt>
                <c:pt idx="5">
                  <c:v>2040</c:v>
                </c:pt>
                <c:pt idx="6">
                  <c:v>2045</c:v>
                </c:pt>
                <c:pt idx="7">
                  <c:v>2050</c:v>
                </c:pt>
              </c:numCache>
            </c:numRef>
          </c:xVal>
          <c:yVal>
            <c:numRef>
              <c:f>Diffus!$C$107:$J$107</c:f>
              <c:numCache>
                <c:formatCode>General</c:formatCode>
                <c:ptCount val="8"/>
                <c:pt idx="0">
                  <c:v>1</c:v>
                </c:pt>
                <c:pt idx="1">
                  <c:v>0.889500918320578</c:v>
                </c:pt>
                <c:pt idx="2">
                  <c:v>0.928805689363962</c:v>
                </c:pt>
                <c:pt idx="3">
                  <c:v>0.926968475570077</c:v>
                </c:pt>
                <c:pt idx="4">
                  <c:v>0.933023021382482</c:v>
                </c:pt>
                <c:pt idx="5">
                  <c:v>0.95772152394327</c:v>
                </c:pt>
                <c:pt idx="6">
                  <c:v>0.984973687340737</c:v>
                </c:pt>
                <c:pt idx="7">
                  <c:v>1.00297748571532</c:v>
                </c:pt>
              </c:numCache>
            </c:numRef>
          </c:yVal>
          <c:smooth val="1"/>
        </c:ser>
        <c:ser>
          <c:idx val="2"/>
          <c:order val="2"/>
          <c:tx>
            <c:strRef>
              <c:f>IGCE!$B$142</c:f>
              <c:strCache>
                <c:ptCount val="1"/>
                <c:pt idx="0">
                  <c:v>IGCE AME</c:v>
                </c:pt>
              </c:strCache>
            </c:strRef>
          </c:tx>
          <c:spPr>
            <a:solidFill>
              <a:srgbClr val="5b9bd5"/>
            </a:solidFill>
            <a:ln w="19080">
              <a:solidFill>
                <a:srgbClr val="5b9bd5"/>
              </a:solidFill>
              <a:round/>
            </a:ln>
          </c:spPr>
          <c:marker>
            <c:symbol val="circle"/>
            <c:size val="5"/>
            <c:spPr>
              <a:solidFill>
                <a:srgbClr val="5b9bd5"/>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IGCE!$C$100:$J$100</c:f>
              <c:numCache>
                <c:formatCode>General</c:formatCode>
                <c:ptCount val="8"/>
                <c:pt idx="0">
                  <c:v>2019</c:v>
                </c:pt>
                <c:pt idx="1">
                  <c:v>2020</c:v>
                </c:pt>
                <c:pt idx="2">
                  <c:v>2025</c:v>
                </c:pt>
                <c:pt idx="3">
                  <c:v>2030</c:v>
                </c:pt>
                <c:pt idx="4">
                  <c:v>2035</c:v>
                </c:pt>
                <c:pt idx="5">
                  <c:v>2040</c:v>
                </c:pt>
                <c:pt idx="6">
                  <c:v>2045</c:v>
                </c:pt>
                <c:pt idx="7">
                  <c:v>2050</c:v>
                </c:pt>
              </c:numCache>
            </c:numRef>
          </c:xVal>
          <c:yVal>
            <c:numRef>
              <c:f>IGCE!$C$116:$J$116</c:f>
              <c:numCache>
                <c:formatCode>General</c:formatCode>
                <c:ptCount val="8"/>
                <c:pt idx="0">
                  <c:v>1</c:v>
                </c:pt>
                <c:pt idx="1">
                  <c:v>0.857490202195964</c:v>
                </c:pt>
                <c:pt idx="2">
                  <c:v>0.995619839600663</c:v>
                </c:pt>
                <c:pt idx="3">
                  <c:v>0.993580470675307</c:v>
                </c:pt>
                <c:pt idx="4">
                  <c:v>0.988428942338659</c:v>
                </c:pt>
                <c:pt idx="5">
                  <c:v>0.98327741400201</c:v>
                </c:pt>
                <c:pt idx="6">
                  <c:v>0.978125885665362</c:v>
                </c:pt>
                <c:pt idx="7">
                  <c:v>0.972974357328714</c:v>
                </c:pt>
              </c:numCache>
            </c:numRef>
          </c:yVal>
          <c:smooth val="1"/>
        </c:ser>
        <c:ser>
          <c:idx val="3"/>
          <c:order val="3"/>
          <c:tx>
            <c:strRef>
              <c:f>IGCE!$B$144</c:f>
              <c:strCache>
                <c:ptCount val="1"/>
                <c:pt idx="0">
                  <c:v>Diffus AME</c:v>
                </c:pt>
              </c:strCache>
            </c:strRef>
          </c:tx>
          <c:spPr>
            <a:solidFill>
              <a:srgbClr val="ed7d31"/>
            </a:solidFill>
            <a:ln w="19080">
              <a:solidFill>
                <a:srgbClr val="ed7d31"/>
              </a:solidFill>
              <a:round/>
            </a:ln>
          </c:spPr>
          <c:marker>
            <c:symbol val="circle"/>
            <c:size val="5"/>
            <c:spPr>
              <a:solidFill>
                <a:srgbClr val="ed7d31"/>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Diffus!$C$83:$J$83</c:f>
              <c:numCache>
                <c:formatCode>General</c:formatCode>
                <c:ptCount val="8"/>
                <c:pt idx="0">
                  <c:v>2019</c:v>
                </c:pt>
                <c:pt idx="1">
                  <c:v>2020</c:v>
                </c:pt>
                <c:pt idx="2">
                  <c:v>2025</c:v>
                </c:pt>
                <c:pt idx="3">
                  <c:v>2030</c:v>
                </c:pt>
                <c:pt idx="4">
                  <c:v>2035</c:v>
                </c:pt>
                <c:pt idx="5">
                  <c:v>2040</c:v>
                </c:pt>
                <c:pt idx="6">
                  <c:v>2045</c:v>
                </c:pt>
                <c:pt idx="7">
                  <c:v>2050</c:v>
                </c:pt>
              </c:numCache>
            </c:numRef>
          </c:xVal>
          <c:yVal>
            <c:numRef>
              <c:f>Diffus!$C$94:$J$94</c:f>
              <c:numCache>
                <c:formatCode>General</c:formatCode>
                <c:ptCount val="8"/>
                <c:pt idx="0">
                  <c:v>1</c:v>
                </c:pt>
                <c:pt idx="1">
                  <c:v>0.889500918320578</c:v>
                </c:pt>
                <c:pt idx="2">
                  <c:v>0.894336539347385</c:v>
                </c:pt>
                <c:pt idx="3">
                  <c:v>0.88411477953152</c:v>
                </c:pt>
                <c:pt idx="4">
                  <c:v>0.883924177235203</c:v>
                </c:pt>
                <c:pt idx="5">
                  <c:v>0.900826794639906</c:v>
                </c:pt>
                <c:pt idx="6">
                  <c:v>0.921929602976105</c:v>
                </c:pt>
                <c:pt idx="7">
                  <c:v>0.936384223623283</c:v>
                </c:pt>
              </c:numCache>
            </c:numRef>
          </c:yVal>
          <c:smooth val="1"/>
        </c:ser>
        <c:axId val="27900982"/>
        <c:axId val="90933234"/>
      </c:scatterChart>
      <c:valAx>
        <c:axId val="27900982"/>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0933234"/>
        <c:crosses val="autoZero"/>
        <c:crossBetween val="midCat"/>
      </c:valAx>
      <c:valAx>
        <c:axId val="90933234"/>
        <c:scaling>
          <c:orientation val="minMax"/>
          <c:min val="0.5"/>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7900982"/>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ALUMINIUM</a:t>
            </a:r>
          </a:p>
        </c:rich>
      </c:tx>
      <c:overlay val="0"/>
      <c:spPr>
        <a:noFill/>
        <a:ln>
          <a:noFill/>
        </a:ln>
      </c:spPr>
    </c:title>
    <c:autoTitleDeleted val="0"/>
    <c:plotArea>
      <c:barChart>
        <c:barDir val="col"/>
        <c:grouping val="clustered"/>
        <c:varyColors val="0"/>
        <c:gapWidth val="100"/>
        <c:overlap val="0"/>
        <c:axId val="46393984"/>
        <c:axId val="86935663"/>
      </c:barChart>
      <c:catAx>
        <c:axId val="46393984"/>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86935663"/>
        <c:crossesAt val="0"/>
        <c:auto val="1"/>
        <c:lblAlgn val="ctr"/>
        <c:lblOffset val="100"/>
      </c:catAx>
      <c:valAx>
        <c:axId val="86935663"/>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46393984"/>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8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VERRE</a:t>
            </a:r>
          </a:p>
        </c:rich>
      </c:tx>
      <c:overlay val="0"/>
      <c:spPr>
        <a:noFill/>
        <a:ln>
          <a:noFill/>
        </a:ln>
      </c:spPr>
    </c:title>
    <c:autoTitleDeleted val="0"/>
    <c:plotArea>
      <c:barChart>
        <c:barDir val="col"/>
        <c:grouping val="clustered"/>
        <c:varyColors val="0"/>
        <c:gapWidth val="100"/>
        <c:overlap val="0"/>
        <c:axId val="80831363"/>
        <c:axId val="65470092"/>
      </c:barChart>
      <c:catAx>
        <c:axId val="80831363"/>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65470092"/>
        <c:crossesAt val="0"/>
        <c:auto val="1"/>
        <c:lblAlgn val="ctr"/>
        <c:lblOffset val="100"/>
      </c:catAx>
      <c:valAx>
        <c:axId val="65470092"/>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80831363"/>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8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CLINKER</a:t>
            </a:r>
          </a:p>
        </c:rich>
      </c:tx>
      <c:overlay val="0"/>
      <c:spPr>
        <a:noFill/>
        <a:ln>
          <a:noFill/>
        </a:ln>
      </c:spPr>
    </c:title>
    <c:autoTitleDeleted val="0"/>
    <c:plotArea>
      <c:barChart>
        <c:barDir val="col"/>
        <c:grouping val="clustered"/>
        <c:varyColors val="0"/>
        <c:gapWidth val="100"/>
        <c:overlap val="0"/>
        <c:axId val="41799463"/>
        <c:axId val="12030852"/>
      </c:barChart>
      <c:catAx>
        <c:axId val="41799463"/>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12030852"/>
        <c:crossesAt val="0"/>
        <c:auto val="1"/>
        <c:lblAlgn val="ctr"/>
        <c:lblOffset val="100"/>
      </c:catAx>
      <c:valAx>
        <c:axId val="12030852"/>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41799463"/>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AMMONIAC</a:t>
            </a:r>
          </a:p>
        </c:rich>
      </c:tx>
      <c:overlay val="0"/>
      <c:spPr>
        <a:noFill/>
        <a:ln>
          <a:noFill/>
        </a:ln>
      </c:spPr>
    </c:title>
    <c:autoTitleDeleted val="0"/>
    <c:plotArea>
      <c:barChart>
        <c:barDir val="col"/>
        <c:grouping val="clustered"/>
        <c:varyColors val="0"/>
        <c:gapWidth val="100"/>
        <c:overlap val="0"/>
        <c:axId val="6027946"/>
        <c:axId val="23191826"/>
      </c:barChart>
      <c:catAx>
        <c:axId val="6027946"/>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23191826"/>
        <c:crossesAt val="0"/>
        <c:auto val="1"/>
        <c:lblAlgn val="ctr"/>
        <c:lblOffset val="100"/>
      </c:catAx>
      <c:valAx>
        <c:axId val="23191826"/>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6027946"/>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DICHLORE</a:t>
            </a:r>
          </a:p>
        </c:rich>
      </c:tx>
      <c:overlay val="0"/>
      <c:spPr>
        <a:noFill/>
        <a:ln>
          <a:noFill/>
        </a:ln>
      </c:spPr>
    </c:title>
    <c:autoTitleDeleted val="0"/>
    <c:plotArea>
      <c:barChart>
        <c:barDir val="col"/>
        <c:grouping val="clustered"/>
        <c:varyColors val="0"/>
        <c:gapWidth val="100"/>
        <c:overlap val="0"/>
        <c:axId val="94490202"/>
        <c:axId val="45438529"/>
      </c:barChart>
      <c:catAx>
        <c:axId val="94490202"/>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45438529"/>
        <c:crossesAt val="0"/>
        <c:auto val="1"/>
        <c:lblAlgn val="ctr"/>
        <c:lblOffset val="100"/>
      </c:catAx>
      <c:valAx>
        <c:axId val="45438529"/>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94490202"/>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Ethylène</a:t>
            </a:r>
          </a:p>
        </c:rich>
      </c:tx>
      <c:overlay val="0"/>
      <c:spPr>
        <a:noFill/>
        <a:ln>
          <a:noFill/>
        </a:ln>
      </c:spPr>
    </c:title>
    <c:autoTitleDeleted val="0"/>
    <c:plotArea>
      <c:barChart>
        <c:barDir val="col"/>
        <c:grouping val="clustered"/>
        <c:varyColors val="0"/>
        <c:gapWidth val="100"/>
        <c:overlap val="0"/>
        <c:axId val="51078803"/>
        <c:axId val="70693614"/>
      </c:barChart>
      <c:catAx>
        <c:axId val="51078803"/>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70693614"/>
        <c:crossesAt val="0"/>
        <c:auto val="1"/>
        <c:lblAlgn val="ctr"/>
        <c:lblOffset val="100"/>
      </c:catAx>
      <c:valAx>
        <c:axId val="70693614"/>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51078803"/>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Papier</a:t>
            </a:r>
          </a:p>
        </c:rich>
      </c:tx>
      <c:overlay val="0"/>
      <c:spPr>
        <a:noFill/>
        <a:ln>
          <a:noFill/>
        </a:ln>
      </c:spPr>
    </c:title>
    <c:autoTitleDeleted val="0"/>
    <c:plotArea>
      <c:barChart>
        <c:barDir val="col"/>
        <c:grouping val="clustered"/>
        <c:varyColors val="0"/>
        <c:gapWidth val="100"/>
        <c:overlap val="0"/>
        <c:axId val="7602886"/>
        <c:axId val="98313271"/>
      </c:barChart>
      <c:catAx>
        <c:axId val="7602886"/>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98313271"/>
        <c:crossesAt val="0"/>
        <c:auto val="1"/>
        <c:lblAlgn val="ctr"/>
        <c:lblOffset val="100"/>
      </c:catAx>
      <c:valAx>
        <c:axId val="98313271"/>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7602886"/>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Sucre</a:t>
            </a:r>
          </a:p>
        </c:rich>
      </c:tx>
      <c:overlay val="0"/>
      <c:spPr>
        <a:noFill/>
        <a:ln>
          <a:noFill/>
        </a:ln>
      </c:spPr>
    </c:title>
    <c:autoTitleDeleted val="0"/>
    <c:plotArea>
      <c:barChart>
        <c:barDir val="col"/>
        <c:grouping val="clustered"/>
        <c:varyColors val="0"/>
        <c:gapWidth val="100"/>
        <c:overlap val="0"/>
        <c:axId val="10699675"/>
        <c:axId val="5338974"/>
      </c:barChart>
      <c:catAx>
        <c:axId val="10699675"/>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5338974"/>
        <c:crossesAt val="0"/>
        <c:auto val="1"/>
        <c:lblAlgn val="ctr"/>
        <c:lblOffset val="100"/>
      </c:catAx>
      <c:valAx>
        <c:axId val="5338974"/>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10699675"/>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Sorties Pepit0 non corrigées</a:t>
            </a:r>
          </a:p>
        </c:rich>
      </c:tx>
      <c:overlay val="0"/>
      <c:spPr>
        <a:noFill/>
        <a:ln>
          <a:noFill/>
        </a:ln>
      </c:spPr>
    </c:title>
    <c:autoTitleDeleted val="0"/>
    <c:plotArea>
      <c:scatterChart>
        <c:scatterStyle val="lineMarker"/>
        <c:varyColors val="0"/>
        <c:ser>
          <c:idx val="0"/>
          <c:order val="0"/>
          <c:tx>
            <c:strRef>
              <c:f>label 0</c:f>
              <c:strCache>
                <c:ptCount val="1"/>
                <c:pt idx="0">
                  <c:v>Acier</c:v>
                </c:pt>
              </c:strCache>
            </c:strRef>
          </c:tx>
          <c:spPr>
            <a:solidFill>
              <a:srgbClr val="5b9bd5"/>
            </a:solidFill>
            <a:ln w="28440">
              <a:solidFill>
                <a:srgbClr val="5b9bd5"/>
              </a:solidFill>
              <a:round/>
            </a:ln>
          </c:spPr>
          <c:marker>
            <c:symbol val="circle"/>
            <c:size val="5"/>
            <c:spPr>
              <a:solidFill>
                <a:srgbClr val="5b9bd5"/>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c:f>
              <c:numCache>
                <c:formatCode>General</c:formatCode>
                <c:ptCount val="5"/>
                <c:pt idx="0">
                  <c:v>2014</c:v>
                </c:pt>
                <c:pt idx="1">
                  <c:v>2019</c:v>
                </c:pt>
                <c:pt idx="2">
                  <c:v>2030</c:v>
                </c:pt>
                <c:pt idx="3">
                  <c:v>2049</c:v>
                </c:pt>
                <c:pt idx="4">
                  <c:v>2050</c:v>
                </c:pt>
              </c:numCache>
            </c:numRef>
          </c:xVal>
          <c:yVal>
            <c:numRef>
              <c:f>0</c:f>
              <c:numCache>
                <c:formatCode>General</c:formatCode>
                <c:ptCount val="5"/>
                <c:pt idx="0">
                  <c:v>12.4527173934811</c:v>
                </c:pt>
                <c:pt idx="1">
                  <c:v>12.364224140895</c:v>
                </c:pt>
                <c:pt idx="2">
                  <c:v>11.522328188409</c:v>
                </c:pt>
                <c:pt idx="3">
                  <c:v>11.2108239819425</c:v>
                </c:pt>
                <c:pt idx="4">
                  <c:v>11.2024213802317</c:v>
                </c:pt>
              </c:numCache>
            </c:numRef>
          </c:yVal>
          <c:smooth val="1"/>
        </c:ser>
        <c:ser>
          <c:idx val="1"/>
          <c:order val="1"/>
          <c:tx>
            <c:strRef>
              <c:f>label 2</c:f>
              <c:strCache>
                <c:ptCount val="1"/>
                <c:pt idx="0">
                  <c:v>Aluminium</c:v>
                </c:pt>
              </c:strCache>
            </c:strRef>
          </c:tx>
          <c:spPr>
            <a:solidFill>
              <a:srgbClr val="ed7d31"/>
            </a:solidFill>
            <a:ln w="28440">
              <a:solidFill>
                <a:srgbClr val="ed7d31"/>
              </a:solidFill>
              <a:round/>
            </a:ln>
          </c:spPr>
          <c:marker>
            <c:symbol val="circle"/>
            <c:size val="5"/>
            <c:spPr>
              <a:solidFill>
                <a:srgbClr val="ed7d31"/>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3</c:f>
              <c:numCache>
                <c:formatCode>General</c:formatCode>
                <c:ptCount val="5"/>
                <c:pt idx="0">
                  <c:v>2014</c:v>
                </c:pt>
                <c:pt idx="1">
                  <c:v>2019</c:v>
                </c:pt>
                <c:pt idx="2">
                  <c:v>2030</c:v>
                </c:pt>
                <c:pt idx="3">
                  <c:v>2049</c:v>
                </c:pt>
                <c:pt idx="4">
                  <c:v>2050</c:v>
                </c:pt>
              </c:numCache>
            </c:numRef>
          </c:xVal>
          <c:yVal>
            <c:numRef>
              <c:f>2</c:f>
              <c:numCache>
                <c:formatCode>General</c:formatCode>
                <c:ptCount val="5"/>
                <c:pt idx="0">
                  <c:v>1.36665209900678</c:v>
                </c:pt>
                <c:pt idx="1">
                  <c:v>1.44780839179386</c:v>
                </c:pt>
                <c:pt idx="2">
                  <c:v>1.64484567606376</c:v>
                </c:pt>
                <c:pt idx="3">
                  <c:v>2.19286457701941</c:v>
                </c:pt>
                <c:pt idx="4">
                  <c:v>2.25357126213052</c:v>
                </c:pt>
              </c:numCache>
            </c:numRef>
          </c:yVal>
          <c:smooth val="1"/>
        </c:ser>
        <c:ser>
          <c:idx val="2"/>
          <c:order val="2"/>
          <c:tx>
            <c:strRef>
              <c:f>label 4</c:f>
              <c:strCache>
                <c:ptCount val="1"/>
                <c:pt idx="0">
                  <c:v>Verre</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5</c:f>
              <c:numCache>
                <c:formatCode>General</c:formatCode>
                <c:ptCount val="5"/>
                <c:pt idx="0">
                  <c:v>2014</c:v>
                </c:pt>
                <c:pt idx="1">
                  <c:v>2019</c:v>
                </c:pt>
                <c:pt idx="2">
                  <c:v>2030</c:v>
                </c:pt>
                <c:pt idx="3">
                  <c:v>2049</c:v>
                </c:pt>
                <c:pt idx="4">
                  <c:v>2050</c:v>
                </c:pt>
              </c:numCache>
            </c:numRef>
          </c:xVal>
          <c:yVal>
            <c:numRef>
              <c:f>4</c:f>
              <c:numCache>
                <c:formatCode>General</c:formatCode>
                <c:ptCount val="5"/>
                <c:pt idx="0">
                  <c:v>4.930893985492</c:v>
                </c:pt>
                <c:pt idx="1">
                  <c:v>4.91439329541686</c:v>
                </c:pt>
                <c:pt idx="2">
                  <c:v>4.61675521394758</c:v>
                </c:pt>
                <c:pt idx="3">
                  <c:v>3.27917720710739</c:v>
                </c:pt>
                <c:pt idx="4">
                  <c:v>3.41960032475618</c:v>
                </c:pt>
              </c:numCache>
            </c:numRef>
          </c:yVal>
          <c:smooth val="1"/>
        </c:ser>
        <c:ser>
          <c:idx val="3"/>
          <c:order val="3"/>
          <c:tx>
            <c:strRef>
              <c:f>label 6</c:f>
              <c:strCache>
                <c:ptCount val="1"/>
                <c:pt idx="0">
                  <c:v>Clinker</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7</c:f>
              <c:numCache>
                <c:formatCode>General</c:formatCode>
                <c:ptCount val="5"/>
                <c:pt idx="0">
                  <c:v>2014</c:v>
                </c:pt>
                <c:pt idx="1">
                  <c:v>2019</c:v>
                </c:pt>
                <c:pt idx="2">
                  <c:v>2030</c:v>
                </c:pt>
                <c:pt idx="3">
                  <c:v>2049</c:v>
                </c:pt>
                <c:pt idx="4">
                  <c:v>2050</c:v>
                </c:pt>
              </c:numCache>
            </c:numRef>
          </c:xVal>
          <c:yVal>
            <c:numRef>
              <c:f>6</c:f>
              <c:numCache>
                <c:formatCode>General</c:formatCode>
                <c:ptCount val="5"/>
                <c:pt idx="0">
                  <c:v>13.3075467951616</c:v>
                </c:pt>
                <c:pt idx="1">
                  <c:v>12.7800389170497</c:v>
                </c:pt>
                <c:pt idx="2">
                  <c:v>9.67072386148369</c:v>
                </c:pt>
                <c:pt idx="3">
                  <c:v>6.37729839788033</c:v>
                </c:pt>
                <c:pt idx="4">
                  <c:v>5.52919740203738</c:v>
                </c:pt>
              </c:numCache>
            </c:numRef>
          </c:yVal>
          <c:smooth val="1"/>
        </c:ser>
        <c:ser>
          <c:idx val="4"/>
          <c:order val="4"/>
          <c:tx>
            <c:strRef>
              <c:f>label 8</c:f>
              <c:strCache>
                <c:ptCount val="1"/>
                <c:pt idx="0">
                  <c:v>Ammoniac</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9</c:f>
              <c:numCache>
                <c:formatCode>General</c:formatCode>
                <c:ptCount val="5"/>
                <c:pt idx="0">
                  <c:v>2014</c:v>
                </c:pt>
                <c:pt idx="1">
                  <c:v>2019</c:v>
                </c:pt>
                <c:pt idx="2">
                  <c:v>2030</c:v>
                </c:pt>
                <c:pt idx="3">
                  <c:v>2049</c:v>
                </c:pt>
                <c:pt idx="4">
                  <c:v>2050</c:v>
                </c:pt>
              </c:numCache>
            </c:numRef>
          </c:xVal>
          <c:yVal>
            <c:numRef>
              <c:f>8</c:f>
              <c:numCache>
                <c:formatCode>General</c:formatCode>
                <c:ptCount val="5"/>
                <c:pt idx="0">
                  <c:v>2.15476227413165</c:v>
                </c:pt>
                <c:pt idx="1">
                  <c:v>2.14081040233113</c:v>
                </c:pt>
                <c:pt idx="2">
                  <c:v>1.88400540376148</c:v>
                </c:pt>
                <c:pt idx="3">
                  <c:v>1.27476297298898</c:v>
                </c:pt>
                <c:pt idx="4">
                  <c:v>1.24097278854042</c:v>
                </c:pt>
              </c:numCache>
            </c:numRef>
          </c:yVal>
          <c:smooth val="1"/>
        </c:ser>
        <c:ser>
          <c:idx val="5"/>
          <c:order val="5"/>
          <c:tx>
            <c:strRef>
              <c:f>label 10</c:f>
              <c:strCache>
                <c:ptCount val="1"/>
                <c:pt idx="0">
                  <c:v>Dichlore</c:v>
                </c:pt>
              </c:strCache>
            </c:strRef>
          </c:tx>
          <c:spPr>
            <a:solidFill>
              <a:srgbClr val="70ad47"/>
            </a:solidFill>
            <a:ln w="28440">
              <a:solidFill>
                <a:srgbClr val="70ad47"/>
              </a:solidFill>
              <a:round/>
            </a:ln>
          </c:spPr>
          <c:marker>
            <c:symbol val="circle"/>
            <c:size val="5"/>
            <c:spPr>
              <a:solidFill>
                <a:srgbClr val="70ad47"/>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11</c:f>
              <c:numCache>
                <c:formatCode>General</c:formatCode>
                <c:ptCount val="5"/>
                <c:pt idx="0">
                  <c:v>2014</c:v>
                </c:pt>
                <c:pt idx="1">
                  <c:v>2019</c:v>
                </c:pt>
                <c:pt idx="2">
                  <c:v>2030</c:v>
                </c:pt>
                <c:pt idx="3">
                  <c:v>2049</c:v>
                </c:pt>
                <c:pt idx="4">
                  <c:v>2050</c:v>
                </c:pt>
              </c:numCache>
            </c:numRef>
          </c:xVal>
          <c:yVal>
            <c:numRef>
              <c:f>10</c:f>
              <c:numCache>
                <c:formatCode>General</c:formatCode>
                <c:ptCount val="5"/>
                <c:pt idx="0">
                  <c:v>1.12758378603706</c:v>
                </c:pt>
                <c:pt idx="1">
                  <c:v>1.12630043737087</c:v>
                </c:pt>
                <c:pt idx="2">
                  <c:v>0.990135876077033</c:v>
                </c:pt>
                <c:pt idx="3">
                  <c:v>0.770421004050912</c:v>
                </c:pt>
                <c:pt idx="4">
                  <c:v>0.7654795913283</c:v>
                </c:pt>
              </c:numCache>
            </c:numRef>
          </c:yVal>
          <c:smooth val="1"/>
        </c:ser>
        <c:ser>
          <c:idx val="6"/>
          <c:order val="6"/>
          <c:tx>
            <c:strRef>
              <c:f>label 12</c:f>
              <c:strCache>
                <c:ptCount val="1"/>
                <c:pt idx="0">
                  <c:v>Ethylène</c:v>
                </c:pt>
              </c:strCache>
            </c:strRef>
          </c:tx>
          <c:spPr>
            <a:solidFill>
              <a:srgbClr val="255e91"/>
            </a:solidFill>
            <a:ln w="28440">
              <a:solidFill>
                <a:srgbClr val="255e91"/>
              </a:solidFill>
              <a:round/>
            </a:ln>
          </c:spPr>
          <c:marker>
            <c:symbol val="circle"/>
            <c:size val="5"/>
            <c:spPr>
              <a:solidFill>
                <a:srgbClr val="255e91"/>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13</c:f>
              <c:numCache>
                <c:formatCode>General</c:formatCode>
                <c:ptCount val="5"/>
                <c:pt idx="0">
                  <c:v>2014</c:v>
                </c:pt>
                <c:pt idx="1">
                  <c:v>2019</c:v>
                </c:pt>
                <c:pt idx="2">
                  <c:v>2030</c:v>
                </c:pt>
                <c:pt idx="3">
                  <c:v>2049</c:v>
                </c:pt>
                <c:pt idx="4">
                  <c:v>2050</c:v>
                </c:pt>
              </c:numCache>
            </c:numRef>
          </c:xVal>
          <c:yVal>
            <c:numRef>
              <c:f>12</c:f>
              <c:numCache>
                <c:formatCode>General</c:formatCode>
                <c:ptCount val="5"/>
                <c:pt idx="0">
                  <c:v>3.20181831480176</c:v>
                </c:pt>
                <c:pt idx="1">
                  <c:v>3.3011193757259</c:v>
                </c:pt>
                <c:pt idx="2">
                  <c:v>2.06519215839992</c:v>
                </c:pt>
                <c:pt idx="3">
                  <c:v>1.13710545157889</c:v>
                </c:pt>
                <c:pt idx="4">
                  <c:v>1.10615785320665</c:v>
                </c:pt>
              </c:numCache>
            </c:numRef>
          </c:yVal>
          <c:smooth val="1"/>
        </c:ser>
        <c:ser>
          <c:idx val="7"/>
          <c:order val="7"/>
          <c:tx>
            <c:strRef>
              <c:f>label 14</c:f>
              <c:strCache>
                <c:ptCount val="1"/>
                <c:pt idx="0">
                  <c:v>Papier</c:v>
                </c:pt>
              </c:strCache>
            </c:strRef>
          </c:tx>
          <c:spPr>
            <a:solidFill>
              <a:srgbClr val="9e480e"/>
            </a:solidFill>
            <a:ln w="28440">
              <a:solidFill>
                <a:srgbClr val="9e480e"/>
              </a:solidFill>
              <a:round/>
            </a:ln>
          </c:spPr>
          <c:marker>
            <c:symbol val="circle"/>
            <c:size val="5"/>
            <c:spPr>
              <a:solidFill>
                <a:srgbClr val="9e480e"/>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15</c:f>
              <c:numCache>
                <c:formatCode>General</c:formatCode>
                <c:ptCount val="5"/>
                <c:pt idx="0">
                  <c:v>2014</c:v>
                </c:pt>
                <c:pt idx="1">
                  <c:v>2019</c:v>
                </c:pt>
                <c:pt idx="2">
                  <c:v>2030</c:v>
                </c:pt>
                <c:pt idx="3">
                  <c:v>2049</c:v>
                </c:pt>
                <c:pt idx="4">
                  <c:v>2050</c:v>
                </c:pt>
              </c:numCache>
            </c:numRef>
          </c:xVal>
          <c:yVal>
            <c:numRef>
              <c:f>14</c:f>
              <c:numCache>
                <c:formatCode>General</c:formatCode>
                <c:ptCount val="5"/>
                <c:pt idx="0">
                  <c:v>8.346785</c:v>
                </c:pt>
                <c:pt idx="1">
                  <c:v>8.75327247490664</c:v>
                </c:pt>
                <c:pt idx="2">
                  <c:v>9.33153944383011</c:v>
                </c:pt>
                <c:pt idx="3">
                  <c:v>10.5028185335908</c:v>
                </c:pt>
                <c:pt idx="4">
                  <c:v>9.07392910629203</c:v>
                </c:pt>
              </c:numCache>
            </c:numRef>
          </c:yVal>
          <c:smooth val="1"/>
        </c:ser>
        <c:ser>
          <c:idx val="8"/>
          <c:order val="8"/>
          <c:tx>
            <c:strRef>
              <c:f>label 16</c:f>
              <c:strCache>
                <c:ptCount val="1"/>
                <c:pt idx="0">
                  <c:v>Sucre</c:v>
                </c:pt>
              </c:strCache>
            </c:strRef>
          </c:tx>
          <c:spPr>
            <a:solidFill>
              <a:srgbClr val="636363"/>
            </a:solidFill>
            <a:ln w="28440">
              <a:solidFill>
                <a:srgbClr val="636363"/>
              </a:solidFill>
              <a:round/>
            </a:ln>
          </c:spPr>
          <c:marker>
            <c:symbol val="circle"/>
            <c:size val="5"/>
            <c:spPr>
              <a:solidFill>
                <a:srgbClr val="636363"/>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17</c:f>
              <c:numCache>
                <c:formatCode>General</c:formatCode>
                <c:ptCount val="5"/>
                <c:pt idx="0">
                  <c:v>2014</c:v>
                </c:pt>
                <c:pt idx="1">
                  <c:v>2019</c:v>
                </c:pt>
                <c:pt idx="2">
                  <c:v>2030</c:v>
                </c:pt>
                <c:pt idx="3">
                  <c:v>2049</c:v>
                </c:pt>
                <c:pt idx="4">
                  <c:v>2050</c:v>
                </c:pt>
              </c:numCache>
            </c:numRef>
          </c:xVal>
          <c:yVal>
            <c:numRef>
              <c:f>16</c:f>
              <c:numCache>
                <c:formatCode>General</c:formatCode>
                <c:ptCount val="5"/>
                <c:pt idx="0">
                  <c:v>3.75976923076923</c:v>
                </c:pt>
                <c:pt idx="1">
                  <c:v>3.7980256048424</c:v>
                </c:pt>
                <c:pt idx="2">
                  <c:v>3.70807614921201</c:v>
                </c:pt>
                <c:pt idx="3">
                  <c:v>3.31292250703018</c:v>
                </c:pt>
                <c:pt idx="4">
                  <c:v>3.29102334769893</c:v>
                </c:pt>
              </c:numCache>
            </c:numRef>
          </c:yVal>
          <c:smooth val="1"/>
        </c:ser>
        <c:axId val="32746698"/>
        <c:axId val="80815900"/>
      </c:scatterChart>
      <c:valAx>
        <c:axId val="3274669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0815900"/>
        <c:crosses val="autoZero"/>
        <c:crossBetween val="midCat"/>
      </c:valAx>
      <c:valAx>
        <c:axId val="80815900"/>
        <c:scaling>
          <c:orientation val="minMax"/>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Mt</a:t>
                </a:r>
              </a:p>
            </c:rich>
          </c:tx>
          <c:overlay val="0"/>
          <c:spPr>
            <a:noFill/>
            <a:ln>
              <a:noFill/>
            </a:ln>
          </c:spPr>
        </c:title>
        <c:numFmt formatCode="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2746698"/>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Sorties Pepit0 non corrigées</a:t>
            </a:r>
          </a:p>
        </c:rich>
      </c:tx>
      <c:overlay val="0"/>
      <c:spPr>
        <a:noFill/>
        <a:ln>
          <a:noFill/>
        </a:ln>
      </c:spPr>
    </c:title>
    <c:autoTitleDeleted val="0"/>
    <c:plotArea>
      <c:scatterChart>
        <c:scatterStyle val="lineMarker"/>
        <c:varyColors val="0"/>
        <c:ser>
          <c:idx val="0"/>
          <c:order val="0"/>
          <c:tx>
            <c:strRef>
              <c:f>label 0</c:f>
              <c:strCache>
                <c:ptCount val="1"/>
                <c:pt idx="0">
                  <c:v>Acier</c:v>
                </c:pt>
              </c:strCache>
            </c:strRef>
          </c:tx>
          <c:spPr>
            <a:solidFill>
              <a:srgbClr val="5b9bd5"/>
            </a:solidFill>
            <a:ln w="28440">
              <a:solidFill>
                <a:srgbClr val="5b9bd5"/>
              </a:solidFill>
              <a:round/>
            </a:ln>
          </c:spPr>
          <c:marker>
            <c:symbol val="circle"/>
            <c:size val="5"/>
            <c:spPr>
              <a:solidFill>
                <a:srgbClr val="5b9bd5"/>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c:f>
              <c:numCache>
                <c:formatCode>General</c:formatCode>
                <c:ptCount val="5"/>
                <c:pt idx="0">
                  <c:v>2014</c:v>
                </c:pt>
                <c:pt idx="1">
                  <c:v>2019</c:v>
                </c:pt>
                <c:pt idx="2">
                  <c:v>2030</c:v>
                </c:pt>
                <c:pt idx="3">
                  <c:v>2049</c:v>
                </c:pt>
                <c:pt idx="4">
                  <c:v>2050</c:v>
                </c:pt>
              </c:numCache>
            </c:numRef>
          </c:xVal>
          <c:yVal>
            <c:numRef>
              <c:f>0</c:f>
              <c:numCache>
                <c:formatCode>General</c:formatCode>
                <c:ptCount val="5"/>
                <c:pt idx="0">
                  <c:v>12.4527173934811</c:v>
                </c:pt>
                <c:pt idx="1">
                  <c:v>12.364224140895</c:v>
                </c:pt>
                <c:pt idx="2">
                  <c:v>11.522328188409</c:v>
                </c:pt>
                <c:pt idx="3">
                  <c:v>11.2108239819425</c:v>
                </c:pt>
                <c:pt idx="4">
                  <c:v>11.2024213802317</c:v>
                </c:pt>
              </c:numCache>
            </c:numRef>
          </c:yVal>
          <c:smooth val="1"/>
        </c:ser>
        <c:ser>
          <c:idx val="1"/>
          <c:order val="1"/>
          <c:tx>
            <c:strRef>
              <c:f>label 2</c:f>
              <c:strCache>
                <c:ptCount val="1"/>
                <c:pt idx="0">
                  <c:v>Aluminium</c:v>
                </c:pt>
              </c:strCache>
            </c:strRef>
          </c:tx>
          <c:spPr>
            <a:solidFill>
              <a:srgbClr val="ed7d31"/>
            </a:solidFill>
            <a:ln w="28440">
              <a:solidFill>
                <a:srgbClr val="ed7d31"/>
              </a:solidFill>
              <a:round/>
            </a:ln>
          </c:spPr>
          <c:marker>
            <c:symbol val="circle"/>
            <c:size val="5"/>
            <c:spPr>
              <a:solidFill>
                <a:srgbClr val="ed7d31"/>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3</c:f>
              <c:numCache>
                <c:formatCode>General</c:formatCode>
                <c:ptCount val="5"/>
                <c:pt idx="0">
                  <c:v>2014</c:v>
                </c:pt>
                <c:pt idx="1">
                  <c:v>2019</c:v>
                </c:pt>
                <c:pt idx="2">
                  <c:v>2030</c:v>
                </c:pt>
                <c:pt idx="3">
                  <c:v>2049</c:v>
                </c:pt>
                <c:pt idx="4">
                  <c:v>2050</c:v>
                </c:pt>
              </c:numCache>
            </c:numRef>
          </c:xVal>
          <c:yVal>
            <c:numRef>
              <c:f>2</c:f>
              <c:numCache>
                <c:formatCode>General</c:formatCode>
                <c:ptCount val="5"/>
                <c:pt idx="0">
                  <c:v>1.36665209900678</c:v>
                </c:pt>
                <c:pt idx="1">
                  <c:v>1.44780839179386</c:v>
                </c:pt>
                <c:pt idx="2">
                  <c:v>1.64484567606376</c:v>
                </c:pt>
                <c:pt idx="3">
                  <c:v>2.19286457701941</c:v>
                </c:pt>
                <c:pt idx="4">
                  <c:v>2.2210575996403</c:v>
                </c:pt>
              </c:numCache>
            </c:numRef>
          </c:yVal>
          <c:smooth val="1"/>
        </c:ser>
        <c:ser>
          <c:idx val="2"/>
          <c:order val="2"/>
          <c:tx>
            <c:strRef>
              <c:f>label 4</c:f>
              <c:strCache>
                <c:ptCount val="1"/>
                <c:pt idx="0">
                  <c:v>Verre</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5</c:f>
              <c:numCache>
                <c:formatCode>General</c:formatCode>
                <c:ptCount val="5"/>
                <c:pt idx="0">
                  <c:v>2014</c:v>
                </c:pt>
                <c:pt idx="1">
                  <c:v>2019</c:v>
                </c:pt>
                <c:pt idx="2">
                  <c:v>2030</c:v>
                </c:pt>
                <c:pt idx="3">
                  <c:v>2049</c:v>
                </c:pt>
                <c:pt idx="4">
                  <c:v>2050</c:v>
                </c:pt>
              </c:numCache>
            </c:numRef>
          </c:xVal>
          <c:yVal>
            <c:numRef>
              <c:f>4</c:f>
              <c:numCache>
                <c:formatCode>General</c:formatCode>
                <c:ptCount val="5"/>
                <c:pt idx="0">
                  <c:v>4.930893985492</c:v>
                </c:pt>
                <c:pt idx="1">
                  <c:v>4.91439329541686</c:v>
                </c:pt>
                <c:pt idx="2">
                  <c:v>4.61675521394758</c:v>
                </c:pt>
                <c:pt idx="3">
                  <c:v>3.27917720710739</c:v>
                </c:pt>
                <c:pt idx="4">
                  <c:v>3.26097614417362</c:v>
                </c:pt>
              </c:numCache>
            </c:numRef>
          </c:yVal>
          <c:smooth val="1"/>
        </c:ser>
        <c:ser>
          <c:idx val="3"/>
          <c:order val="3"/>
          <c:tx>
            <c:strRef>
              <c:f>label 6</c:f>
              <c:strCache>
                <c:ptCount val="1"/>
                <c:pt idx="0">
                  <c:v>Clinker</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7</c:f>
              <c:numCache>
                <c:formatCode>General</c:formatCode>
                <c:ptCount val="5"/>
                <c:pt idx="0">
                  <c:v>2014</c:v>
                </c:pt>
                <c:pt idx="1">
                  <c:v>2019</c:v>
                </c:pt>
                <c:pt idx="2">
                  <c:v>2030</c:v>
                </c:pt>
                <c:pt idx="3">
                  <c:v>2049</c:v>
                </c:pt>
                <c:pt idx="4">
                  <c:v>2050</c:v>
                </c:pt>
              </c:numCache>
            </c:numRef>
          </c:xVal>
          <c:yVal>
            <c:numRef>
              <c:f>6</c:f>
              <c:numCache>
                <c:formatCode>General</c:formatCode>
                <c:ptCount val="5"/>
                <c:pt idx="0">
                  <c:v>13.3075467951616</c:v>
                </c:pt>
                <c:pt idx="1">
                  <c:v>12.7800389170497</c:v>
                </c:pt>
                <c:pt idx="2">
                  <c:v>9.67072386148369</c:v>
                </c:pt>
                <c:pt idx="3">
                  <c:v>6.37729839788033</c:v>
                </c:pt>
                <c:pt idx="4">
                  <c:v>6.20832860947014</c:v>
                </c:pt>
              </c:numCache>
            </c:numRef>
          </c:yVal>
          <c:smooth val="1"/>
        </c:ser>
        <c:ser>
          <c:idx val="4"/>
          <c:order val="4"/>
          <c:tx>
            <c:strRef>
              <c:f>label 8</c:f>
              <c:strCache>
                <c:ptCount val="1"/>
                <c:pt idx="0">
                  <c:v>Ammoniac</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9</c:f>
              <c:numCache>
                <c:formatCode>General</c:formatCode>
                <c:ptCount val="5"/>
                <c:pt idx="0">
                  <c:v>2014</c:v>
                </c:pt>
                <c:pt idx="1">
                  <c:v>2019</c:v>
                </c:pt>
                <c:pt idx="2">
                  <c:v>2030</c:v>
                </c:pt>
                <c:pt idx="3">
                  <c:v>2049</c:v>
                </c:pt>
                <c:pt idx="4">
                  <c:v>2050</c:v>
                </c:pt>
              </c:numCache>
            </c:numRef>
          </c:xVal>
          <c:yVal>
            <c:numRef>
              <c:f>8</c:f>
              <c:numCache>
                <c:formatCode>General</c:formatCode>
                <c:ptCount val="5"/>
                <c:pt idx="0">
                  <c:v>2.15476227413165</c:v>
                </c:pt>
                <c:pt idx="1">
                  <c:v>2.14081040233113</c:v>
                </c:pt>
                <c:pt idx="2">
                  <c:v>1.88400540376148</c:v>
                </c:pt>
                <c:pt idx="3">
                  <c:v>1.27476297298898</c:v>
                </c:pt>
                <c:pt idx="4">
                  <c:v>1.24097278854042</c:v>
                </c:pt>
              </c:numCache>
            </c:numRef>
          </c:yVal>
          <c:smooth val="1"/>
        </c:ser>
        <c:ser>
          <c:idx val="5"/>
          <c:order val="5"/>
          <c:tx>
            <c:strRef>
              <c:f>label 10</c:f>
              <c:strCache>
                <c:ptCount val="1"/>
                <c:pt idx="0">
                  <c:v>Dichlore</c:v>
                </c:pt>
              </c:strCache>
            </c:strRef>
          </c:tx>
          <c:spPr>
            <a:solidFill>
              <a:srgbClr val="70ad47"/>
            </a:solidFill>
            <a:ln w="28440">
              <a:solidFill>
                <a:srgbClr val="70ad47"/>
              </a:solidFill>
              <a:round/>
            </a:ln>
          </c:spPr>
          <c:marker>
            <c:symbol val="circle"/>
            <c:size val="5"/>
            <c:spPr>
              <a:solidFill>
                <a:srgbClr val="70ad47"/>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11</c:f>
              <c:numCache>
                <c:formatCode>General</c:formatCode>
                <c:ptCount val="5"/>
                <c:pt idx="0">
                  <c:v>2014</c:v>
                </c:pt>
                <c:pt idx="1">
                  <c:v>2019</c:v>
                </c:pt>
                <c:pt idx="2">
                  <c:v>2030</c:v>
                </c:pt>
                <c:pt idx="3">
                  <c:v>2049</c:v>
                </c:pt>
                <c:pt idx="4">
                  <c:v>2050</c:v>
                </c:pt>
              </c:numCache>
            </c:numRef>
          </c:xVal>
          <c:yVal>
            <c:numRef>
              <c:f>10</c:f>
              <c:numCache>
                <c:formatCode>General</c:formatCode>
                <c:ptCount val="5"/>
                <c:pt idx="0">
                  <c:v>1.12758378603706</c:v>
                </c:pt>
                <c:pt idx="1">
                  <c:v>1.12630043737087</c:v>
                </c:pt>
                <c:pt idx="2">
                  <c:v>0.990135876077033</c:v>
                </c:pt>
                <c:pt idx="3">
                  <c:v>0.770421004050912</c:v>
                </c:pt>
                <c:pt idx="4">
                  <c:v>0.7654795913283</c:v>
                </c:pt>
              </c:numCache>
            </c:numRef>
          </c:yVal>
          <c:smooth val="1"/>
        </c:ser>
        <c:ser>
          <c:idx val="6"/>
          <c:order val="6"/>
          <c:tx>
            <c:strRef>
              <c:f>label 12</c:f>
              <c:strCache>
                <c:ptCount val="1"/>
                <c:pt idx="0">
                  <c:v>Ethylène</c:v>
                </c:pt>
              </c:strCache>
            </c:strRef>
          </c:tx>
          <c:spPr>
            <a:solidFill>
              <a:srgbClr val="255e91"/>
            </a:solidFill>
            <a:ln w="28440">
              <a:solidFill>
                <a:srgbClr val="255e91"/>
              </a:solidFill>
              <a:round/>
            </a:ln>
          </c:spPr>
          <c:marker>
            <c:symbol val="circle"/>
            <c:size val="5"/>
            <c:spPr>
              <a:solidFill>
                <a:srgbClr val="255e91"/>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13</c:f>
              <c:numCache>
                <c:formatCode>General</c:formatCode>
                <c:ptCount val="5"/>
                <c:pt idx="0">
                  <c:v>2014</c:v>
                </c:pt>
                <c:pt idx="1">
                  <c:v>2019</c:v>
                </c:pt>
                <c:pt idx="2">
                  <c:v>2030</c:v>
                </c:pt>
                <c:pt idx="3">
                  <c:v>2049</c:v>
                </c:pt>
                <c:pt idx="4">
                  <c:v>2050</c:v>
                </c:pt>
              </c:numCache>
            </c:numRef>
          </c:xVal>
          <c:yVal>
            <c:numRef>
              <c:f>12</c:f>
              <c:numCache>
                <c:formatCode>General</c:formatCode>
                <c:ptCount val="5"/>
                <c:pt idx="0">
                  <c:v>3.20181831480176</c:v>
                </c:pt>
                <c:pt idx="1">
                  <c:v>3.3011193757259</c:v>
                </c:pt>
                <c:pt idx="2">
                  <c:v>2.06519215839992</c:v>
                </c:pt>
                <c:pt idx="3">
                  <c:v>1.13710545157889</c:v>
                </c:pt>
                <c:pt idx="4">
                  <c:v>1.10615785320665</c:v>
                </c:pt>
              </c:numCache>
            </c:numRef>
          </c:yVal>
          <c:smooth val="1"/>
        </c:ser>
        <c:ser>
          <c:idx val="7"/>
          <c:order val="7"/>
          <c:tx>
            <c:strRef>
              <c:f>label 14</c:f>
              <c:strCache>
                <c:ptCount val="1"/>
                <c:pt idx="0">
                  <c:v>Papier</c:v>
                </c:pt>
              </c:strCache>
            </c:strRef>
          </c:tx>
          <c:spPr>
            <a:solidFill>
              <a:srgbClr val="9e480e"/>
            </a:solidFill>
            <a:ln w="28440">
              <a:solidFill>
                <a:srgbClr val="9e480e"/>
              </a:solidFill>
              <a:round/>
            </a:ln>
          </c:spPr>
          <c:marker>
            <c:symbol val="circle"/>
            <c:size val="5"/>
            <c:spPr>
              <a:solidFill>
                <a:srgbClr val="9e480e"/>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15</c:f>
              <c:numCache>
                <c:formatCode>General</c:formatCode>
                <c:ptCount val="5"/>
                <c:pt idx="0">
                  <c:v>2014</c:v>
                </c:pt>
                <c:pt idx="1">
                  <c:v>2019</c:v>
                </c:pt>
                <c:pt idx="2">
                  <c:v>2030</c:v>
                </c:pt>
                <c:pt idx="3">
                  <c:v>2049</c:v>
                </c:pt>
                <c:pt idx="4">
                  <c:v>2050</c:v>
                </c:pt>
              </c:numCache>
            </c:numRef>
          </c:xVal>
          <c:yVal>
            <c:numRef>
              <c:f>14</c:f>
              <c:numCache>
                <c:formatCode>General</c:formatCode>
                <c:ptCount val="5"/>
                <c:pt idx="0">
                  <c:v>8.346785</c:v>
                </c:pt>
                <c:pt idx="1">
                  <c:v>8.75327247490664</c:v>
                </c:pt>
                <c:pt idx="2">
                  <c:v>9.33153944383011</c:v>
                </c:pt>
                <c:pt idx="3">
                  <c:v>10.5028185335908</c:v>
                </c:pt>
                <c:pt idx="4">
                  <c:v>10.5655034999219</c:v>
                </c:pt>
              </c:numCache>
            </c:numRef>
          </c:yVal>
          <c:smooth val="1"/>
        </c:ser>
        <c:ser>
          <c:idx val="8"/>
          <c:order val="8"/>
          <c:tx>
            <c:strRef>
              <c:f>label 16</c:f>
              <c:strCache>
                <c:ptCount val="1"/>
                <c:pt idx="0">
                  <c:v>Sucre</c:v>
                </c:pt>
              </c:strCache>
            </c:strRef>
          </c:tx>
          <c:spPr>
            <a:solidFill>
              <a:srgbClr val="636363"/>
            </a:solidFill>
            <a:ln w="28440">
              <a:solidFill>
                <a:srgbClr val="636363"/>
              </a:solidFill>
              <a:round/>
            </a:ln>
          </c:spPr>
          <c:marker>
            <c:symbol val="circle"/>
            <c:size val="5"/>
            <c:spPr>
              <a:solidFill>
                <a:srgbClr val="636363"/>
              </a:solidFill>
            </c:spPr>
          </c:marker>
          <c:dLbls>
            <c:numFmt formatCode="0.00"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17</c:f>
              <c:numCache>
                <c:formatCode>General</c:formatCode>
                <c:ptCount val="5"/>
                <c:pt idx="0">
                  <c:v>2014</c:v>
                </c:pt>
                <c:pt idx="1">
                  <c:v>2019</c:v>
                </c:pt>
                <c:pt idx="2">
                  <c:v>2030</c:v>
                </c:pt>
                <c:pt idx="3">
                  <c:v>2049</c:v>
                </c:pt>
                <c:pt idx="4">
                  <c:v>2050</c:v>
                </c:pt>
              </c:numCache>
            </c:numRef>
          </c:xVal>
          <c:yVal>
            <c:numRef>
              <c:f>16</c:f>
              <c:numCache>
                <c:formatCode>General</c:formatCode>
                <c:ptCount val="5"/>
                <c:pt idx="0">
                  <c:v>3.75976923076923</c:v>
                </c:pt>
                <c:pt idx="1">
                  <c:v>3.7980256048424</c:v>
                </c:pt>
                <c:pt idx="2">
                  <c:v>3.70807614921201</c:v>
                </c:pt>
                <c:pt idx="3">
                  <c:v>3.31292250703018</c:v>
                </c:pt>
                <c:pt idx="4">
                  <c:v>3.29102334769893</c:v>
                </c:pt>
              </c:numCache>
            </c:numRef>
          </c:yVal>
          <c:smooth val="1"/>
        </c:ser>
        <c:axId val="6268799"/>
        <c:axId val="40302067"/>
      </c:scatterChart>
      <c:valAx>
        <c:axId val="626879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0302067"/>
        <c:crosses val="autoZero"/>
        <c:crossBetween val="midCat"/>
      </c:valAx>
      <c:valAx>
        <c:axId val="40302067"/>
        <c:scaling>
          <c:orientation val="minMax"/>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Mt</a:t>
                </a:r>
              </a:p>
            </c:rich>
          </c:tx>
          <c:overlay val="0"/>
          <c:spPr>
            <a:noFill/>
            <a:ln>
              <a:noFill/>
            </a:ln>
          </c:spPr>
        </c:title>
        <c:numFmt formatCode="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268799"/>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ACIER</a:t>
            </a:r>
          </a:p>
        </c:rich>
      </c:tx>
      <c:overlay val="0"/>
      <c:spPr>
        <a:noFill/>
        <a:ln>
          <a:noFill/>
        </a:ln>
      </c:spPr>
    </c:title>
    <c:autoTitleDeleted val="0"/>
    <c:plotArea>
      <c:barChart>
        <c:barDir val="col"/>
        <c:grouping val="clustered"/>
        <c:varyColors val="0"/>
        <c:gapWidth val="100"/>
        <c:overlap val="0"/>
        <c:axId val="26385490"/>
        <c:axId val="46471167"/>
      </c:barChart>
      <c:catAx>
        <c:axId val="26385490"/>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46471167"/>
        <c:crossesAt val="0"/>
        <c:auto val="1"/>
        <c:lblAlgn val="ctr"/>
        <c:lblOffset val="100"/>
      </c:catAx>
      <c:valAx>
        <c:axId val="46471167"/>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26385490"/>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ALUMINIUM</a:t>
            </a:r>
          </a:p>
        </c:rich>
      </c:tx>
      <c:overlay val="0"/>
      <c:spPr>
        <a:noFill/>
        <a:ln>
          <a:noFill/>
        </a:ln>
      </c:spPr>
    </c:title>
    <c:autoTitleDeleted val="0"/>
    <c:plotArea>
      <c:barChart>
        <c:barDir val="col"/>
        <c:grouping val="clustered"/>
        <c:varyColors val="0"/>
        <c:gapWidth val="100"/>
        <c:overlap val="0"/>
        <c:axId val="71546718"/>
        <c:axId val="9972313"/>
      </c:barChart>
      <c:catAx>
        <c:axId val="71546718"/>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9972313"/>
        <c:crossesAt val="0"/>
        <c:auto val="1"/>
        <c:lblAlgn val="ctr"/>
        <c:lblOffset val="100"/>
      </c:catAx>
      <c:valAx>
        <c:axId val="9972313"/>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71546718"/>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9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VERRE</a:t>
            </a:r>
          </a:p>
        </c:rich>
      </c:tx>
      <c:overlay val="0"/>
      <c:spPr>
        <a:noFill/>
        <a:ln>
          <a:noFill/>
        </a:ln>
      </c:spPr>
    </c:title>
    <c:autoTitleDeleted val="0"/>
    <c:plotArea>
      <c:barChart>
        <c:barDir val="col"/>
        <c:grouping val="clustered"/>
        <c:varyColors val="0"/>
        <c:gapWidth val="100"/>
        <c:overlap val="0"/>
        <c:axId val="79265956"/>
        <c:axId val="2685807"/>
      </c:barChart>
      <c:catAx>
        <c:axId val="79265956"/>
        <c:scaling>
          <c:orientation val="minMax"/>
        </c:scaling>
        <c:delete val="1"/>
        <c:axPos val="b"/>
        <c:numFmt formatCode="DD/MM/YYYY" sourceLinked="1"/>
        <c:majorTickMark val="out"/>
        <c:minorTickMark val="none"/>
        <c:tickLblPos val="none"/>
        <c:spPr>
          <a:ln>
            <a:solidFill>
              <a:srgbClr val="b3b3b3"/>
            </a:solidFill>
          </a:ln>
        </c:spPr>
        <c:txPr>
          <a:bodyPr/>
          <a:lstStyle/>
          <a:p>
            <a:pPr>
              <a:defRPr b="0" sz="1000" spc="-1" strike="noStrike">
                <a:latin typeface="Arial"/>
              </a:defRPr>
            </a:pPr>
          </a:p>
        </c:txPr>
        <c:crossAx val="2685807"/>
        <c:crossesAt val="0"/>
        <c:auto val="1"/>
        <c:lblAlgn val="ctr"/>
        <c:lblOffset val="100"/>
      </c:catAx>
      <c:valAx>
        <c:axId val="2685807"/>
        <c:scaling>
          <c:orientation val="minMax"/>
        </c:scaling>
        <c:delete val="1"/>
        <c:axPos val="l"/>
        <c:numFmt formatCode="General" sourceLinked="1"/>
        <c:majorTickMark val="out"/>
        <c:minorTickMark val="none"/>
        <c:tickLblPos val="none"/>
        <c:spPr>
          <a:ln>
            <a:solidFill>
              <a:srgbClr val="b3b3b3"/>
            </a:solidFill>
          </a:ln>
        </c:spPr>
        <c:txPr>
          <a:bodyPr/>
          <a:lstStyle/>
          <a:p>
            <a:pPr>
              <a:defRPr b="0" sz="1000" spc="-1" strike="noStrike">
                <a:latin typeface="Arial"/>
              </a:defRPr>
            </a:pPr>
          </a:p>
        </c:txPr>
        <c:crossAx val="79265956"/>
        <c:crosses val="mi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86.xml"/>
</Relationships>
</file>

<file path=xl/drawings/_rels/drawing3.xml.rels><?xml version="1.0" encoding="UTF-8"?>
<Relationships xmlns="http://schemas.openxmlformats.org/package/2006/relationships"><Relationship Id="rId1" Type="http://schemas.openxmlformats.org/officeDocument/2006/relationships/chart" Target="../charts/chart87.xml"/><Relationship Id="rId2" Type="http://schemas.openxmlformats.org/officeDocument/2006/relationships/chart" Target="../charts/chart88.xml"/><Relationship Id="rId3" Type="http://schemas.openxmlformats.org/officeDocument/2006/relationships/chart" Target="../charts/chart89.xml"/><Relationship Id="rId4" Type="http://schemas.openxmlformats.org/officeDocument/2006/relationships/chart" Target="../charts/chart90.xml"/><Relationship Id="rId5" Type="http://schemas.openxmlformats.org/officeDocument/2006/relationships/chart" Target="../charts/chart91.xml"/><Relationship Id="rId6" Type="http://schemas.openxmlformats.org/officeDocument/2006/relationships/chart" Target="../charts/chart92.xml"/><Relationship Id="rId7" Type="http://schemas.openxmlformats.org/officeDocument/2006/relationships/chart" Target="../charts/chart93.xml"/><Relationship Id="rId8" Type="http://schemas.openxmlformats.org/officeDocument/2006/relationships/chart" Target="../charts/chart94.xml"/>
</Relationships>
</file>

<file path=xl/drawings/_rels/drawing4.xml.rels><?xml version="1.0" encoding="UTF-8"?>
<Relationships xmlns="http://schemas.openxmlformats.org/package/2006/relationships"><Relationship Id="rId1" Type="http://schemas.openxmlformats.org/officeDocument/2006/relationships/chart" Target="../charts/chart95.xml"/><Relationship Id="rId2" Type="http://schemas.openxmlformats.org/officeDocument/2006/relationships/chart" Target="../charts/chart96.xml"/><Relationship Id="rId3" Type="http://schemas.openxmlformats.org/officeDocument/2006/relationships/chart" Target="../charts/chart97.xml"/><Relationship Id="rId4" Type="http://schemas.openxmlformats.org/officeDocument/2006/relationships/chart" Target="../charts/chart98.xml"/><Relationship Id="rId5" Type="http://schemas.openxmlformats.org/officeDocument/2006/relationships/chart" Target="../charts/chart99.xml"/><Relationship Id="rId6" Type="http://schemas.openxmlformats.org/officeDocument/2006/relationships/chart" Target="../charts/chart100.xml"/><Relationship Id="rId7" Type="http://schemas.openxmlformats.org/officeDocument/2006/relationships/chart" Target="../charts/chart101.xml"/><Relationship Id="rId8" Type="http://schemas.openxmlformats.org/officeDocument/2006/relationships/chart" Target="../charts/chart102.xml"/><Relationship Id="rId9" Type="http://schemas.openxmlformats.org/officeDocument/2006/relationships/chart" Target="../charts/chart103.xml"/><Relationship Id="rId10" Type="http://schemas.openxmlformats.org/officeDocument/2006/relationships/chart" Target="../charts/chart104.xml"/><Relationship Id="rId11" Type="http://schemas.openxmlformats.org/officeDocument/2006/relationships/chart" Target="../charts/chart10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669600</xdr:colOff>
      <xdr:row>137</xdr:row>
      <xdr:rowOff>165960</xdr:rowOff>
    </xdr:from>
    <xdr:to>
      <xdr:col>8</xdr:col>
      <xdr:colOff>443520</xdr:colOff>
      <xdr:row>152</xdr:row>
      <xdr:rowOff>168480</xdr:rowOff>
    </xdr:to>
    <xdr:graphicFrame>
      <xdr:nvGraphicFramePr>
        <xdr:cNvPr id="0" name="Graphique 1"/>
        <xdr:cNvGraphicFramePr/>
      </xdr:nvGraphicFramePr>
      <xdr:xfrm>
        <a:off x="669600" y="25296480"/>
        <a:ext cx="5676840" cy="276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23</xdr:col>
      <xdr:colOff>527040</xdr:colOff>
      <xdr:row>53</xdr:row>
      <xdr:rowOff>150120</xdr:rowOff>
    </xdr:to>
    <xdr:sp>
      <xdr:nvSpPr>
        <xdr:cNvPr id="1" name="CustomShape 1" hidden="1"/>
        <xdr:cNvSpPr/>
      </xdr:nvSpPr>
      <xdr:spPr>
        <a:xfrm>
          <a:off x="0" y="0"/>
          <a:ext cx="16851960" cy="9902160"/>
        </a:xfrm>
        <a:prstGeom prst="rect">
          <a:avLst/>
        </a:prstGeom>
        <a:solidFill>
          <a:srgbClr val="ffffff"/>
        </a:solidFill>
        <a:ln>
          <a:noFill/>
        </a:ln>
      </xdr:spPr>
      <xdr:style>
        <a:lnRef idx="0"/>
        <a:fillRef idx="0"/>
        <a:effectRef idx="0"/>
        <a:fontRef idx="minor"/>
      </xdr:style>
    </xdr:sp>
    <xdr:clientData/>
  </xdr:twoCellAnchor>
  <xdr:twoCellAnchor editAs="absolute">
    <xdr:from>
      <xdr:col>0</xdr:col>
      <xdr:colOff>0</xdr:colOff>
      <xdr:row>0</xdr:row>
      <xdr:rowOff>0</xdr:rowOff>
    </xdr:from>
    <xdr:to>
      <xdr:col>23</xdr:col>
      <xdr:colOff>527040</xdr:colOff>
      <xdr:row>53</xdr:row>
      <xdr:rowOff>150120</xdr:rowOff>
    </xdr:to>
    <xdr:sp>
      <xdr:nvSpPr>
        <xdr:cNvPr id="2" name="CustomShape 1" hidden="1"/>
        <xdr:cNvSpPr/>
      </xdr:nvSpPr>
      <xdr:spPr>
        <a:xfrm>
          <a:off x="0" y="0"/>
          <a:ext cx="16851960" cy="9902160"/>
        </a:xfrm>
        <a:prstGeom prst="rect">
          <a:avLst/>
        </a:prstGeom>
        <a:solidFill>
          <a:srgbClr val="ffffff"/>
        </a:solidFill>
        <a:ln>
          <a:noFill/>
        </a:ln>
      </xdr:spPr>
      <xdr:style>
        <a:lnRef idx="0"/>
        <a:fillRef idx="0"/>
        <a:effectRef idx="0"/>
        <a:fontRef idx="minor"/>
      </xdr:style>
    </xdr:sp>
    <xdr:clientData/>
  </xdr:twoCellAnchor>
  <xdr:twoCellAnchor editAs="absolute">
    <xdr:from>
      <xdr:col>0</xdr:col>
      <xdr:colOff>0</xdr:colOff>
      <xdr:row>0</xdr:row>
      <xdr:rowOff>0</xdr:rowOff>
    </xdr:from>
    <xdr:to>
      <xdr:col>23</xdr:col>
      <xdr:colOff>527040</xdr:colOff>
      <xdr:row>53</xdr:row>
      <xdr:rowOff>150120</xdr:rowOff>
    </xdr:to>
    <xdr:sp>
      <xdr:nvSpPr>
        <xdr:cNvPr id="3" name="CustomShape 1" hidden="1"/>
        <xdr:cNvSpPr/>
      </xdr:nvSpPr>
      <xdr:spPr>
        <a:xfrm>
          <a:off x="0" y="0"/>
          <a:ext cx="16851960" cy="9902160"/>
        </a:xfrm>
        <a:prstGeom prst="rect">
          <a:avLst/>
        </a:prstGeom>
        <a:solidFill>
          <a:srgbClr val="ffffff"/>
        </a:solidFill>
        <a:ln>
          <a:noFill/>
        </a:ln>
      </xdr:spPr>
      <xdr:style>
        <a:lnRef idx="0"/>
        <a:fillRef idx="0"/>
        <a:effectRef idx="0"/>
        <a:fontRef idx="minor"/>
      </xdr:style>
    </xdr:sp>
    <xdr:clientData/>
  </xdr:twoCellAnchor>
  <xdr:twoCellAnchor editAs="absolute">
    <xdr:from>
      <xdr:col>0</xdr:col>
      <xdr:colOff>0</xdr:colOff>
      <xdr:row>0</xdr:row>
      <xdr:rowOff>0</xdr:rowOff>
    </xdr:from>
    <xdr:to>
      <xdr:col>23</xdr:col>
      <xdr:colOff>527040</xdr:colOff>
      <xdr:row>53</xdr:row>
      <xdr:rowOff>150120</xdr:rowOff>
    </xdr:to>
    <xdr:sp>
      <xdr:nvSpPr>
        <xdr:cNvPr id="4" name="CustomShape 1" hidden="1"/>
        <xdr:cNvSpPr/>
      </xdr:nvSpPr>
      <xdr:spPr>
        <a:xfrm>
          <a:off x="0" y="0"/>
          <a:ext cx="16851960" cy="9902160"/>
        </a:xfrm>
        <a:prstGeom prst="rect">
          <a:avLst/>
        </a:prstGeom>
        <a:solidFill>
          <a:srgbClr val="ffffff"/>
        </a:solidFill>
        <a:ln>
          <a:noFill/>
        </a:ln>
      </xdr:spPr>
      <xdr:style>
        <a:lnRef idx="0"/>
        <a:fillRef idx="0"/>
        <a:effectRef idx="0"/>
        <a:fontRef idx="minor"/>
      </xdr:style>
    </xdr:sp>
    <xdr:clientData/>
  </xdr:twoCellAnchor>
  <xdr:twoCellAnchor editAs="absolute">
    <xdr:from>
      <xdr:col>0</xdr:col>
      <xdr:colOff>0</xdr:colOff>
      <xdr:row>0</xdr:row>
      <xdr:rowOff>0</xdr:rowOff>
    </xdr:from>
    <xdr:to>
      <xdr:col>22</xdr:col>
      <xdr:colOff>689040</xdr:colOff>
      <xdr:row>53</xdr:row>
      <xdr:rowOff>150120</xdr:rowOff>
    </xdr:to>
    <xdr:sp>
      <xdr:nvSpPr>
        <xdr:cNvPr id="5" name="CustomShape 1" hidden="1"/>
        <xdr:cNvSpPr/>
      </xdr:nvSpPr>
      <xdr:spPr>
        <a:xfrm>
          <a:off x="0" y="0"/>
          <a:ext cx="15814440" cy="9902160"/>
        </a:xfrm>
        <a:prstGeom prst="rect">
          <a:avLst/>
        </a:prstGeom>
        <a:solidFill>
          <a:srgbClr val="ffffff"/>
        </a:solidFill>
        <a:ln w="9360">
          <a:noFill/>
        </a:ln>
      </xdr:spPr>
      <xdr:style>
        <a:lnRef idx="0"/>
        <a:fillRef idx="0"/>
        <a:effectRef idx="0"/>
        <a:fontRef idx="minor"/>
      </xdr:style>
    </xdr:sp>
    <xdr:clientData/>
  </xdr:twoCellAnchor>
  <xdr:twoCellAnchor editAs="absolute">
    <xdr:from>
      <xdr:col>0</xdr:col>
      <xdr:colOff>0</xdr:colOff>
      <xdr:row>0</xdr:row>
      <xdr:rowOff>0</xdr:rowOff>
    </xdr:from>
    <xdr:to>
      <xdr:col>22</xdr:col>
      <xdr:colOff>689040</xdr:colOff>
      <xdr:row>53</xdr:row>
      <xdr:rowOff>150120</xdr:rowOff>
    </xdr:to>
    <xdr:sp>
      <xdr:nvSpPr>
        <xdr:cNvPr id="6" name="CustomShape 1" hidden="1"/>
        <xdr:cNvSpPr/>
      </xdr:nvSpPr>
      <xdr:spPr>
        <a:xfrm>
          <a:off x="0" y="0"/>
          <a:ext cx="15814440" cy="9902160"/>
        </a:xfrm>
        <a:prstGeom prst="rect">
          <a:avLst/>
        </a:prstGeom>
        <a:solidFill>
          <a:srgbClr val="ffffff"/>
        </a:solidFill>
        <a:ln w="9360">
          <a:noFill/>
        </a:ln>
      </xdr:spPr>
      <xdr:style>
        <a:lnRef idx="0"/>
        <a:fillRef idx="0"/>
        <a:effectRef idx="0"/>
        <a:fontRef idx="minor"/>
      </xdr:style>
    </xdr:sp>
    <xdr:clientData/>
  </xdr:twoCellAnchor>
  <xdr:twoCellAnchor editAs="absolute">
    <xdr:from>
      <xdr:col>0</xdr:col>
      <xdr:colOff>0</xdr:colOff>
      <xdr:row>0</xdr:row>
      <xdr:rowOff>0</xdr:rowOff>
    </xdr:from>
    <xdr:to>
      <xdr:col>22</xdr:col>
      <xdr:colOff>689040</xdr:colOff>
      <xdr:row>53</xdr:row>
      <xdr:rowOff>150120</xdr:rowOff>
    </xdr:to>
    <xdr:sp>
      <xdr:nvSpPr>
        <xdr:cNvPr id="7" name="CustomShape 1" hidden="1"/>
        <xdr:cNvSpPr/>
      </xdr:nvSpPr>
      <xdr:spPr>
        <a:xfrm>
          <a:off x="0" y="0"/>
          <a:ext cx="15814440" cy="9902160"/>
        </a:xfrm>
        <a:prstGeom prst="rect">
          <a:avLst/>
        </a:prstGeom>
        <a:solidFill>
          <a:srgbClr val="ffffff"/>
        </a:solidFill>
        <a:ln w="9360">
          <a:noFill/>
        </a:ln>
      </xdr:spPr>
      <xdr:style>
        <a:lnRef idx="0"/>
        <a:fillRef idx="0"/>
        <a:effectRef idx="0"/>
        <a:fontRef idx="minor"/>
      </xdr:style>
    </xdr:sp>
    <xdr:clientData/>
  </xdr:twoCellAnchor>
  <xdr:twoCellAnchor editAs="absolute">
    <xdr:from>
      <xdr:col>0</xdr:col>
      <xdr:colOff>0</xdr:colOff>
      <xdr:row>0</xdr:row>
      <xdr:rowOff>0</xdr:rowOff>
    </xdr:from>
    <xdr:to>
      <xdr:col>22</xdr:col>
      <xdr:colOff>689040</xdr:colOff>
      <xdr:row>53</xdr:row>
      <xdr:rowOff>150120</xdr:rowOff>
    </xdr:to>
    <xdr:sp>
      <xdr:nvSpPr>
        <xdr:cNvPr id="8" name="CustomShape 1" hidden="1"/>
        <xdr:cNvSpPr/>
      </xdr:nvSpPr>
      <xdr:spPr>
        <a:xfrm>
          <a:off x="0" y="0"/>
          <a:ext cx="15814440" cy="9902160"/>
        </a:xfrm>
        <a:prstGeom prst="rect">
          <a:avLst/>
        </a:prstGeom>
        <a:solidFill>
          <a:srgbClr val="ffffff"/>
        </a:solidFill>
        <a:ln w="9360">
          <a:noFill/>
        </a:ln>
      </xdr:spPr>
      <xdr:style>
        <a:lnRef idx="0"/>
        <a:fillRef idx="0"/>
        <a:effectRef idx="0"/>
        <a:fontRef idx="minor"/>
      </xdr:style>
    </xdr:sp>
    <xdr:clientData/>
  </xdr:twoCellAnchor>
  <xdr:twoCellAnchor editAs="absolute">
    <xdr:from>
      <xdr:col>0</xdr:col>
      <xdr:colOff>0</xdr:colOff>
      <xdr:row>0</xdr:row>
      <xdr:rowOff>0</xdr:rowOff>
    </xdr:from>
    <xdr:to>
      <xdr:col>22</xdr:col>
      <xdr:colOff>689040</xdr:colOff>
      <xdr:row>53</xdr:row>
      <xdr:rowOff>150120</xdr:rowOff>
    </xdr:to>
    <xdr:sp>
      <xdr:nvSpPr>
        <xdr:cNvPr id="9" name="CustomShape 1" hidden="1"/>
        <xdr:cNvSpPr/>
      </xdr:nvSpPr>
      <xdr:spPr>
        <a:xfrm>
          <a:off x="0" y="0"/>
          <a:ext cx="15814440" cy="99021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21</xdr:col>
      <xdr:colOff>804600</xdr:colOff>
      <xdr:row>52</xdr:row>
      <xdr:rowOff>99000</xdr:rowOff>
    </xdr:to>
    <xdr:sp>
      <xdr:nvSpPr>
        <xdr:cNvPr id="10" name="CustomShape 1" hidden="1"/>
        <xdr:cNvSpPr/>
      </xdr:nvSpPr>
      <xdr:spPr>
        <a:xfrm>
          <a:off x="0" y="0"/>
          <a:ext cx="14814360" cy="966708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21</xdr:col>
      <xdr:colOff>806040</xdr:colOff>
      <xdr:row>52</xdr:row>
      <xdr:rowOff>100800</xdr:rowOff>
    </xdr:to>
    <xdr:sp>
      <xdr:nvSpPr>
        <xdr:cNvPr id="11" name="CustomShape 1" hidden="1"/>
        <xdr:cNvSpPr/>
      </xdr:nvSpPr>
      <xdr:spPr>
        <a:xfrm>
          <a:off x="0" y="0"/>
          <a:ext cx="14815800" cy="966888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21</xdr:col>
      <xdr:colOff>806760</xdr:colOff>
      <xdr:row>52</xdr:row>
      <xdr:rowOff>101520</xdr:rowOff>
    </xdr:to>
    <xdr:sp>
      <xdr:nvSpPr>
        <xdr:cNvPr id="12" name="CustomShape 1" hidden="1"/>
        <xdr:cNvSpPr/>
      </xdr:nvSpPr>
      <xdr:spPr>
        <a:xfrm>
          <a:off x="0" y="0"/>
          <a:ext cx="14816520" cy="966960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21</xdr:col>
      <xdr:colOff>807120</xdr:colOff>
      <xdr:row>52</xdr:row>
      <xdr:rowOff>101880</xdr:rowOff>
    </xdr:to>
    <xdr:sp>
      <xdr:nvSpPr>
        <xdr:cNvPr id="13" name="CustomShape 1" hidden="1"/>
        <xdr:cNvSpPr/>
      </xdr:nvSpPr>
      <xdr:spPr>
        <a:xfrm>
          <a:off x="0" y="0"/>
          <a:ext cx="14816880" cy="9669960"/>
        </a:xfrm>
        <a:prstGeom prst="rect">
          <a:avLst/>
        </a:prstGeom>
        <a:solidFill>
          <a:srgbClr val="ffffff"/>
        </a:solidFill>
        <a:ln w="9360">
          <a:noFill/>
        </a:ln>
      </xdr:spPr>
      <xdr:style>
        <a:lnRef idx="0"/>
        <a:fillRef idx="0"/>
        <a:effectRef idx="0"/>
        <a:fontRef idx="minor"/>
      </xdr:style>
    </xdr:sp>
    <xdr:clientData/>
  </xdr:twoCellAnchor>
  <xdr:twoCellAnchor editAs="absolute">
    <xdr:from>
      <xdr:col>0</xdr:col>
      <xdr:colOff>0</xdr:colOff>
      <xdr:row>0</xdr:row>
      <xdr:rowOff>0</xdr:rowOff>
    </xdr:from>
    <xdr:to>
      <xdr:col>23</xdr:col>
      <xdr:colOff>527040</xdr:colOff>
      <xdr:row>53</xdr:row>
      <xdr:rowOff>150120</xdr:rowOff>
    </xdr:to>
    <xdr:sp>
      <xdr:nvSpPr>
        <xdr:cNvPr id="14" name="CustomShape 1" hidden="1"/>
        <xdr:cNvSpPr/>
      </xdr:nvSpPr>
      <xdr:spPr>
        <a:xfrm>
          <a:off x="0" y="0"/>
          <a:ext cx="16851960" cy="9902160"/>
        </a:xfrm>
        <a:prstGeom prst="rect">
          <a:avLst/>
        </a:prstGeom>
        <a:solidFill>
          <a:srgbClr val="ffffff"/>
        </a:solidFill>
        <a:ln>
          <a:noFill/>
        </a:ln>
      </xdr:spPr>
      <xdr:style>
        <a:lnRef idx="0"/>
        <a:fillRef idx="0"/>
        <a:effectRef idx="0"/>
        <a:fontRef idx="minor"/>
      </xdr:style>
    </xdr:sp>
    <xdr:clientData/>
  </xdr:twoCellAnchor>
  <xdr:twoCellAnchor editAs="twoCell">
    <xdr:from>
      <xdr:col>0</xdr:col>
      <xdr:colOff>0</xdr:colOff>
      <xdr:row>0</xdr:row>
      <xdr:rowOff>0</xdr:rowOff>
    </xdr:from>
    <xdr:to>
      <xdr:col>9</xdr:col>
      <xdr:colOff>594360</xdr:colOff>
      <xdr:row>34</xdr:row>
      <xdr:rowOff>99360</xdr:rowOff>
    </xdr:to>
    <xdr:sp>
      <xdr:nvSpPr>
        <xdr:cNvPr id="15" name="CustomShape 1" hidden="1"/>
        <xdr:cNvSpPr/>
      </xdr:nvSpPr>
      <xdr:spPr>
        <a:xfrm>
          <a:off x="0" y="0"/>
          <a:ext cx="7006320" cy="63525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166320</xdr:colOff>
      <xdr:row>56</xdr:row>
      <xdr:rowOff>15120</xdr:rowOff>
    </xdr:from>
    <xdr:to>
      <xdr:col>25</xdr:col>
      <xdr:colOff>129240</xdr:colOff>
      <xdr:row>90</xdr:row>
      <xdr:rowOff>91800</xdr:rowOff>
    </xdr:to>
    <xdr:graphicFrame>
      <xdr:nvGraphicFramePr>
        <xdr:cNvPr id="16" name="Graphique 4"/>
        <xdr:cNvGraphicFramePr/>
      </xdr:nvGraphicFramePr>
      <xdr:xfrm>
        <a:off x="9750240" y="10511640"/>
        <a:ext cx="8809560" cy="633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347760</xdr:colOff>
      <xdr:row>56</xdr:row>
      <xdr:rowOff>15120</xdr:rowOff>
    </xdr:from>
    <xdr:to>
      <xdr:col>37</xdr:col>
      <xdr:colOff>310680</xdr:colOff>
      <xdr:row>90</xdr:row>
      <xdr:rowOff>91800</xdr:rowOff>
    </xdr:to>
    <xdr:graphicFrame>
      <xdr:nvGraphicFramePr>
        <xdr:cNvPr id="17" name="Graphique 5"/>
        <xdr:cNvGraphicFramePr/>
      </xdr:nvGraphicFramePr>
      <xdr:xfrm>
        <a:off x="18778320" y="10511640"/>
        <a:ext cx="8809920" cy="6337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37</xdr:col>
      <xdr:colOff>544320</xdr:colOff>
      <xdr:row>56</xdr:row>
      <xdr:rowOff>45360</xdr:rowOff>
    </xdr:from>
    <xdr:to>
      <xdr:col>49</xdr:col>
      <xdr:colOff>507240</xdr:colOff>
      <xdr:row>90</xdr:row>
      <xdr:rowOff>122040</xdr:rowOff>
    </xdr:to>
    <xdr:graphicFrame>
      <xdr:nvGraphicFramePr>
        <xdr:cNvPr id="18" name="Graphique 6"/>
        <xdr:cNvGraphicFramePr/>
      </xdr:nvGraphicFramePr>
      <xdr:xfrm>
        <a:off x="27821880" y="10541880"/>
        <a:ext cx="8809560" cy="6337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49</xdr:col>
      <xdr:colOff>665280</xdr:colOff>
      <xdr:row>56</xdr:row>
      <xdr:rowOff>30240</xdr:rowOff>
    </xdr:from>
    <xdr:to>
      <xdr:col>61</xdr:col>
      <xdr:colOff>628200</xdr:colOff>
      <xdr:row>90</xdr:row>
      <xdr:rowOff>106920</xdr:rowOff>
    </xdr:to>
    <xdr:graphicFrame>
      <xdr:nvGraphicFramePr>
        <xdr:cNvPr id="19" name="Graphique 7"/>
        <xdr:cNvGraphicFramePr/>
      </xdr:nvGraphicFramePr>
      <xdr:xfrm>
        <a:off x="36789480" y="10526760"/>
        <a:ext cx="8809920" cy="6337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105840</xdr:colOff>
      <xdr:row>91</xdr:row>
      <xdr:rowOff>0</xdr:rowOff>
    </xdr:from>
    <xdr:to>
      <xdr:col>13</xdr:col>
      <xdr:colOff>68760</xdr:colOff>
      <xdr:row>125</xdr:row>
      <xdr:rowOff>76680</xdr:rowOff>
    </xdr:to>
    <xdr:graphicFrame>
      <xdr:nvGraphicFramePr>
        <xdr:cNvPr id="20" name="Graphique 8"/>
        <xdr:cNvGraphicFramePr/>
      </xdr:nvGraphicFramePr>
      <xdr:xfrm>
        <a:off x="842760" y="16941600"/>
        <a:ext cx="8809920" cy="63378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105840</xdr:colOff>
      <xdr:row>91</xdr:row>
      <xdr:rowOff>0</xdr:rowOff>
    </xdr:from>
    <xdr:to>
      <xdr:col>25</xdr:col>
      <xdr:colOff>68760</xdr:colOff>
      <xdr:row>125</xdr:row>
      <xdr:rowOff>76680</xdr:rowOff>
    </xdr:to>
    <xdr:graphicFrame>
      <xdr:nvGraphicFramePr>
        <xdr:cNvPr id="21" name="Graphique 9"/>
        <xdr:cNvGraphicFramePr/>
      </xdr:nvGraphicFramePr>
      <xdr:xfrm>
        <a:off x="9689760" y="16941600"/>
        <a:ext cx="8809560" cy="63378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332640</xdr:colOff>
      <xdr:row>90</xdr:row>
      <xdr:rowOff>136080</xdr:rowOff>
    </xdr:from>
    <xdr:to>
      <xdr:col>37</xdr:col>
      <xdr:colOff>295560</xdr:colOff>
      <xdr:row>125</xdr:row>
      <xdr:rowOff>31320</xdr:rowOff>
    </xdr:to>
    <xdr:graphicFrame>
      <xdr:nvGraphicFramePr>
        <xdr:cNvPr id="22" name="Graphique 10"/>
        <xdr:cNvGraphicFramePr/>
      </xdr:nvGraphicFramePr>
      <xdr:xfrm>
        <a:off x="18763200" y="16893720"/>
        <a:ext cx="8809920" cy="6340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37</xdr:col>
      <xdr:colOff>529200</xdr:colOff>
      <xdr:row>91</xdr:row>
      <xdr:rowOff>60480</xdr:rowOff>
    </xdr:from>
    <xdr:to>
      <xdr:col>49</xdr:col>
      <xdr:colOff>492120</xdr:colOff>
      <xdr:row>125</xdr:row>
      <xdr:rowOff>137160</xdr:rowOff>
    </xdr:to>
    <xdr:graphicFrame>
      <xdr:nvGraphicFramePr>
        <xdr:cNvPr id="23" name="Graphique 11"/>
        <xdr:cNvGraphicFramePr/>
      </xdr:nvGraphicFramePr>
      <xdr:xfrm>
        <a:off x="27806760" y="17002080"/>
        <a:ext cx="8809560" cy="63378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79</xdr:col>
      <xdr:colOff>15120</xdr:colOff>
      <xdr:row>4</xdr:row>
      <xdr:rowOff>29520</xdr:rowOff>
    </xdr:from>
    <xdr:to>
      <xdr:col>94</xdr:col>
      <xdr:colOff>415080</xdr:colOff>
      <xdr:row>32</xdr:row>
      <xdr:rowOff>58320</xdr:rowOff>
    </xdr:to>
    <xdr:graphicFrame>
      <xdr:nvGraphicFramePr>
        <xdr:cNvPr id="24" name="Graphique 1"/>
        <xdr:cNvGraphicFramePr/>
      </xdr:nvGraphicFramePr>
      <xdr:xfrm>
        <a:off x="58256640" y="766080"/>
        <a:ext cx="11458440" cy="5369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79</xdr:col>
      <xdr:colOff>75600</xdr:colOff>
      <xdr:row>33</xdr:row>
      <xdr:rowOff>60480</xdr:rowOff>
    </xdr:from>
    <xdr:to>
      <xdr:col>94</xdr:col>
      <xdr:colOff>475560</xdr:colOff>
      <xdr:row>62</xdr:row>
      <xdr:rowOff>89280</xdr:rowOff>
    </xdr:to>
    <xdr:graphicFrame>
      <xdr:nvGraphicFramePr>
        <xdr:cNvPr id="25" name="Graphique 2"/>
        <xdr:cNvGraphicFramePr/>
      </xdr:nvGraphicFramePr>
      <xdr:xfrm>
        <a:off x="58317120" y="6321240"/>
        <a:ext cx="11458440" cy="5369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110520</xdr:colOff>
      <xdr:row>56</xdr:row>
      <xdr:rowOff>27000</xdr:rowOff>
    </xdr:from>
    <xdr:to>
      <xdr:col>13</xdr:col>
      <xdr:colOff>73440</xdr:colOff>
      <xdr:row>90</xdr:row>
      <xdr:rowOff>103680</xdr:rowOff>
    </xdr:to>
    <xdr:graphicFrame>
      <xdr:nvGraphicFramePr>
        <xdr:cNvPr id="26" name="Graphique 3"/>
        <xdr:cNvGraphicFramePr/>
      </xdr:nvGraphicFramePr>
      <xdr:xfrm>
        <a:off x="847440" y="10523520"/>
        <a:ext cx="8809920" cy="6337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236880</xdr:colOff>
      <xdr:row>56</xdr:row>
      <xdr:rowOff>15120</xdr:rowOff>
    </xdr:from>
    <xdr:to>
      <xdr:col>27</xdr:col>
      <xdr:colOff>303480</xdr:colOff>
      <xdr:row>90</xdr:row>
      <xdr:rowOff>91800</xdr:rowOff>
    </xdr:to>
    <xdr:graphicFrame>
      <xdr:nvGraphicFramePr>
        <xdr:cNvPr id="27" name="Graphique 4"/>
        <xdr:cNvGraphicFramePr/>
      </xdr:nvGraphicFramePr>
      <xdr:xfrm>
        <a:off x="9820800" y="10511640"/>
        <a:ext cx="10387800" cy="63378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488880</xdr:colOff>
      <xdr:row>56</xdr:row>
      <xdr:rowOff>15120</xdr:rowOff>
    </xdr:from>
    <xdr:to>
      <xdr:col>39</xdr:col>
      <xdr:colOff>451800</xdr:colOff>
      <xdr:row>90</xdr:row>
      <xdr:rowOff>91800</xdr:rowOff>
    </xdr:to>
    <xdr:graphicFrame>
      <xdr:nvGraphicFramePr>
        <xdr:cNvPr id="28" name="Graphique 5"/>
        <xdr:cNvGraphicFramePr/>
      </xdr:nvGraphicFramePr>
      <xdr:xfrm>
        <a:off x="20394000" y="10511640"/>
        <a:ext cx="8809920" cy="63378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591480</xdr:colOff>
      <xdr:row>56</xdr:row>
      <xdr:rowOff>2160</xdr:rowOff>
    </xdr:from>
    <xdr:to>
      <xdr:col>51</xdr:col>
      <xdr:colOff>554400</xdr:colOff>
      <xdr:row>90</xdr:row>
      <xdr:rowOff>75240</xdr:rowOff>
    </xdr:to>
    <xdr:graphicFrame>
      <xdr:nvGraphicFramePr>
        <xdr:cNvPr id="29" name="Graphique 6"/>
        <xdr:cNvGraphicFramePr/>
      </xdr:nvGraphicFramePr>
      <xdr:xfrm>
        <a:off x="29343600" y="10498680"/>
        <a:ext cx="8809560" cy="6334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51</xdr:col>
      <xdr:colOff>688680</xdr:colOff>
      <xdr:row>55</xdr:row>
      <xdr:rowOff>171360</xdr:rowOff>
    </xdr:from>
    <xdr:to>
      <xdr:col>63</xdr:col>
      <xdr:colOff>651600</xdr:colOff>
      <xdr:row>90</xdr:row>
      <xdr:rowOff>60120</xdr:rowOff>
    </xdr:to>
    <xdr:graphicFrame>
      <xdr:nvGraphicFramePr>
        <xdr:cNvPr id="30" name="Graphique 7"/>
        <xdr:cNvGraphicFramePr/>
      </xdr:nvGraphicFramePr>
      <xdr:xfrm>
        <a:off x="38287440" y="10483560"/>
        <a:ext cx="8809920" cy="6334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105840</xdr:colOff>
      <xdr:row>91</xdr:row>
      <xdr:rowOff>0</xdr:rowOff>
    </xdr:from>
    <xdr:to>
      <xdr:col>13</xdr:col>
      <xdr:colOff>68760</xdr:colOff>
      <xdr:row>125</xdr:row>
      <xdr:rowOff>76680</xdr:rowOff>
    </xdr:to>
    <xdr:graphicFrame>
      <xdr:nvGraphicFramePr>
        <xdr:cNvPr id="31" name="Graphique 8"/>
        <xdr:cNvGraphicFramePr/>
      </xdr:nvGraphicFramePr>
      <xdr:xfrm>
        <a:off x="842760" y="16941600"/>
        <a:ext cx="8809920" cy="63378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199800</xdr:colOff>
      <xdr:row>91</xdr:row>
      <xdr:rowOff>47160</xdr:rowOff>
    </xdr:from>
    <xdr:to>
      <xdr:col>27</xdr:col>
      <xdr:colOff>326880</xdr:colOff>
      <xdr:row>125</xdr:row>
      <xdr:rowOff>123840</xdr:rowOff>
    </xdr:to>
    <xdr:graphicFrame>
      <xdr:nvGraphicFramePr>
        <xdr:cNvPr id="32" name="Graphique 9"/>
        <xdr:cNvGraphicFramePr/>
      </xdr:nvGraphicFramePr>
      <xdr:xfrm>
        <a:off x="9783720" y="16988760"/>
        <a:ext cx="10448280" cy="633780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473760</xdr:colOff>
      <xdr:row>91</xdr:row>
      <xdr:rowOff>42120</xdr:rowOff>
    </xdr:from>
    <xdr:to>
      <xdr:col>39</xdr:col>
      <xdr:colOff>436680</xdr:colOff>
      <xdr:row>125</xdr:row>
      <xdr:rowOff>125640</xdr:rowOff>
    </xdr:to>
    <xdr:graphicFrame>
      <xdr:nvGraphicFramePr>
        <xdr:cNvPr id="33" name="Graphique 10"/>
        <xdr:cNvGraphicFramePr/>
      </xdr:nvGraphicFramePr>
      <xdr:xfrm>
        <a:off x="20378880" y="16983720"/>
        <a:ext cx="8809920" cy="63446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39</xdr:col>
      <xdr:colOff>552600</xdr:colOff>
      <xdr:row>91</xdr:row>
      <xdr:rowOff>13320</xdr:rowOff>
    </xdr:from>
    <xdr:to>
      <xdr:col>51</xdr:col>
      <xdr:colOff>515520</xdr:colOff>
      <xdr:row>125</xdr:row>
      <xdr:rowOff>90000</xdr:rowOff>
    </xdr:to>
    <xdr:graphicFrame>
      <xdr:nvGraphicFramePr>
        <xdr:cNvPr id="34" name="Graphique 11"/>
        <xdr:cNvGraphicFramePr/>
      </xdr:nvGraphicFramePr>
      <xdr:xfrm>
        <a:off x="29304720" y="16954920"/>
        <a:ext cx="8809560" cy="63378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file:///C:/Users/gwenael.podesta/Downloads/Donnees_historiques_industries_v2.xlsm"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423_Mod&#233;lisations/4237_PEPIT0%20Ademe/Outil%20PEPIT0_production%20industrielle_ADEME_AME_postenvoiGT.xlsm"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423_Mod&#233;lisations/4237_PEPIT0%20Ademe/Outil%20PEPIT0_production%20industrielle_ADEME_AMS.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ypothèses de calcul"/>
      <sheetName val="Dataset"/>
      <sheetName val="Dataset yearly"/>
      <sheetName val="Sheet3"/>
      <sheetName val="Calculs_intermediaires"/>
      <sheetName val="Segmentation retenue"/>
      <sheetName val="DGEC Conso"/>
      <sheetName val="Odyssee"/>
      <sheetName val="Odyssee data"/>
      <sheetName val="Intro"/>
      <sheetName val="Bilan ENG"/>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rsp_Evolution Imp ExpNEW"/>
      <sheetName val="Trsp_ParamètresNEW"/>
      <sheetName val="MENU"/>
      <sheetName val="Biblio"/>
      <sheetName val="TDB"/>
      <sheetName val="Liste scenarios"/>
      <sheetName val="Hypo"/>
      <sheetName val="Scenarios"/>
      <sheetName val="TCD résultats"/>
      <sheetName val="Res_bdd"/>
      <sheetName val="Tables_Res_bdd"/>
      <sheetName val="Calcul_hypotheses"/>
      <sheetName val="Carto_2014 "/>
      <sheetName val="Carto 2014 (%)"/>
      <sheetName val="DIF"/>
      <sheetName val="Simul"/>
      <sheetName val="Graphiques_globaux"/>
      <sheetName val="Graphique_par_materiau"/>
      <sheetName val="Graphique_par_usage"/>
      <sheetName val="RES_annuels"/>
      <sheetName val="MatBat"/>
      <sheetName val="MatTP"/>
      <sheetName val="PAP"/>
      <sheetName val="Emballage_Resultats"/>
      <sheetName val="NRJ_Resultats"/>
      <sheetName val="Trsp_Resultats"/>
      <sheetName val="BTP_Resultats"/>
      <sheetName val="NH3"/>
      <sheetName val="Cl2"/>
      <sheetName val="SUC"/>
      <sheetName val="Etat carto"/>
      <sheetName val="Matrice cartographie 2014 (MR)"/>
      <sheetName val="NRJ_RAW ecoinvent"/>
      <sheetName val="NRJ_Bilan matiere"/>
      <sheetName val="Trsp_Evolution Imp Exp"/>
      <sheetName val="Trsp_Bilan matiere"/>
      <sheetName val="Trsp_Bilan Imp Exp"/>
      <sheetName val="Trsp_EUROSTAT 2014"/>
      <sheetName val="Trsp_RAW ecoinvent"/>
      <sheetName val="Listes"/>
      <sheetName val="SnW"/>
      <sheetName val="SourcesAutre"/>
      <sheetName val="Clinker"/>
      <sheetName val="Vérif Clinker"/>
      <sheetName val="SourcesBat"/>
      <sheetName val="SourcesT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rsp_Evolution Imp ExpNEW"/>
      <sheetName val="Trsp_ParamètresNEW"/>
      <sheetName val="MENU"/>
      <sheetName val="Biblio"/>
      <sheetName val="TDB"/>
      <sheetName val="Liste scenarios"/>
      <sheetName val="Hypo"/>
      <sheetName val="Scenarios"/>
      <sheetName val="TCD résultats"/>
      <sheetName val="Res_bdd"/>
      <sheetName val="Tables_Res_bdd"/>
      <sheetName val="Calcul_hypotheses"/>
      <sheetName val="Carto_2014 "/>
      <sheetName val="Carto 2014 (%)"/>
      <sheetName val="DIF"/>
      <sheetName val="Simul"/>
      <sheetName val="Graphiques_globaux"/>
      <sheetName val="Graphique_par_materiau"/>
      <sheetName val="Graphique_par_usage"/>
      <sheetName val="RES_annuels"/>
      <sheetName val="MatBat"/>
      <sheetName val="MatTP"/>
      <sheetName val="PAP"/>
      <sheetName val="Emballage_Resultats"/>
      <sheetName val="NRJ_Resultats"/>
      <sheetName val="Trsp_Resultats"/>
      <sheetName val="BTP_Resultats"/>
      <sheetName val="NH3"/>
      <sheetName val="Cl2"/>
      <sheetName val="SUC"/>
      <sheetName val="Etat carto"/>
      <sheetName val="Matrice cartographie 2014 (MR)"/>
      <sheetName val="NRJ_RAW ecoinvent"/>
      <sheetName val="NRJ_Bilan matiere"/>
      <sheetName val="Trsp_Evolution Imp Exp"/>
      <sheetName val="Trsp_Bilan matiere"/>
      <sheetName val="Trsp_Bilan Imp Exp"/>
      <sheetName val="Trsp_EUROSTAT 2014"/>
      <sheetName val="Trsp_RAW ecoinvent"/>
      <sheetName val="Listes"/>
      <sheetName val="SnW"/>
      <sheetName val="SourcesAutre"/>
      <sheetName val="Clinker"/>
      <sheetName val="Vérif Clinker"/>
      <sheetName val="SourcesBat"/>
      <sheetName val="SourcesT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worksheets/_rels/sheet10.xml.rels><?xml version="1.0" encoding="UTF-8"?>
<Relationships xmlns="http://schemas.openxmlformats.org/package/2006/relationships"><Relationship Id="rId1" Type="http://schemas.openxmlformats.org/officeDocument/2006/relationships/hyperlink" Target="https://www.legifrance.gouv.fr/jorf/id/JORFTEXT000044319595" TargetMode="External"/>
</Relationships>
</file>

<file path=xl/worksheets/_rels/sheet11.xml.rels><?xml version="1.0" encoding="UTF-8"?>
<Relationships xmlns="http://schemas.openxmlformats.org/package/2006/relationships"><Relationship Id="rId1" Type="http://schemas.openxmlformats.org/officeDocument/2006/relationships/drawing" Target="../drawings/drawing3.xml"/>
</Relationships>
</file>

<file path=xl/worksheets/_rels/sheet12.xml.rels><?xml version="1.0" encoding="UTF-8"?>
<Relationships xmlns="http://schemas.openxmlformats.org/package/2006/relationships"><Relationship Id="rId1" Type="http://schemas.openxmlformats.org/officeDocument/2006/relationships/drawing" Target="../drawings/drawing4.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www.mdpi.com/1996-1073/14/16/5152"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dpi.com/1996-1073/14/16/5152"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2A6099"/>
    <pageSetUpPr fitToPage="false"/>
  </sheetPr>
  <dimension ref="B2:X58"/>
  <sheetViews>
    <sheetView showFormulas="false" showGridLines="true" showRowColHeaders="true" showZeros="true" rightToLeft="false" tabSelected="false" showOutlineSymbols="true" defaultGridColor="true" view="normal" topLeftCell="A40" colorId="64" zoomScale="95" zoomScaleNormal="95" zoomScalePageLayoutView="100" workbookViewId="0">
      <selection pane="topLeft" activeCell="P21" activeCellId="0" sqref="P21"/>
    </sheetView>
  </sheetViews>
  <sheetFormatPr defaultRowHeight="14.5" zeroHeight="false" outlineLevelRow="0" outlineLevelCol="0"/>
  <cols>
    <col collapsed="false" customWidth="true" hidden="false" outlineLevel="0" max="1" min="1" style="1" width="8.45"/>
    <col collapsed="false" customWidth="true" hidden="false" outlineLevel="0" max="2" min="2" style="1" width="19.46"/>
    <col collapsed="false" customWidth="true" hidden="false" outlineLevel="0" max="1025" min="3" style="1" width="8.45"/>
  </cols>
  <sheetData>
    <row r="2" customFormat="false" ht="14.5" hidden="false" customHeight="false" outlineLevel="0" collapsed="false">
      <c r="B2" s="2" t="s">
        <v>0</v>
      </c>
      <c r="C2" s="2"/>
      <c r="D2" s="2"/>
      <c r="E2" s="2"/>
      <c r="F2" s="2"/>
      <c r="G2" s="2"/>
    </row>
    <row r="4" customFormat="false" ht="14.5" hidden="false" customHeight="false" outlineLevel="0" collapsed="false">
      <c r="B4" s="3" t="s">
        <v>1</v>
      </c>
      <c r="C4" s="3"/>
    </row>
    <row r="5" customFormat="false" ht="15" hidden="false" customHeight="false" outlineLevel="0" collapsed="false">
      <c r="E5" s="4"/>
      <c r="F5" s="4"/>
      <c r="G5" s="4"/>
      <c r="H5" s="4"/>
      <c r="I5" s="4"/>
    </row>
    <row r="6" customFormat="false" ht="14.5" hidden="false" customHeight="false" outlineLevel="0" collapsed="false">
      <c r="C6" s="5" t="s">
        <v>2</v>
      </c>
      <c r="D6" s="5"/>
      <c r="E6" s="5"/>
      <c r="F6" s="5"/>
      <c r="G6" s="5"/>
      <c r="H6" s="5"/>
      <c r="I6" s="5" t="s">
        <v>3</v>
      </c>
      <c r="J6" s="5"/>
      <c r="K6" s="5"/>
      <c r="L6" s="5"/>
      <c r="M6" s="5"/>
      <c r="N6" s="5"/>
      <c r="O6" s="5"/>
      <c r="P6" s="5" t="s">
        <v>4</v>
      </c>
      <c r="Q6" s="5"/>
      <c r="R6" s="5"/>
      <c r="S6" s="5"/>
      <c r="T6" s="5"/>
      <c r="U6" s="5"/>
      <c r="V6" s="5"/>
    </row>
    <row r="7" customFormat="false" ht="14.5" hidden="false" customHeight="false" outlineLevel="0" collapsed="false">
      <c r="B7" s="1" t="s">
        <v>5</v>
      </c>
      <c r="C7" s="6" t="n">
        <v>2015</v>
      </c>
      <c r="D7" s="7" t="n">
        <v>2016</v>
      </c>
      <c r="E7" s="7" t="n">
        <v>2017</v>
      </c>
      <c r="F7" s="7" t="n">
        <v>2018</v>
      </c>
      <c r="G7" s="7" t="n">
        <v>2019</v>
      </c>
      <c r="H7" s="8" t="n">
        <v>2020</v>
      </c>
      <c r="I7" s="6" t="n">
        <v>2023</v>
      </c>
      <c r="J7" s="7" t="n">
        <v>2025</v>
      </c>
      <c r="K7" s="7" t="n">
        <v>2030</v>
      </c>
      <c r="L7" s="7" t="n">
        <v>2035</v>
      </c>
      <c r="M7" s="7" t="n">
        <v>2040</v>
      </c>
      <c r="N7" s="7" t="n">
        <v>2045</v>
      </c>
      <c r="O7" s="8" t="n">
        <v>2050</v>
      </c>
      <c r="P7" s="6" t="n">
        <v>2023</v>
      </c>
      <c r="Q7" s="7" t="n">
        <v>2025</v>
      </c>
      <c r="R7" s="7" t="n">
        <v>2030</v>
      </c>
      <c r="S7" s="7" t="n">
        <v>2035</v>
      </c>
      <c r="T7" s="7" t="n">
        <v>2040</v>
      </c>
      <c r="U7" s="7" t="n">
        <v>2045</v>
      </c>
      <c r="V7" s="8" t="n">
        <v>2050</v>
      </c>
    </row>
    <row r="8" customFormat="false" ht="14.5" hidden="false" customHeight="false" outlineLevel="0" collapsed="false">
      <c r="B8" s="9" t="s">
        <v>6</v>
      </c>
      <c r="C8" s="6" t="n">
        <f aca="false">IGCE!C7</f>
        <v>15.09</v>
      </c>
      <c r="D8" s="7" t="n">
        <f aca="false">IGCE!D7</f>
        <v>14.45</v>
      </c>
      <c r="E8" s="7" t="n">
        <f aca="false">IGCE!E7</f>
        <v>15.6</v>
      </c>
      <c r="F8" s="7" t="n">
        <f aca="false">IGCE!F7</f>
        <v>15.45</v>
      </c>
      <c r="G8" s="7" t="n">
        <f aca="false">IGCE!G7</f>
        <v>14.59</v>
      </c>
      <c r="H8" s="10" t="n">
        <f aca="false">IGCE!H7</f>
        <v>11.59</v>
      </c>
      <c r="I8" s="6" t="n">
        <v>14.2</v>
      </c>
      <c r="J8" s="11" t="n">
        <f aca="false">IGCE!E101</f>
        <v>14.5663125767295</v>
      </c>
      <c r="K8" s="11" t="n">
        <f aca="false">IGCE!F101</f>
        <v>14.5465730573374</v>
      </c>
      <c r="L8" s="11" t="n">
        <f aca="false">IGCE!G101</f>
        <v>14.7459797603108</v>
      </c>
      <c r="M8" s="11" t="n">
        <f aca="false">IGCE!H101</f>
        <v>14.9453864632842</v>
      </c>
      <c r="N8" s="11" t="n">
        <f aca="false">IGCE!I101</f>
        <v>15.1447931662576</v>
      </c>
      <c r="O8" s="12" t="n">
        <f aca="false">IGCE!J101</f>
        <v>15.344199869231</v>
      </c>
      <c r="P8" s="6" t="n">
        <v>14.2</v>
      </c>
      <c r="Q8" s="11" t="n">
        <f aca="false">IGCE!E120</f>
        <v>14.1228443945028</v>
      </c>
      <c r="R8" s="11" t="n">
        <f aca="false">IGCE!F120</f>
        <v>13.7335480565885</v>
      </c>
      <c r="S8" s="11" t="n">
        <f aca="false">IGCE!G120</f>
        <v>13.6382232348187</v>
      </c>
      <c r="T8" s="11" t="n">
        <f aca="false">IGCE!H120</f>
        <v>13.5428984130489</v>
      </c>
      <c r="U8" s="11" t="n">
        <f aca="false">IGCE!I120</f>
        <v>13.4475735912791</v>
      </c>
      <c r="V8" s="12" t="n">
        <f aca="false">IGCE!J120</f>
        <v>13.3522487695094</v>
      </c>
    </row>
    <row r="9" customFormat="false" ht="14.5" hidden="false" customHeight="false" outlineLevel="0" collapsed="false">
      <c r="B9" s="9" t="s">
        <v>7</v>
      </c>
      <c r="C9" s="6" t="n">
        <f aca="false">IGCE!C8</f>
        <v>9.99</v>
      </c>
      <c r="D9" s="7" t="n">
        <f aca="false">IGCE!D8</f>
        <v>9.59</v>
      </c>
      <c r="E9" s="7" t="n">
        <f aca="false">IGCE!E8</f>
        <v>10.73</v>
      </c>
      <c r="F9" s="7" t="n">
        <f aca="false">IGCE!F8</f>
        <v>10.6</v>
      </c>
      <c r="G9" s="7" t="n">
        <f aca="false">IGCE!G8</f>
        <v>10.13</v>
      </c>
      <c r="H9" s="10" t="n">
        <f aca="false">IGCE!H8</f>
        <v>7.87</v>
      </c>
      <c r="I9" s="6" t="n">
        <v>9.6</v>
      </c>
      <c r="J9" s="11" t="n">
        <f aca="false">IGCE!E102</f>
        <v>9.65210157968533</v>
      </c>
      <c r="K9" s="11" t="n">
        <f aca="false">IGCE!F102</f>
        <v>9.1781949052248</v>
      </c>
      <c r="L9" s="11" t="n">
        <f aca="false">IGCE!G102</f>
        <v>9.21623735019426</v>
      </c>
      <c r="M9" s="11" t="n">
        <f aca="false">IGCE!H102</f>
        <v>9.2519059058426</v>
      </c>
      <c r="N9" s="11" t="n">
        <f aca="false">IGCE!I102</f>
        <v>9.28520057216982</v>
      </c>
      <c r="O9" s="12" t="n">
        <f aca="false">IGCE!J102</f>
        <v>9.31612134917594</v>
      </c>
      <c r="P9" s="6" t="n">
        <v>9.6</v>
      </c>
      <c r="Q9" s="11" t="n">
        <f aca="false">IGCE!E121</f>
        <v>7.41321267080143</v>
      </c>
      <c r="R9" s="11" t="n">
        <f aca="false">IGCE!F121</f>
        <v>4.44930092968779</v>
      </c>
      <c r="S9" s="11" t="n">
        <f aca="false">IGCE!G121</f>
        <v>3.77318296461143</v>
      </c>
      <c r="T9" s="11" t="n">
        <f aca="false">IGCE!H121</f>
        <v>3.1010368671088</v>
      </c>
      <c r="U9" s="11" t="n">
        <f aca="false">IGCE!I121</f>
        <v>2.43286263717991</v>
      </c>
      <c r="V9" s="12" t="n">
        <f aca="false">IGCE!J121</f>
        <v>1.76866027482477</v>
      </c>
    </row>
    <row r="10" customFormat="false" ht="14.5" hidden="false" customHeight="false" outlineLevel="0" collapsed="false">
      <c r="B10" s="9" t="s">
        <v>8</v>
      </c>
      <c r="C10" s="6" t="n">
        <f aca="false">IGCE!C9</f>
        <v>5.1</v>
      </c>
      <c r="D10" s="7" t="n">
        <f aca="false">IGCE!D9</f>
        <v>4.86</v>
      </c>
      <c r="E10" s="7" t="n">
        <f aca="false">IGCE!E9</f>
        <v>4.87</v>
      </c>
      <c r="F10" s="7" t="n">
        <f aca="false">IGCE!F9</f>
        <v>4.85</v>
      </c>
      <c r="G10" s="7" t="n">
        <f aca="false">IGCE!G9</f>
        <v>4.46</v>
      </c>
      <c r="H10" s="10" t="n">
        <f aca="false">IGCE!H9</f>
        <v>3.72</v>
      </c>
      <c r="I10" s="6" t="n">
        <v>4.6</v>
      </c>
      <c r="J10" s="11" t="n">
        <f aca="false">IGCE!E103</f>
        <v>4.91421099704418</v>
      </c>
      <c r="K10" s="11" t="n">
        <f aca="false">IGCE!F103</f>
        <v>5.36837815211262</v>
      </c>
      <c r="L10" s="11" t="n">
        <f aca="false">IGCE!G103</f>
        <v>5.52974241011655</v>
      </c>
      <c r="M10" s="11" t="n">
        <f aca="false">IGCE!H103</f>
        <v>5.6934805574416</v>
      </c>
      <c r="N10" s="11" t="n">
        <f aca="false">IGCE!I103</f>
        <v>5.85959259408775</v>
      </c>
      <c r="O10" s="12" t="n">
        <f aca="false">IGCE!J103</f>
        <v>6.02807852005502</v>
      </c>
      <c r="P10" s="6" t="n">
        <v>4.6</v>
      </c>
      <c r="Q10" s="11" t="n">
        <f aca="false">IGCE!E122</f>
        <v>6.10963172370139</v>
      </c>
      <c r="R10" s="11" t="n">
        <f aca="false">IGCE!F122</f>
        <v>7.68424712690071</v>
      </c>
      <c r="S10" s="11" t="n">
        <f aca="false">IGCE!G122</f>
        <v>7.91504027020729</v>
      </c>
      <c r="T10" s="11" t="n">
        <f aca="false">IGCE!H122</f>
        <v>8.14186154594013</v>
      </c>
      <c r="U10" s="11" t="n">
        <f aca="false">IGCE!I122</f>
        <v>8.36471095409923</v>
      </c>
      <c r="V10" s="12" t="n">
        <f aca="false">IGCE!J122</f>
        <v>8.58358849468458</v>
      </c>
    </row>
    <row r="11" customFormat="false" ht="14.5" hidden="false" customHeight="false" outlineLevel="0" collapsed="false">
      <c r="B11" s="9" t="s">
        <v>9</v>
      </c>
      <c r="C11" s="6" t="n">
        <v>0</v>
      </c>
      <c r="D11" s="7" t="n">
        <v>0</v>
      </c>
      <c r="E11" s="7" t="n">
        <v>0</v>
      </c>
      <c r="F11" s="7" t="n">
        <v>0</v>
      </c>
      <c r="G11" s="7" t="n">
        <v>0</v>
      </c>
      <c r="H11" s="8" t="n">
        <v>0</v>
      </c>
      <c r="I11" s="6" t="n">
        <v>0</v>
      </c>
      <c r="J11" s="11" t="n">
        <f aca="false">IGCE!E104</f>
        <v>0</v>
      </c>
      <c r="K11" s="11" t="n">
        <f aca="false">IGCE!F104</f>
        <v>0</v>
      </c>
      <c r="L11" s="11" t="n">
        <f aca="false">IGCE!G104</f>
        <v>0</v>
      </c>
      <c r="M11" s="11" t="n">
        <f aca="false">IGCE!H104</f>
        <v>0</v>
      </c>
      <c r="N11" s="11" t="n">
        <f aca="false">IGCE!I104</f>
        <v>0</v>
      </c>
      <c r="O11" s="12" t="n">
        <f aca="false">IGCE!J104</f>
        <v>0</v>
      </c>
      <c r="P11" s="6" t="n">
        <v>0</v>
      </c>
      <c r="Q11" s="11" t="n">
        <f aca="false">IGCE!E123</f>
        <v>0.6</v>
      </c>
      <c r="R11" s="11" t="n">
        <f aca="false">IGCE!F123</f>
        <v>1.6</v>
      </c>
      <c r="S11" s="11" t="n">
        <f aca="false">IGCE!G123</f>
        <v>1.95</v>
      </c>
      <c r="T11" s="11" t="n">
        <f aca="false">IGCE!H123</f>
        <v>2.3</v>
      </c>
      <c r="U11" s="11" t="n">
        <f aca="false">IGCE!I123</f>
        <v>2.65</v>
      </c>
      <c r="V11" s="12" t="n">
        <f aca="false">IGCE!J123</f>
        <v>3</v>
      </c>
    </row>
    <row r="12" customFormat="false" ht="14.5" hidden="false" customHeight="false" outlineLevel="0" collapsed="false">
      <c r="B12" s="9" t="s">
        <v>10</v>
      </c>
      <c r="C12" s="6" t="n">
        <v>0.893</v>
      </c>
      <c r="D12" s="7" t="n">
        <v>0.918</v>
      </c>
      <c r="E12" s="7" t="n">
        <v>0.942</v>
      </c>
      <c r="F12" s="7" t="n">
        <v>0.878</v>
      </c>
      <c r="G12" s="7" t="n">
        <v>0.894</v>
      </c>
      <c r="H12" s="13" t="n">
        <f aca="false">G12*0.897402216594645</f>
        <v>0.802277581635613</v>
      </c>
      <c r="I12" s="6" t="n">
        <v>0.9</v>
      </c>
      <c r="J12" s="11" t="n">
        <f aca="false">IGCE!E105</f>
        <v>0.970035991559802</v>
      </c>
      <c r="K12" s="11" t="n">
        <f aca="false">IGCE!F105</f>
        <v>1.03339931785964</v>
      </c>
      <c r="L12" s="11" t="n">
        <f aca="false">IGCE!G105</f>
        <v>1.11577221392208</v>
      </c>
      <c r="M12" s="11" t="n">
        <f aca="false">IGCE!H105</f>
        <v>1.19814510998452</v>
      </c>
      <c r="N12" s="11" t="n">
        <f aca="false">IGCE!I105</f>
        <v>1.28051800604697</v>
      </c>
      <c r="O12" s="12" t="n">
        <f aca="false">IGCE!J105</f>
        <v>1.36289090210941</v>
      </c>
      <c r="P12" s="6" t="n">
        <v>0.9</v>
      </c>
      <c r="Q12" s="11" t="n">
        <f aca="false">IGCE!E124</f>
        <v>0.993688263559763</v>
      </c>
      <c r="R12" s="11" t="n">
        <f aca="false">IGCE!F124</f>
        <v>1.11849505972335</v>
      </c>
      <c r="S12" s="11" t="n">
        <f aca="false">IGCE!G124</f>
        <v>1.29247927965208</v>
      </c>
      <c r="T12" s="11" t="n">
        <f aca="false">IGCE!H124</f>
        <v>1.4787080029568</v>
      </c>
      <c r="U12" s="11" t="n">
        <f aca="false">IGCE!I124</f>
        <v>1.67718122963753</v>
      </c>
      <c r="V12" s="12" t="n">
        <f aca="false">IGCE!J124</f>
        <v>1.88789895969426</v>
      </c>
    </row>
    <row r="13" customFormat="false" ht="14.5" hidden="false" customHeight="false" outlineLevel="0" collapsed="false">
      <c r="B13" s="14" t="s">
        <v>11</v>
      </c>
      <c r="C13" s="15" t="n">
        <v>0.472</v>
      </c>
      <c r="D13" s="16" t="n">
        <v>0.488</v>
      </c>
      <c r="E13" s="16" t="n">
        <v>0.508</v>
      </c>
      <c r="F13" s="16" t="n">
        <v>0.496</v>
      </c>
      <c r="G13" s="16" t="n">
        <v>0.476</v>
      </c>
      <c r="H13" s="10" t="n">
        <v>0.401</v>
      </c>
      <c r="I13" s="6" t="n">
        <v>0.42</v>
      </c>
      <c r="J13" s="17" t="n">
        <f aca="false">IGCE!E106</f>
        <v>0.521334667633935</v>
      </c>
      <c r="K13" s="17" t="n">
        <f aca="false">IGCE!F106</f>
        <v>0.56055555391818</v>
      </c>
      <c r="L13" s="17" t="n">
        <f aca="false">IGCE!G106</f>
        <v>0.613606073952709</v>
      </c>
      <c r="M13" s="17" t="n">
        <f aca="false">IGCE!H106</f>
        <v>0.667892187428175</v>
      </c>
      <c r="N13" s="17" t="n">
        <f aca="false">IGCE!I106</f>
        <v>0.723413894344577</v>
      </c>
      <c r="O13" s="18" t="n">
        <f aca="false">IGCE!J106</f>
        <v>0.780171194701917</v>
      </c>
      <c r="P13" s="6" t="n">
        <f aca="false">P12-P14</f>
        <v>-1.33</v>
      </c>
      <c r="Q13" s="17" t="n">
        <f aca="false">IGCE!E125</f>
        <v>0.562645412767284</v>
      </c>
      <c r="R13" s="17" t="n">
        <f aca="false">IGCE!F125</f>
        <v>0.671097035834013</v>
      </c>
      <c r="S13" s="17" t="n">
        <f aca="false">IGCE!G125</f>
        <v>0.84011153177385</v>
      </c>
      <c r="T13" s="17" t="n">
        <f aca="false">IGCE!H125</f>
        <v>1.03509560206976</v>
      </c>
      <c r="U13" s="17" t="n">
        <f aca="false">IGCE!I125</f>
        <v>1.25788592222815</v>
      </c>
      <c r="V13" s="18" t="n">
        <f aca="false">IGCE!J125</f>
        <v>1.51031916775541</v>
      </c>
    </row>
    <row r="14" customFormat="false" ht="14.5" hidden="false" customHeight="false" outlineLevel="0" collapsed="false">
      <c r="B14" s="9" t="s">
        <v>12</v>
      </c>
      <c r="C14" s="6" t="n">
        <v>2.51</v>
      </c>
      <c r="D14" s="7" t="n">
        <v>2.24</v>
      </c>
      <c r="E14" s="7" t="n">
        <v>2.59</v>
      </c>
      <c r="F14" s="7" t="n">
        <v>2.16</v>
      </c>
      <c r="G14" s="7" t="n">
        <v>2.34</v>
      </c>
      <c r="H14" s="8" t="n">
        <v>2.27</v>
      </c>
      <c r="I14" s="6" t="n">
        <v>2.25</v>
      </c>
      <c r="J14" s="17" t="n">
        <f aca="false">IGCE!E107</f>
        <v>2.13097339422502</v>
      </c>
      <c r="K14" s="17" t="n">
        <f aca="false">IGCE!F107</f>
        <v>1.95678455607921</v>
      </c>
      <c r="L14" s="17" t="n">
        <f aca="false">IGCE!G107</f>
        <v>1.79569834505544</v>
      </c>
      <c r="M14" s="17" t="n">
        <f aca="false">IGCE!H107</f>
        <v>1.63461213403168</v>
      </c>
      <c r="N14" s="17" t="n">
        <f aca="false">IGCE!I107</f>
        <v>1.47352592300791</v>
      </c>
      <c r="O14" s="18" t="n">
        <f aca="false">IGCE!J107</f>
        <v>1.31243971198415</v>
      </c>
      <c r="P14" s="6" t="n">
        <v>2.23</v>
      </c>
      <c r="Q14" s="17" t="n">
        <f aca="false">IGCE!E126</f>
        <v>1.98034922892107</v>
      </c>
      <c r="R14" s="17" t="n">
        <f aca="false">IGCE!F126</f>
        <v>1.65215372671994</v>
      </c>
      <c r="S14" s="17" t="n">
        <f aca="false">IGCE!G126</f>
        <v>1.50598270523382</v>
      </c>
      <c r="T14" s="17" t="n">
        <f aca="false">IGCE!H126</f>
        <v>1.34782375493279</v>
      </c>
      <c r="U14" s="17" t="n">
        <f aca="false">IGCE!I126</f>
        <v>1.17767687581685</v>
      </c>
      <c r="V14" s="18" t="n">
        <f aca="false">IGCE!J126</f>
        <v>0.995542067885987</v>
      </c>
    </row>
    <row r="15" customFormat="false" ht="14.5" hidden="false" customHeight="false" outlineLevel="0" collapsed="false">
      <c r="B15" s="9" t="s">
        <v>13</v>
      </c>
      <c r="C15" s="6" t="n">
        <v>0.92</v>
      </c>
      <c r="D15" s="7" t="n">
        <v>0.92</v>
      </c>
      <c r="E15" s="7" t="n">
        <v>0.97</v>
      </c>
      <c r="F15" s="7" t="n">
        <v>0.89</v>
      </c>
      <c r="G15" s="7" t="n">
        <v>0.96</v>
      </c>
      <c r="H15" s="8" t="n">
        <v>0.89</v>
      </c>
      <c r="I15" s="6" t="n">
        <v>0.95</v>
      </c>
      <c r="J15" s="11" t="n">
        <f aca="false">IGCE!E108</f>
        <v>0.954780035906068</v>
      </c>
      <c r="K15" s="11" t="n">
        <f aca="false">IGCE!F108</f>
        <v>0.950430065827792</v>
      </c>
      <c r="L15" s="11" t="n">
        <f aca="false">IGCE!G108</f>
        <v>0.937686623351531</v>
      </c>
      <c r="M15" s="11" t="n">
        <f aca="false">IGCE!H108</f>
        <v>0.92494318087527</v>
      </c>
      <c r="N15" s="11" t="n">
        <f aca="false">IGCE!I108</f>
        <v>0.912199738399009</v>
      </c>
      <c r="O15" s="12" t="n">
        <f aca="false">IGCE!J108</f>
        <v>0.899456295922749</v>
      </c>
      <c r="P15" s="6" t="n">
        <v>0.93</v>
      </c>
      <c r="Q15" s="11" t="n">
        <f aca="false">IGCE!E127</f>
        <v>0.938951512519586</v>
      </c>
      <c r="R15" s="11" t="n">
        <f aca="false">IGCE!F127</f>
        <v>0.92082636475164</v>
      </c>
      <c r="S15" s="11" t="n">
        <f aca="false">IGCE!G127</f>
        <v>0.896612932694256</v>
      </c>
      <c r="T15" s="11" t="n">
        <f aca="false">IGCE!H127</f>
        <v>0.86902965636564</v>
      </c>
      <c r="U15" s="11" t="n">
        <f aca="false">IGCE!I127</f>
        <v>0.821643662515484</v>
      </c>
      <c r="V15" s="12" t="n">
        <f aca="false">IGCE!J127</f>
        <v>0.7654795913283</v>
      </c>
    </row>
    <row r="16" customFormat="false" ht="14.5" hidden="false" customHeight="false" outlineLevel="0" collapsed="false">
      <c r="B16" s="9" t="s">
        <v>14</v>
      </c>
      <c r="C16" s="6" t="n">
        <v>1.07</v>
      </c>
      <c r="D16" s="7" t="n">
        <v>1.1</v>
      </c>
      <c r="E16" s="7" t="n">
        <v>0.91</v>
      </c>
      <c r="F16" s="7" t="n">
        <v>1.11</v>
      </c>
      <c r="G16" s="7" t="n">
        <v>1.07</v>
      </c>
      <c r="H16" s="8" t="n">
        <v>1</v>
      </c>
      <c r="I16" s="6" t="n">
        <v>1.05</v>
      </c>
      <c r="J16" s="11" t="n">
        <f aca="false">IGCE!E109</f>
        <v>1.06741762793201</v>
      </c>
      <c r="K16" s="11" t="n">
        <f aca="false">IGCE!F109</f>
        <v>1.06898483019658</v>
      </c>
      <c r="L16" s="11" t="n">
        <f aca="false">IGCE!G109</f>
        <v>1.05504777526967</v>
      </c>
      <c r="M16" s="11" t="n">
        <f aca="false">IGCE!H109</f>
        <v>1.04111072034276</v>
      </c>
      <c r="N16" s="11" t="n">
        <f aca="false">IGCE!I109</f>
        <v>1.02717366541585</v>
      </c>
      <c r="O16" s="12" t="n">
        <f aca="false">IGCE!J109</f>
        <v>1.01323661048894</v>
      </c>
      <c r="P16" s="6" t="n">
        <v>1.05</v>
      </c>
      <c r="Q16" s="11" t="n">
        <f aca="false">IGCE!E128</f>
        <v>1.34982234802848</v>
      </c>
      <c r="R16" s="11" t="n">
        <f aca="false">IGCE!F128</f>
        <v>1.31880378263304</v>
      </c>
      <c r="S16" s="11" t="n">
        <f aca="false">IGCE!G128</f>
        <v>1.24935425621826</v>
      </c>
      <c r="T16" s="11" t="n">
        <f aca="false">IGCE!H128</f>
        <v>1.17186682211321</v>
      </c>
      <c r="U16" s="11" t="n">
        <f aca="false">IGCE!I128</f>
        <v>1.0863414803179</v>
      </c>
      <c r="V16" s="12" t="n">
        <f aca="false">IGCE!J128</f>
        <v>0.992778230832334</v>
      </c>
    </row>
    <row r="17" customFormat="false" ht="14.5" hidden="false" customHeight="false" outlineLevel="0" collapsed="false">
      <c r="B17" s="9" t="s">
        <v>15</v>
      </c>
      <c r="C17" s="6" t="n">
        <v>12.54</v>
      </c>
      <c r="D17" s="7" t="n">
        <v>12.67</v>
      </c>
      <c r="E17" s="7" t="n">
        <v>12.36</v>
      </c>
      <c r="F17" s="7" t="n">
        <v>12.84</v>
      </c>
      <c r="G17" s="7" t="n">
        <v>12.94</v>
      </c>
      <c r="H17" s="8" t="n">
        <v>11.77</v>
      </c>
      <c r="I17" s="6" t="n">
        <v>12.4</v>
      </c>
      <c r="J17" s="11" t="n">
        <f aca="false">IGCE!E110</f>
        <v>12.3696109042975</v>
      </c>
      <c r="K17" s="11" t="n">
        <f aca="false">IGCE!F110</f>
        <v>11.9723478287285</v>
      </c>
      <c r="L17" s="11" t="n">
        <f aca="false">IGCE!G110</f>
        <v>11.2895648974186</v>
      </c>
      <c r="M17" s="11" t="n">
        <f aca="false">IGCE!H110</f>
        <v>10.6067819661088</v>
      </c>
      <c r="N17" s="11" t="n">
        <f aca="false">IGCE!I110</f>
        <v>9.92399903479898</v>
      </c>
      <c r="O17" s="12" t="n">
        <f aca="false">IGCE!J110</f>
        <v>9.24121610348914</v>
      </c>
      <c r="P17" s="6" t="n">
        <v>12.4</v>
      </c>
      <c r="Q17" s="11" t="n">
        <f aca="false">IGCE!E129</f>
        <v>11.3562027318059</v>
      </c>
      <c r="R17" s="11" t="n">
        <f aca="false">IGCE!F129</f>
        <v>10.0363716749775</v>
      </c>
      <c r="S17" s="11" t="n">
        <f aca="false">IGCE!G129</f>
        <v>9.13804477275652</v>
      </c>
      <c r="T17" s="11" t="n">
        <f aca="false">IGCE!H129</f>
        <v>8.23971787053552</v>
      </c>
      <c r="U17" s="11" t="n">
        <f aca="false">IGCE!I129</f>
        <v>7.34139096831452</v>
      </c>
      <c r="V17" s="12" t="n">
        <f aca="false">IGCE!J129</f>
        <v>6.44306406609352</v>
      </c>
    </row>
    <row r="18" customFormat="false" ht="14.5" hidden="false" customHeight="false" outlineLevel="0" collapsed="false">
      <c r="B18" s="9" t="s">
        <v>16</v>
      </c>
      <c r="C18" s="19" t="n">
        <v>5.46248951071406</v>
      </c>
      <c r="D18" s="20" t="n">
        <v>5.16836899</v>
      </c>
      <c r="E18" s="20" t="n">
        <v>5.59963662</v>
      </c>
      <c r="F18" s="20" t="n">
        <v>5.66565545</v>
      </c>
      <c r="G18" s="20" t="n">
        <v>5.69713235</v>
      </c>
      <c r="H18" s="21" t="n">
        <v>5.02355585</v>
      </c>
      <c r="I18" s="6" t="n">
        <v>5.3</v>
      </c>
      <c r="J18" s="11" t="n">
        <f aca="false">IGCE!E111</f>
        <v>5.67674640593684</v>
      </c>
      <c r="K18" s="11" t="n">
        <f aca="false">IGCE!F111</f>
        <v>5.65975811921754</v>
      </c>
      <c r="L18" s="11" t="n">
        <f aca="false">IGCE!G111</f>
        <v>5.46292321192677</v>
      </c>
      <c r="M18" s="11" t="n">
        <f aca="false">IGCE!H111</f>
        <v>5.266088304636</v>
      </c>
      <c r="N18" s="11" t="n">
        <f aca="false">IGCE!I111</f>
        <v>5.06925339734523</v>
      </c>
      <c r="O18" s="12" t="n">
        <f aca="false">IGCE!J111</f>
        <v>4.87241849005445</v>
      </c>
      <c r="P18" s="6" t="n">
        <v>5.3</v>
      </c>
      <c r="Q18" s="11" t="n">
        <f aca="false">IGCE!E130</f>
        <v>5.53126350583554</v>
      </c>
      <c r="R18" s="11" t="n">
        <f aca="false">IGCE!F130</f>
        <v>5.39303946903183</v>
      </c>
      <c r="S18" s="11" t="n">
        <f aca="false">IGCE!G130</f>
        <v>4.99710283736416</v>
      </c>
      <c r="T18" s="11" t="n">
        <f aca="false">IGCE!H130</f>
        <v>4.60116620569649</v>
      </c>
      <c r="U18" s="11" t="n">
        <f aca="false">IGCE!I130</f>
        <v>4.20522957402882</v>
      </c>
      <c r="V18" s="12" t="n">
        <f aca="false">IGCE!J130</f>
        <v>3.80929294236115</v>
      </c>
    </row>
    <row r="19" customFormat="false" ht="14.5" hidden="false" customHeight="false" outlineLevel="0" collapsed="false">
      <c r="B19" s="9" t="s">
        <v>17</v>
      </c>
      <c r="C19" s="6" t="n">
        <v>7.99</v>
      </c>
      <c r="D19" s="7" t="n">
        <v>9.98</v>
      </c>
      <c r="E19" s="7" t="n">
        <v>8.02</v>
      </c>
      <c r="F19" s="7" t="n">
        <v>7.87</v>
      </c>
      <c r="G19" s="7" t="n">
        <v>7.32</v>
      </c>
      <c r="H19" s="21" t="n">
        <f aca="false">G19*0.930316272251903</f>
        <v>6.80991511288393</v>
      </c>
      <c r="I19" s="6" t="n">
        <v>7.9</v>
      </c>
      <c r="J19" s="11" t="n">
        <f aca="false">IGCE!E112</f>
        <v>7.77357941562055</v>
      </c>
      <c r="K19" s="11" t="n">
        <f aca="false">IGCE!F112</f>
        <v>8.15156226197102</v>
      </c>
      <c r="L19" s="11" t="n">
        <f aca="false">IGCE!G112</f>
        <v>8.63174654239049</v>
      </c>
      <c r="M19" s="11" t="n">
        <f aca="false">IGCE!H112</f>
        <v>9.11193082280995</v>
      </c>
      <c r="N19" s="11" t="n">
        <f aca="false">IGCE!I112</f>
        <v>9.59211510322942</v>
      </c>
      <c r="O19" s="12" t="n">
        <f aca="false">IGCE!J112</f>
        <v>10.0722993836489</v>
      </c>
      <c r="P19" s="6" t="n">
        <v>7.9</v>
      </c>
      <c r="Q19" s="11" t="n">
        <f aca="false">IGCE!E131</f>
        <v>7.8694907919721</v>
      </c>
      <c r="R19" s="11" t="n">
        <f aca="false">IGCE!F131</f>
        <v>8.3983854994471</v>
      </c>
      <c r="S19" s="11" t="n">
        <f aca="false">IGCE!G131</f>
        <v>8.91702817351408</v>
      </c>
      <c r="T19" s="11" t="n">
        <f aca="false">IGCE!H131</f>
        <v>9.4510953982822</v>
      </c>
      <c r="U19" s="11" t="n">
        <f aca="false">IGCE!I131</f>
        <v>10.0005871737515</v>
      </c>
      <c r="V19" s="12" t="n">
        <f aca="false">IGCE!J131</f>
        <v>10.5655034999219</v>
      </c>
    </row>
    <row r="20" customFormat="false" ht="15" hidden="false" customHeight="false" outlineLevel="0" collapsed="false">
      <c r="B20" s="9" t="s">
        <v>18</v>
      </c>
      <c r="C20" s="22" t="n">
        <v>4.52</v>
      </c>
      <c r="D20" s="23" t="n">
        <v>4.68</v>
      </c>
      <c r="E20" s="23" t="n">
        <v>6.24</v>
      </c>
      <c r="F20" s="23" t="n">
        <v>5.09</v>
      </c>
      <c r="G20" s="23" t="n">
        <v>4.96</v>
      </c>
      <c r="H20" s="24" t="n">
        <v>3.38</v>
      </c>
      <c r="I20" s="22" t="n">
        <v>4.9</v>
      </c>
      <c r="J20" s="25" t="n">
        <f aca="false">IGCE!E113</f>
        <v>5.0392902944438</v>
      </c>
      <c r="K20" s="25" t="n">
        <f aca="false">IGCE!F113</f>
        <v>5.10536553981364</v>
      </c>
      <c r="L20" s="25" t="n">
        <f aca="false">IGCE!G113</f>
        <v>5.14923728040113</v>
      </c>
      <c r="M20" s="25" t="n">
        <f aca="false">IGCE!H113</f>
        <v>5.19310902098863</v>
      </c>
      <c r="N20" s="25" t="n">
        <f aca="false">IGCE!I113</f>
        <v>5.23698076157613</v>
      </c>
      <c r="O20" s="26" t="n">
        <f aca="false">IGCE!J113</f>
        <v>5.28085250216363</v>
      </c>
      <c r="P20" s="22" t="n">
        <v>4.9</v>
      </c>
      <c r="Q20" s="25" t="n">
        <f aca="false">IGCE!E132</f>
        <v>4.91448776031334</v>
      </c>
      <c r="R20" s="25" t="n">
        <f aca="false">IGCE!F132</f>
        <v>4.8765608939078</v>
      </c>
      <c r="S20" s="25" t="n">
        <f aca="false">IGCE!G132</f>
        <v>4.73944239224316</v>
      </c>
      <c r="T20" s="25" t="n">
        <f aca="false">IGCE!H132</f>
        <v>4.60232389057852</v>
      </c>
      <c r="U20" s="25" t="n">
        <f aca="false">IGCE!I132</f>
        <v>4.46520538891388</v>
      </c>
      <c r="V20" s="26" t="n">
        <f aca="false">IGCE!J132</f>
        <v>4.32808688724924</v>
      </c>
    </row>
    <row r="21" customFormat="false" ht="14.5" hidden="false" customHeight="false" outlineLevel="0" collapsed="false">
      <c r="P21" s="27"/>
      <c r="Q21" s="27"/>
      <c r="R21" s="27"/>
      <c r="S21" s="27"/>
      <c r="T21" s="27"/>
      <c r="U21" s="27"/>
      <c r="V21" s="27"/>
    </row>
    <row r="22" customFormat="false" ht="14.5" hidden="false" customHeight="false" outlineLevel="0" collapsed="false">
      <c r="B22" s="3" t="s">
        <v>19</v>
      </c>
      <c r="C22" s="3"/>
      <c r="D22" s="3"/>
      <c r="E22" s="3"/>
      <c r="Q22" s="28"/>
      <c r="R22" s="28"/>
      <c r="S22" s="28"/>
      <c r="T22" s="28"/>
      <c r="U22" s="28"/>
      <c r="V22" s="28"/>
      <c r="W22" s="28"/>
    </row>
    <row r="23" customFormat="false" ht="15" hidden="false" customHeight="false" outlineLevel="0" collapsed="false">
      <c r="N23" s="29"/>
      <c r="O23" s="29"/>
      <c r="P23" s="29"/>
      <c r="R23" s="28"/>
      <c r="S23" s="28"/>
      <c r="T23" s="28"/>
      <c r="U23" s="28"/>
      <c r="V23" s="28"/>
      <c r="W23" s="28"/>
      <c r="X23" s="28"/>
    </row>
    <row r="24" customFormat="false" ht="14.5" hidden="false" customHeight="false" outlineLevel="0" collapsed="false">
      <c r="B24" s="1" t="s">
        <v>20</v>
      </c>
      <c r="C24" s="5" t="s">
        <v>2</v>
      </c>
      <c r="D24" s="5"/>
      <c r="E24" s="5"/>
      <c r="F24" s="5"/>
      <c r="G24" s="5"/>
      <c r="H24" s="5"/>
      <c r="I24" s="5" t="s">
        <v>21</v>
      </c>
      <c r="J24" s="5"/>
      <c r="K24" s="5"/>
      <c r="L24" s="5"/>
      <c r="M24" s="5"/>
      <c r="N24" s="5"/>
      <c r="O24" s="5"/>
      <c r="P24" s="5" t="s">
        <v>22</v>
      </c>
      <c r="Q24" s="5"/>
      <c r="R24" s="5"/>
      <c r="S24" s="5"/>
      <c r="T24" s="5"/>
      <c r="U24" s="5"/>
      <c r="V24" s="5"/>
    </row>
    <row r="25" customFormat="false" ht="14.5" hidden="false" customHeight="false" outlineLevel="0" collapsed="false">
      <c r="B25" s="1" t="s">
        <v>23</v>
      </c>
      <c r="C25" s="6" t="n">
        <v>2015</v>
      </c>
      <c r="D25" s="7" t="n">
        <v>2016</v>
      </c>
      <c r="E25" s="7" t="n">
        <v>2017</v>
      </c>
      <c r="F25" s="7" t="n">
        <v>2018</v>
      </c>
      <c r="G25" s="7" t="n">
        <v>2019</v>
      </c>
      <c r="H25" s="8" t="n">
        <v>2020</v>
      </c>
      <c r="I25" s="7" t="n">
        <v>2023</v>
      </c>
      <c r="J25" s="7" t="n">
        <v>2025</v>
      </c>
      <c r="K25" s="7" t="n">
        <v>2030</v>
      </c>
      <c r="L25" s="7" t="n">
        <v>2035</v>
      </c>
      <c r="M25" s="7" t="n">
        <v>2040</v>
      </c>
      <c r="N25" s="7" t="n">
        <v>2045</v>
      </c>
      <c r="O25" s="8" t="n">
        <v>2050</v>
      </c>
      <c r="P25" s="7" t="n">
        <v>2023</v>
      </c>
      <c r="Q25" s="7" t="n">
        <v>2025</v>
      </c>
      <c r="R25" s="7" t="n">
        <v>2030</v>
      </c>
      <c r="S25" s="7" t="n">
        <v>2035</v>
      </c>
      <c r="T25" s="7" t="n">
        <v>2040</v>
      </c>
      <c r="U25" s="7" t="n">
        <v>2045</v>
      </c>
      <c r="V25" s="8" t="n">
        <v>2050</v>
      </c>
    </row>
    <row r="26" customFormat="false" ht="14.5" hidden="false" customHeight="false" outlineLevel="0" collapsed="false">
      <c r="B26" s="30" t="s">
        <v>24</v>
      </c>
      <c r="C26" s="31" t="n">
        <f aca="false">'VA historique'!R5</f>
        <v>25.624379</v>
      </c>
      <c r="D26" s="32" t="n">
        <f aca="false">'VA historique'!S5</f>
        <v>26.013804</v>
      </c>
      <c r="E26" s="32" t="n">
        <f aca="false">'VA historique'!T5</f>
        <v>26.657764</v>
      </c>
      <c r="F26" s="32" t="n">
        <f aca="false">'VA historique'!U5</f>
        <v>25.460822</v>
      </c>
      <c r="G26" s="32" t="n">
        <f aca="false">'VA historique'!V5</f>
        <v>25.805908</v>
      </c>
      <c r="H26" s="33" t="n">
        <f aca="false">G26*0.905</f>
        <v>23.35434674</v>
      </c>
      <c r="I26" s="11" t="n">
        <v>24</v>
      </c>
      <c r="J26" s="11" t="n">
        <f aca="false">Diffus!E30</f>
        <v>21.9830155738751</v>
      </c>
      <c r="K26" s="11" t="n">
        <f aca="false">Diffus!F30</f>
        <v>21.7066686824171</v>
      </c>
      <c r="L26" s="11" t="n">
        <f aca="false">Diffus!G30</f>
        <v>21.5700303684526</v>
      </c>
      <c r="M26" s="11" t="n">
        <f aca="false">Diffus!H30</f>
        <v>21.7459466419737</v>
      </c>
      <c r="N26" s="11" t="n">
        <f aca="false">Diffus!I30</f>
        <v>22.018608662784</v>
      </c>
      <c r="O26" s="12" t="n">
        <f aca="false">Diffus!J30</f>
        <v>22.2441408906651</v>
      </c>
      <c r="P26" s="11" t="n">
        <v>24</v>
      </c>
      <c r="Q26" s="11" t="n">
        <f aca="false">Diffus!E54</f>
        <v>23.2968514899563</v>
      </c>
      <c r="R26" s="11" t="n">
        <f aca="false">Diffus!F54</f>
        <v>23.3640598018026</v>
      </c>
      <c r="S26" s="11" t="n">
        <f aca="false">Diffus!G54</f>
        <v>23.4833851711482</v>
      </c>
      <c r="T26" s="11" t="n">
        <f aca="false">Diffus!H54</f>
        <v>23.9546175681781</v>
      </c>
      <c r="U26" s="11" t="n">
        <f aca="false">Diffus!I54</f>
        <v>24.4485968991061</v>
      </c>
      <c r="V26" s="12" t="n">
        <f aca="false">Diffus!J54</f>
        <v>24.8061276728585</v>
      </c>
    </row>
    <row r="27" customFormat="false" ht="14.5" hidden="false" customHeight="false" outlineLevel="0" collapsed="false">
      <c r="B27" s="30" t="s">
        <v>25</v>
      </c>
      <c r="C27" s="31" t="n">
        <f aca="false">'VA historique'!R6</f>
        <v>41.415126</v>
      </c>
      <c r="D27" s="32" t="n">
        <f aca="false">'VA historique'!S6</f>
        <v>42.558778</v>
      </c>
      <c r="E27" s="32" t="n">
        <f aca="false">'VA historique'!T6</f>
        <v>43.825743</v>
      </c>
      <c r="F27" s="32" t="n">
        <f aca="false">'VA historique'!U6</f>
        <v>45.192983</v>
      </c>
      <c r="G27" s="32" t="n">
        <f aca="false">'VA historique'!V6</f>
        <v>47.173412</v>
      </c>
      <c r="H27" s="33" t="n">
        <f aca="false">'VA historique'!W6</f>
        <v>44.246974</v>
      </c>
      <c r="I27" s="11" t="n">
        <v>40</v>
      </c>
      <c r="J27" s="11" t="n">
        <f aca="false">Diffus!E31</f>
        <v>43.0097247569851</v>
      </c>
      <c r="K27" s="11" t="n">
        <f aca="false">Diffus!F31</f>
        <v>43.806781550163</v>
      </c>
      <c r="L27" s="11" t="n">
        <f aca="false">Diffus!G31</f>
        <v>45.1557256207031</v>
      </c>
      <c r="M27" s="11" t="n">
        <f aca="false">Diffus!H31</f>
        <v>47.3221723340624</v>
      </c>
      <c r="N27" s="11" t="n">
        <f aca="false">Diffus!I31</f>
        <v>49.7602296351267</v>
      </c>
      <c r="O27" s="12" t="n">
        <f aca="false">Diffus!J31</f>
        <v>52.1931862540639</v>
      </c>
      <c r="P27" s="11" t="n">
        <v>40</v>
      </c>
      <c r="Q27" s="11" t="n">
        <f aca="false">Diffus!E55</f>
        <v>45.5787932647296</v>
      </c>
      <c r="R27" s="11" t="n">
        <f aca="false">Diffus!F55</f>
        <v>47.1547590839818</v>
      </c>
      <c r="S27" s="11" t="n">
        <f aca="false">Diffus!G55</f>
        <v>49.1806584009046</v>
      </c>
      <c r="T27" s="11" t="n">
        <f aca="false">Diffus!H55</f>
        <v>52.1877717865611</v>
      </c>
      <c r="U27" s="11" t="n">
        <f aca="false">Diffus!I55</f>
        <v>55.3858480099122</v>
      </c>
      <c r="V27" s="12" t="n">
        <f aca="false">Diffus!J55</f>
        <v>58.4464581796726</v>
      </c>
    </row>
    <row r="28" customFormat="false" ht="14.5" hidden="false" customHeight="false" outlineLevel="0" collapsed="false">
      <c r="B28" s="30" t="s">
        <v>26</v>
      </c>
      <c r="C28" s="31" t="n">
        <f aca="false">'VA historique'!R7</f>
        <v>8.023073</v>
      </c>
      <c r="D28" s="32" t="n">
        <f aca="false">'VA historique'!S7</f>
        <v>8.099836</v>
      </c>
      <c r="E28" s="32" t="n">
        <f aca="false">'VA historique'!T7</f>
        <v>8.29235</v>
      </c>
      <c r="F28" s="32" t="n">
        <f aca="false">'VA historique'!U7</f>
        <v>8.270174</v>
      </c>
      <c r="G28" s="32" t="n">
        <f aca="false">'VA historique'!V7</f>
        <v>8.358497</v>
      </c>
      <c r="H28" s="33" t="n">
        <f aca="false">G28*0.905</f>
        <v>7.564439785</v>
      </c>
      <c r="I28" s="11" t="n">
        <v>8</v>
      </c>
      <c r="J28" s="11" t="n">
        <f aca="false">Diffus!E32</f>
        <v>7.2508670849321</v>
      </c>
      <c r="K28" s="11" t="n">
        <f aca="false">Diffus!F32</f>
        <v>7.34490661963174</v>
      </c>
      <c r="L28" s="11" t="n">
        <f aca="false">Diffus!G32</f>
        <v>7.42329208118974</v>
      </c>
      <c r="M28" s="11" t="n">
        <f aca="false">Diffus!H32</f>
        <v>7.56710755803751</v>
      </c>
      <c r="N28" s="11" t="n">
        <f aca="false">Diffus!I32</f>
        <v>7.70591485192642</v>
      </c>
      <c r="O28" s="12" t="n">
        <f aca="false">Diffus!J32</f>
        <v>7.80808139924541</v>
      </c>
      <c r="P28" s="11" t="n">
        <v>8</v>
      </c>
      <c r="Q28" s="11" t="n">
        <f aca="false">Diffus!E56</f>
        <v>7.68408304505336</v>
      </c>
      <c r="R28" s="11" t="n">
        <f aca="false">Diffus!F56</f>
        <v>7.90608920092455</v>
      </c>
      <c r="S28" s="11" t="n">
        <f aca="false">Diffus!G56</f>
        <v>8.08374822493114</v>
      </c>
      <c r="T28" s="11" t="n">
        <f aca="false">Diffus!H56</f>
        <v>8.34074156386901</v>
      </c>
      <c r="U28" s="11" t="n">
        <f aca="false">Diffus!I56</f>
        <v>8.56591200048949</v>
      </c>
      <c r="V28" s="12" t="n">
        <f aca="false">Diffus!J56</f>
        <v>8.72190248089164</v>
      </c>
    </row>
    <row r="29" customFormat="false" ht="14.5" hidden="false" customHeight="false" outlineLevel="0" collapsed="false">
      <c r="B29" s="30" t="s">
        <v>27</v>
      </c>
      <c r="C29" s="31" t="n">
        <f aca="false">'VA historique'!R8</f>
        <v>43.507951</v>
      </c>
      <c r="D29" s="32" t="n">
        <f aca="false">'VA historique'!S8</f>
        <v>44.673572</v>
      </c>
      <c r="E29" s="32" t="n">
        <f aca="false">'VA historique'!T8</f>
        <v>45.48521</v>
      </c>
      <c r="F29" s="32" t="n">
        <f aca="false">'VA historique'!U8</f>
        <v>45.279348</v>
      </c>
      <c r="G29" s="32" t="n">
        <f aca="false">'VA historique'!V8</f>
        <v>45.598266</v>
      </c>
      <c r="H29" s="33" t="n">
        <f aca="false">'VA historique'!W8</f>
        <v>44.167665</v>
      </c>
      <c r="I29" s="11" t="n">
        <v>45.5</v>
      </c>
      <c r="J29" s="11" t="n">
        <f aca="false">Diffus!E33</f>
        <v>46.8586295170964</v>
      </c>
      <c r="K29" s="11" t="n">
        <f aca="false">Diffus!F33</f>
        <v>48.3348469685498</v>
      </c>
      <c r="L29" s="11" t="n">
        <f aca="false">Diffus!G33</f>
        <v>50.6332800367466</v>
      </c>
      <c r="M29" s="11" t="n">
        <f aca="false">Diffus!H33</f>
        <v>54.5575994702809</v>
      </c>
      <c r="N29" s="11" t="n">
        <f aca="false">Diffus!I33</f>
        <v>59.6799960459491</v>
      </c>
      <c r="O29" s="12" t="n">
        <f aca="false">Diffus!J33</f>
        <v>64.8771480978451</v>
      </c>
      <c r="P29" s="11" t="n">
        <v>45.5</v>
      </c>
      <c r="Q29" s="11" t="n">
        <f aca="false">Diffus!E57</f>
        <v>49.6535545225372</v>
      </c>
      <c r="R29" s="11" t="n">
        <f aca="false">Diffus!F57</f>
        <v>52.0339735502289</v>
      </c>
      <c r="S29" s="11" t="n">
        <f aca="false">Diffus!G57</f>
        <v>55.1692334983969</v>
      </c>
      <c r="T29" s="11" t="n">
        <f aca="false">Diffus!H57</f>
        <v>60.2287882679411</v>
      </c>
      <c r="U29" s="11" t="n">
        <f aca="false">Diffus!I57</f>
        <v>66.566918320027</v>
      </c>
      <c r="V29" s="12" t="n">
        <f aca="false">Diffus!J57</f>
        <v>72.8984088268992</v>
      </c>
    </row>
    <row r="30" customFormat="false" ht="14.5" hidden="false" customHeight="false" outlineLevel="0" collapsed="false">
      <c r="B30" s="30" t="s">
        <v>28</v>
      </c>
      <c r="C30" s="31" t="n">
        <f aca="false">'VA historique'!R9</f>
        <v>60.173128</v>
      </c>
      <c r="D30" s="32" t="n">
        <f aca="false">'VA historique'!S9</f>
        <v>59.026021</v>
      </c>
      <c r="E30" s="32" t="n">
        <f aca="false">'VA historique'!T9</f>
        <v>60.473291</v>
      </c>
      <c r="F30" s="32" t="n">
        <f aca="false">'VA historique'!U9</f>
        <v>63.185554</v>
      </c>
      <c r="G30" s="32" t="n">
        <f aca="false">'VA historique'!V9</f>
        <v>63.615234</v>
      </c>
      <c r="H30" s="33" t="n">
        <f aca="false">G30*0.905</f>
        <v>57.57178677</v>
      </c>
      <c r="I30" s="11" t="n">
        <v>62</v>
      </c>
      <c r="J30" s="11" t="n">
        <f aca="false">Diffus!E34</f>
        <v>61.5137695861197</v>
      </c>
      <c r="K30" s="11" t="n">
        <f aca="false">Diffus!F34</f>
        <v>63.9558954268574</v>
      </c>
      <c r="L30" s="11" t="n">
        <f aca="false">Diffus!G34</f>
        <v>67.4392366849682</v>
      </c>
      <c r="M30" s="11" t="n">
        <f aca="false">Diffus!H34</f>
        <v>73.3801801681122</v>
      </c>
      <c r="N30" s="11" t="n">
        <f aca="false">Diffus!I34</f>
        <v>80.109357891841</v>
      </c>
      <c r="O30" s="12" t="n">
        <f aca="false">Diffus!J34</f>
        <v>86.5979735224332</v>
      </c>
      <c r="P30" s="11" t="n">
        <v>62</v>
      </c>
      <c r="Q30" s="11" t="n">
        <f aca="false">Diffus!E58</f>
        <v>65.182403308105</v>
      </c>
      <c r="R30" s="11" t="n">
        <f aca="false">Diffus!F58</f>
        <v>68.8514718405343</v>
      </c>
      <c r="S30" s="11" t="n">
        <f aca="false">Diffus!G58</f>
        <v>73.4859948056343</v>
      </c>
      <c r="T30" s="11" t="n">
        <f aca="false">Diffus!H58</f>
        <v>81.0244697568427</v>
      </c>
      <c r="U30" s="11" t="n">
        <f aca="false">Diffus!I58</f>
        <v>89.3807242379435</v>
      </c>
      <c r="V30" s="12" t="n">
        <f aca="false">Diffus!J58</f>
        <v>97.3364556221145</v>
      </c>
    </row>
    <row r="31" customFormat="false" ht="14.5" hidden="false" customHeight="false" outlineLevel="0" collapsed="false">
      <c r="B31" s="30" t="s">
        <v>29</v>
      </c>
      <c r="C31" s="31" t="n">
        <f aca="false">'VA historique'!R11</f>
        <v>23.294343</v>
      </c>
      <c r="D31" s="32" t="n">
        <f aca="false">'VA historique'!S11</f>
        <v>23.04682</v>
      </c>
      <c r="E31" s="32" t="n">
        <f aca="false">'VA historique'!T11</f>
        <v>23.307596</v>
      </c>
      <c r="F31" s="32" t="n">
        <f aca="false">'VA historique'!U11</f>
        <v>23.241424</v>
      </c>
      <c r="G31" s="32" t="n">
        <f aca="false">'VA historique'!V11</f>
        <v>23.721859</v>
      </c>
      <c r="H31" s="33" t="n">
        <f aca="false">G31*0.905</f>
        <v>21.468282395</v>
      </c>
      <c r="I31" s="11" t="n">
        <v>23.5</v>
      </c>
      <c r="J31" s="11" t="n">
        <f aca="false">Diffus!E35</f>
        <v>22.9382315669926</v>
      </c>
      <c r="K31" s="11" t="n">
        <f aca="false">Diffus!F35</f>
        <v>23.8488902443502</v>
      </c>
      <c r="L31" s="11" t="n">
        <f aca="false">Diffus!G35</f>
        <v>25.1478138665409</v>
      </c>
      <c r="M31" s="11" t="n">
        <f aca="false">Diffus!H35</f>
        <v>27.363167246112</v>
      </c>
      <c r="N31" s="11" t="n">
        <f aca="false">Diffus!I35</f>
        <v>29.8724499306375</v>
      </c>
      <c r="O31" s="12" t="n">
        <f aca="false">Diffus!J35</f>
        <v>32.2920280004769</v>
      </c>
      <c r="P31" s="11" t="n">
        <v>23.5</v>
      </c>
      <c r="Q31" s="11" t="n">
        <f aca="false">Diffus!E59</f>
        <v>24.3062499865362</v>
      </c>
      <c r="R31" s="11" t="n">
        <f aca="false">Diffus!F59</f>
        <v>25.6744305451053</v>
      </c>
      <c r="S31" s="11" t="n">
        <f aca="false">Diffus!G59</f>
        <v>27.4026250890469</v>
      </c>
      <c r="T31" s="11" t="n">
        <f aca="false">Diffus!H59</f>
        <v>30.2136913796715</v>
      </c>
      <c r="U31" s="11" t="n">
        <f aca="false">Diffus!I59</f>
        <v>33.3297042920628</v>
      </c>
      <c r="V31" s="12" t="n">
        <f aca="false">Diffus!J59</f>
        <v>36.2963637896476</v>
      </c>
    </row>
    <row r="32" customFormat="false" ht="14.5" hidden="false" customHeight="false" outlineLevel="0" collapsed="false">
      <c r="B32" s="34" t="s">
        <v>30</v>
      </c>
      <c r="C32" s="35" t="n">
        <f aca="false">SUM(C26:C31)</f>
        <v>202.038</v>
      </c>
      <c r="D32" s="11" t="n">
        <f aca="false">SUM(D26:D31)</f>
        <v>203.418831</v>
      </c>
      <c r="E32" s="11" t="n">
        <f aca="false">SUM(E26:E31)</f>
        <v>208.041954</v>
      </c>
      <c r="F32" s="11" t="n">
        <f aca="false">SUM(F26:F31)</f>
        <v>210.630305</v>
      </c>
      <c r="G32" s="11" t="n">
        <f aca="false">SUM(G26:G31)</f>
        <v>214.273176</v>
      </c>
      <c r="H32" s="12" t="n">
        <f aca="false">SUM(H26:H31)</f>
        <v>198.37349469</v>
      </c>
      <c r="I32" s="11" t="n">
        <f aca="false">SUM(I26:I31)</f>
        <v>203</v>
      </c>
      <c r="J32" s="11" t="n">
        <f aca="false">Diffus!E36</f>
        <v>203.554238086001</v>
      </c>
      <c r="K32" s="11" t="n">
        <f aca="false">Diffus!F36</f>
        <v>208.997989491969</v>
      </c>
      <c r="L32" s="11" t="n">
        <f aca="false">Diffus!G36</f>
        <v>217.369378658601</v>
      </c>
      <c r="M32" s="11" t="n">
        <f aca="false">Diffus!H36</f>
        <v>231.936173418579</v>
      </c>
      <c r="N32" s="11" t="n">
        <f aca="false">Diffus!I36</f>
        <v>249.146557018265</v>
      </c>
      <c r="O32" s="12" t="n">
        <f aca="false">Diffus!J36</f>
        <v>266.01255816473</v>
      </c>
      <c r="P32" s="11" t="n">
        <f aca="false">SUM(P26:P31)</f>
        <v>203</v>
      </c>
      <c r="Q32" s="11" t="n">
        <f aca="false">Diffus!E60</f>
        <v>215.701935616918</v>
      </c>
      <c r="R32" s="11" t="n">
        <f aca="false">Diffus!F60</f>
        <v>224.984784022577</v>
      </c>
      <c r="S32" s="11" t="n">
        <f aca="false">Diffus!G60</f>
        <v>236.805645190062</v>
      </c>
      <c r="T32" s="11" t="n">
        <f aca="false">Diffus!H60</f>
        <v>255.950080323063</v>
      </c>
      <c r="U32" s="11" t="n">
        <f aca="false">Diffus!I60</f>
        <v>277.677703759541</v>
      </c>
      <c r="V32" s="12" t="n">
        <f aca="false">Diffus!J60</f>
        <v>298.505716572084</v>
      </c>
    </row>
    <row r="33" customFormat="false" ht="15" hidden="false" customHeight="false" outlineLevel="0" collapsed="false">
      <c r="B33" s="36" t="s">
        <v>31</v>
      </c>
      <c r="C33" s="37" t="n">
        <f aca="false">'VA historique'!R10</f>
        <v>109.505257</v>
      </c>
      <c r="D33" s="38" t="n">
        <f aca="false">'VA historique'!S10</f>
        <v>108.449133</v>
      </c>
      <c r="E33" s="38" t="n">
        <f aca="false">'VA historique'!T10</f>
        <v>110.800995</v>
      </c>
      <c r="F33" s="38" t="n">
        <f aca="false">'VA historique'!U10</f>
        <v>111.942451</v>
      </c>
      <c r="G33" s="38" t="n">
        <f aca="false">'VA historique'!V10</f>
        <v>114.881552</v>
      </c>
      <c r="H33" s="39" t="n">
        <f aca="false">'VA historique'!W10</f>
        <v>96.546553</v>
      </c>
      <c r="I33" s="25" t="n">
        <v>108</v>
      </c>
      <c r="J33" s="25" t="n">
        <f aca="false">Diffus!E37</f>
        <v>104.259895813408</v>
      </c>
      <c r="K33" s="25" t="n">
        <f aca="false">Diffus!F37</f>
        <v>106.607086161495</v>
      </c>
      <c r="L33" s="25" t="n">
        <f aca="false">Diffus!G37</f>
        <v>110.206737532892</v>
      </c>
      <c r="M33" s="25" t="n">
        <f aca="false">Diffus!H37</f>
        <v>115.636709221764</v>
      </c>
      <c r="N33" s="25" t="n">
        <f aca="false">Diffus!I37</f>
        <v>122.248346644843</v>
      </c>
      <c r="O33" s="26" t="n">
        <f aca="false">Diffus!J37</f>
        <v>128.766477661065</v>
      </c>
      <c r="P33" s="25" t="n">
        <v>108</v>
      </c>
      <c r="Q33" s="25" t="n">
        <f aca="false">Diffus!E61</f>
        <v>104.259895813408</v>
      </c>
      <c r="R33" s="25" t="n">
        <f aca="false">Diffus!F61</f>
        <v>106.607086161495</v>
      </c>
      <c r="S33" s="25" t="n">
        <f aca="false">Diffus!G61</f>
        <v>110.206737532892</v>
      </c>
      <c r="T33" s="25" t="n">
        <f aca="false">Diffus!H61</f>
        <v>115.636709221764</v>
      </c>
      <c r="U33" s="25" t="n">
        <f aca="false">Diffus!I61</f>
        <v>122.248346644843</v>
      </c>
      <c r="V33" s="26" t="n">
        <f aca="false">Diffus!J61</f>
        <v>128.766477661065</v>
      </c>
    </row>
    <row r="34" customFormat="false" ht="14.5" hidden="false" customHeight="false" outlineLevel="0" collapsed="false">
      <c r="B34" s="40"/>
      <c r="D34" s="41"/>
      <c r="E34" s="41"/>
      <c r="F34" s="41"/>
      <c r="G34" s="41"/>
      <c r="H34" s="41"/>
      <c r="I34" s="41"/>
    </row>
    <row r="35" customFormat="false" ht="14.5" hidden="false" customHeight="false" outlineLevel="0" collapsed="false">
      <c r="I35" s="42"/>
    </row>
    <row r="36" customFormat="false" ht="14.5" hidden="false" customHeight="false" outlineLevel="0" collapsed="false">
      <c r="B36" s="1" t="s">
        <v>32</v>
      </c>
      <c r="C36" s="43" t="s">
        <v>21</v>
      </c>
      <c r="D36" s="44"/>
      <c r="E36" s="44"/>
      <c r="F36" s="44"/>
      <c r="G36" s="44"/>
      <c r="H36" s="44"/>
    </row>
    <row r="37" customFormat="false" ht="14.5" hidden="false" customHeight="false" outlineLevel="0" collapsed="false">
      <c r="B37" s="7"/>
      <c r="C37" s="1" t="n">
        <v>2019</v>
      </c>
      <c r="D37" s="7" t="n">
        <v>2020</v>
      </c>
      <c r="E37" s="7" t="n">
        <v>2025</v>
      </c>
      <c r="F37" s="7" t="n">
        <v>2030</v>
      </c>
      <c r="G37" s="7" t="n">
        <v>2035</v>
      </c>
      <c r="H37" s="7" t="n">
        <v>2040</v>
      </c>
      <c r="I37" s="7" t="n">
        <v>2045</v>
      </c>
      <c r="J37" s="7" t="n">
        <v>2050</v>
      </c>
    </row>
    <row r="38" customFormat="false" ht="14.5" hidden="false" customHeight="false" outlineLevel="0" collapsed="false">
      <c r="B38" s="45" t="s">
        <v>24</v>
      </c>
      <c r="C38" s="32" t="n">
        <f aca="false">Diffus!C84</f>
        <v>25.805908</v>
      </c>
      <c r="D38" s="32" t="n">
        <f aca="false">Diffus!D84</f>
        <v>22.8828786261604</v>
      </c>
      <c r="E38" s="32" t="n">
        <f aca="false">Diffus!E84</f>
        <v>19.3203101671673</v>
      </c>
      <c r="F38" s="32" t="n">
        <f aca="false">Diffus!F84</f>
        <v>16.8864086764701</v>
      </c>
      <c r="G38" s="32" t="n">
        <f aca="false">Diffus!G84</f>
        <v>15.7313557051855</v>
      </c>
      <c r="H38" s="32" t="n">
        <f aca="false">Diffus!H84</f>
        <v>14.8023438786217</v>
      </c>
      <c r="I38" s="32" t="n">
        <f aca="false">Diffus!I84</f>
        <v>13.9173760017319</v>
      </c>
      <c r="J38" s="32" t="n">
        <f aca="false">Diffus!J84</f>
        <v>12.9783959217455</v>
      </c>
    </row>
    <row r="39" customFormat="false" ht="14.5" hidden="false" customHeight="false" outlineLevel="0" collapsed="false">
      <c r="B39" s="45" t="s">
        <v>25</v>
      </c>
      <c r="C39" s="32" t="n">
        <f aca="false">Diffus!C85</f>
        <v>47.173412</v>
      </c>
      <c r="D39" s="32" t="n">
        <f aca="false">Diffus!D85</f>
        <v>44.0154057505969</v>
      </c>
      <c r="E39" s="32" t="n">
        <f aca="false">Diffus!E85</f>
        <v>41.6591664111036</v>
      </c>
      <c r="F39" s="32" t="n">
        <f aca="false">Diffus!F85</f>
        <v>41.2848722130159</v>
      </c>
      <c r="G39" s="32" t="n">
        <f aca="false">Diffus!G85</f>
        <v>42.112865699893</v>
      </c>
      <c r="H39" s="32" t="n">
        <f aca="false">Diffus!H85</f>
        <v>43.6687631079616</v>
      </c>
      <c r="I39" s="32" t="n">
        <f aca="false">Diffus!I85</f>
        <v>45.4300996055168</v>
      </c>
      <c r="J39" s="32" t="n">
        <f aca="false">Diffus!J85</f>
        <v>47.1389605850749</v>
      </c>
    </row>
    <row r="40" customFormat="false" ht="14.5" hidden="false" customHeight="false" outlineLevel="0" collapsed="false">
      <c r="B40" s="45" t="s">
        <v>26</v>
      </c>
      <c r="C40" s="32" t="n">
        <f aca="false">Diffus!C86</f>
        <v>8.358497</v>
      </c>
      <c r="D40" s="32" t="n">
        <f aca="false">Diffus!D86</f>
        <v>7.43900386367002</v>
      </c>
      <c r="E40" s="32" t="n">
        <f aca="false">Diffus!E86</f>
        <v>6.52945012418646</v>
      </c>
      <c r="F40" s="32" t="n">
        <f aca="false">Diffus!F86</f>
        <v>6.00515553348069</v>
      </c>
      <c r="G40" s="32" t="n">
        <f aca="false">Diffus!G86</f>
        <v>5.41174172734088</v>
      </c>
      <c r="H40" s="32" t="n">
        <f aca="false">Diffus!H86</f>
        <v>4.84634688217663</v>
      </c>
      <c r="I40" s="32" t="n">
        <f aca="false">Diffus!I86</f>
        <v>4.25271187732685</v>
      </c>
      <c r="J40" s="32" t="n">
        <f aca="false">Diffus!J86</f>
        <v>3.61751199858119</v>
      </c>
    </row>
    <row r="41" customFormat="false" ht="14.5" hidden="false" customHeight="false" outlineLevel="0" collapsed="false">
      <c r="B41" s="45" t="s">
        <v>27</v>
      </c>
      <c r="C41" s="32" t="n">
        <f aca="false">Diffus!C87</f>
        <v>45.598266</v>
      </c>
      <c r="D41" s="32" t="n">
        <f aca="false">Diffus!D87</f>
        <v>43.6631798888569</v>
      </c>
      <c r="E41" s="32" t="n">
        <f aca="false">Diffus!E87</f>
        <v>43.6473009236636</v>
      </c>
      <c r="F41" s="32" t="n">
        <f aca="false">Diffus!F87</f>
        <v>42.2619355503181</v>
      </c>
      <c r="G41" s="32" t="n">
        <f aca="false">Diffus!G87</f>
        <v>40.2468979294031</v>
      </c>
      <c r="H41" s="32" t="n">
        <f aca="false">Diffus!H87</f>
        <v>39.0296011240844</v>
      </c>
      <c r="I41" s="32" t="n">
        <f aca="false">Diffus!I87</f>
        <v>37.9502921010895</v>
      </c>
      <c r="J41" s="32" t="n">
        <f aca="false">Diffus!J87</f>
        <v>36.0982493902198</v>
      </c>
    </row>
    <row r="42" customFormat="false" ht="14.5" hidden="false" customHeight="false" outlineLevel="0" collapsed="false">
      <c r="B42" s="45" t="s">
        <v>28</v>
      </c>
      <c r="C42" s="32" t="n">
        <f aca="false">Diffus!C88</f>
        <v>63.615234</v>
      </c>
      <c r="D42" s="32" t="n">
        <f aca="false">Diffus!D88</f>
        <v>57.0110226131494</v>
      </c>
      <c r="E42" s="32" t="n">
        <f aca="false">Diffus!E88</f>
        <v>57.9188090258919</v>
      </c>
      <c r="F42" s="32" t="n">
        <f aca="false">Diffus!F88</f>
        <v>57.1034780596941</v>
      </c>
      <c r="G42" s="32" t="n">
        <f aca="false">Diffus!G88</f>
        <v>56.4000759180836</v>
      </c>
      <c r="H42" s="32" t="n">
        <f aca="false">Diffus!H88</f>
        <v>57.2190690596589</v>
      </c>
      <c r="I42" s="32" t="n">
        <f aca="false">Diffus!I88</f>
        <v>57.9362320467778</v>
      </c>
      <c r="J42" s="32" t="n">
        <f aca="false">Diffus!J88</f>
        <v>57.7319823482888</v>
      </c>
    </row>
    <row r="43" customFormat="false" ht="14.5" hidden="false" customHeight="false" outlineLevel="0" collapsed="false">
      <c r="B43" s="45" t="s">
        <v>29</v>
      </c>
      <c r="C43" s="32" t="n">
        <f aca="false">Diffus!C89</f>
        <v>23.721859</v>
      </c>
      <c r="D43" s="32" t="n">
        <f aca="false">Diffus!D89</f>
        <v>21.2731161914091</v>
      </c>
      <c r="E43" s="32" t="n">
        <f aca="false">Diffus!E89</f>
        <v>21.6870552997021</v>
      </c>
      <c r="F43" s="32" t="n">
        <f aca="false">Diffus!F89</f>
        <v>21.4640012199152</v>
      </c>
      <c r="G43" s="32" t="n">
        <f aca="false">Diffus!G89</f>
        <v>20.9827071948951</v>
      </c>
      <c r="H43" s="32" t="n">
        <f aca="false">Diffus!H89</f>
        <v>21.0354348204486</v>
      </c>
      <c r="I43" s="32" t="n">
        <f aca="false">Diffus!I89</f>
        <v>21.0040663574795</v>
      </c>
      <c r="J43" s="32" t="n">
        <f aca="false">Diffus!J89</f>
        <v>20.586167850304</v>
      </c>
    </row>
    <row r="44" customFormat="false" ht="14.5" hidden="false" customHeight="false" outlineLevel="0" collapsed="false">
      <c r="B44" s="45" t="s">
        <v>30</v>
      </c>
      <c r="C44" s="32" t="n">
        <f aca="false">Diffus!C90</f>
        <v>214.273176</v>
      </c>
      <c r="D44" s="32" t="n">
        <f aca="false">Diffus!D90</f>
        <v>196.23687982556</v>
      </c>
      <c r="E44" s="32" t="n">
        <f aca="false">Diffus!E90</f>
        <v>190.115204535942</v>
      </c>
      <c r="F44" s="32" t="n">
        <f aca="false">Diffus!F90</f>
        <v>184.403473615982</v>
      </c>
      <c r="G44" s="32" t="n">
        <f aca="false">Diffus!G90</f>
        <v>180.741084597585</v>
      </c>
      <c r="H44" s="32" t="n">
        <f aca="false">Diffus!H90</f>
        <v>180.874689343046</v>
      </c>
      <c r="I44" s="32" t="n">
        <f aca="false">Diffus!I90</f>
        <v>181.209141057905</v>
      </c>
      <c r="J44" s="32" t="n">
        <f aca="false">Diffus!J90</f>
        <v>179.448816769148</v>
      </c>
    </row>
    <row r="45" customFormat="false" ht="14.5" hidden="false" customHeight="false" outlineLevel="0" collapsed="false">
      <c r="B45" s="46" t="s">
        <v>31</v>
      </c>
      <c r="C45" s="32" t="n">
        <f aca="false">Diffus!C91</f>
        <v>114.881552</v>
      </c>
      <c r="D45" s="32" t="n">
        <f aca="false">Diffus!D91</f>
        <v>96.546553</v>
      </c>
      <c r="E45" s="32" t="n">
        <f aca="false">Diffus!E91</f>
        <v>104.259895813408</v>
      </c>
      <c r="F45" s="32" t="n">
        <f aca="false">Diffus!F91</f>
        <v>106.607086161495</v>
      </c>
      <c r="G45" s="32" t="n">
        <f aca="false">Diffus!G91</f>
        <v>110.206737532892</v>
      </c>
      <c r="H45" s="32" t="n">
        <f aca="false">Diffus!H91</f>
        <v>115.636709221764</v>
      </c>
      <c r="I45" s="32" t="n">
        <f aca="false">Diffus!I91</f>
        <v>122.248346644843</v>
      </c>
      <c r="J45" s="32" t="n">
        <f aca="false">Diffus!J91</f>
        <v>128.766477661065</v>
      </c>
    </row>
    <row r="46" customFormat="false" ht="14.5" hidden="false" customHeight="false" outlineLevel="0" collapsed="false">
      <c r="B46" s="40" t="s">
        <v>33</v>
      </c>
      <c r="C46" s="40"/>
      <c r="D46" s="41"/>
      <c r="E46" s="41"/>
      <c r="F46" s="41"/>
      <c r="G46" s="41"/>
      <c r="H46" s="41"/>
    </row>
    <row r="47" customFormat="false" ht="14.5" hidden="false" customHeight="false" outlineLevel="0" collapsed="false">
      <c r="B47" s="40"/>
      <c r="C47" s="40"/>
      <c r="I47" s="42"/>
    </row>
    <row r="48" customFormat="false" ht="14.5" hidden="false" customHeight="false" outlineLevel="0" collapsed="false">
      <c r="B48" s="1" t="s">
        <v>32</v>
      </c>
      <c r="C48" s="43" t="s">
        <v>22</v>
      </c>
      <c r="D48" s="44"/>
      <c r="E48" s="44"/>
      <c r="F48" s="44"/>
      <c r="G48" s="44"/>
      <c r="H48" s="44"/>
    </row>
    <row r="49" customFormat="false" ht="14.5" hidden="false" customHeight="false" outlineLevel="0" collapsed="false">
      <c r="B49" s="7"/>
      <c r="C49" s="1" t="n">
        <v>2019</v>
      </c>
      <c r="D49" s="7" t="n">
        <v>2020</v>
      </c>
      <c r="E49" s="7" t="n">
        <v>2025</v>
      </c>
      <c r="F49" s="7" t="n">
        <v>2030</v>
      </c>
      <c r="G49" s="7" t="n">
        <v>2035</v>
      </c>
      <c r="H49" s="7" t="n">
        <v>2040</v>
      </c>
      <c r="I49" s="7" t="n">
        <v>2045</v>
      </c>
      <c r="J49" s="7" t="n">
        <v>2050</v>
      </c>
    </row>
    <row r="50" customFormat="false" ht="14.5" hidden="false" customHeight="false" outlineLevel="0" collapsed="false">
      <c r="B50" s="45" t="s">
        <v>24</v>
      </c>
      <c r="C50" s="32" t="n">
        <f aca="false">Diffus!C97</f>
        <v>25.805908</v>
      </c>
      <c r="D50" s="32" t="n">
        <f aca="false">Diffus!D97</f>
        <v>22.8828786261604</v>
      </c>
      <c r="E50" s="32" t="n">
        <f aca="false">Diffus!E97</f>
        <v>20.4750069521533</v>
      </c>
      <c r="F50" s="32" t="n">
        <f aca="false">Diffus!F97</f>
        <v>18.1757536325373</v>
      </c>
      <c r="G50" s="32" t="n">
        <f aca="false">Diffus!G97</f>
        <v>17.1267948620748</v>
      </c>
      <c r="H50" s="32" t="n">
        <f aca="false">Diffus!H97</f>
        <v>16.3057737868551</v>
      </c>
      <c r="I50" s="32" t="n">
        <f aca="false">Diffus!I97</f>
        <v>15.4533068356288</v>
      </c>
      <c r="J50" s="32" t="n">
        <f aca="false">Diffus!J97</f>
        <v>14.4731930896387</v>
      </c>
    </row>
    <row r="51" customFormat="false" ht="14.5" hidden="false" customHeight="false" outlineLevel="0" collapsed="false">
      <c r="B51" s="45" t="s">
        <v>25</v>
      </c>
      <c r="C51" s="32" t="n">
        <f aca="false">Diffus!C98</f>
        <v>47.173412</v>
      </c>
      <c r="D51" s="32" t="n">
        <f aca="false">Diffus!D98</f>
        <v>44.0154057505969</v>
      </c>
      <c r="E51" s="32" t="n">
        <f aca="false">Diffus!E98</f>
        <v>44.1475630025808</v>
      </c>
      <c r="F51" s="32" t="n">
        <f aca="false">Diffus!F98</f>
        <v>44.4401102780969</v>
      </c>
      <c r="G51" s="32" t="n">
        <f aca="false">Diffus!G98</f>
        <v>45.8665746990018</v>
      </c>
      <c r="H51" s="32" t="n">
        <f aca="false">Diffus!H98</f>
        <v>48.1587241429172</v>
      </c>
      <c r="I51" s="32" t="n">
        <f aca="false">Diffus!I98</f>
        <v>50.5661772519253</v>
      </c>
      <c r="J51" s="32" t="n">
        <f aca="false">Diffus!J98</f>
        <v>52.786685125097</v>
      </c>
    </row>
    <row r="52" customFormat="false" ht="14.5" hidden="false" customHeight="false" outlineLevel="0" collapsed="false">
      <c r="B52" s="45" t="s">
        <v>26</v>
      </c>
      <c r="C52" s="32" t="n">
        <f aca="false">Diffus!C99</f>
        <v>8.358497</v>
      </c>
      <c r="D52" s="32" t="n">
        <f aca="false">Diffus!D99</f>
        <v>7.43900386367002</v>
      </c>
      <c r="E52" s="32" t="n">
        <f aca="false">Diffus!E99</f>
        <v>6.91956374390672</v>
      </c>
      <c r="F52" s="32" t="n">
        <f aca="false">Diffus!F99</f>
        <v>6.46397534670148</v>
      </c>
      <c r="G52" s="32" t="n">
        <f aca="false">Diffus!G99</f>
        <v>5.89322865161547</v>
      </c>
      <c r="H52" s="32" t="n">
        <f aca="false">Diffus!H99</f>
        <v>5.34182004987662</v>
      </c>
      <c r="I52" s="32" t="n">
        <f aca="false">Diffus!I99</f>
        <v>4.72732393292815</v>
      </c>
      <c r="J52" s="32" t="n">
        <f aca="false">Diffus!J99</f>
        <v>4.0408885693904</v>
      </c>
    </row>
    <row r="53" customFormat="false" ht="14.5" hidden="false" customHeight="false" outlineLevel="0" collapsed="false">
      <c r="B53" s="45" t="s">
        <v>27</v>
      </c>
      <c r="C53" s="32" t="n">
        <f aca="false">Diffus!C100</f>
        <v>45.598266</v>
      </c>
      <c r="D53" s="32" t="n">
        <f aca="false">Diffus!D100</f>
        <v>43.6631798888569</v>
      </c>
      <c r="E53" s="32" t="n">
        <f aca="false">Diffus!E100</f>
        <v>46.2506833535112</v>
      </c>
      <c r="F53" s="32" t="n">
        <f aca="false">Diffus!F100</f>
        <v>45.496294589235</v>
      </c>
      <c r="G53" s="32" t="n">
        <f aca="false">Diffus!G100</f>
        <v>43.8523932844556</v>
      </c>
      <c r="H53" s="32" t="n">
        <f aca="false">Diffus!H100</f>
        <v>43.0866754605868</v>
      </c>
      <c r="I53" s="32" t="n">
        <f aca="false">Diffus!I100</f>
        <v>42.3296608895446</v>
      </c>
      <c r="J53" s="32" t="n">
        <f aca="false">Diffus!J100</f>
        <v>40.5613535603458</v>
      </c>
    </row>
    <row r="54" customFormat="false" ht="14.5" hidden="false" customHeight="false" outlineLevel="0" collapsed="false">
      <c r="B54" s="45" t="s">
        <v>28</v>
      </c>
      <c r="C54" s="32" t="n">
        <f aca="false">Diffus!C101</f>
        <v>63.615234</v>
      </c>
      <c r="D54" s="32" t="n">
        <f aca="false">Diffus!D101</f>
        <v>57.0110226131494</v>
      </c>
      <c r="E54" s="32" t="n">
        <f aca="false">Diffus!E101</f>
        <v>61.3730420758131</v>
      </c>
      <c r="F54" s="32" t="n">
        <f aca="false">Diffus!F101</f>
        <v>61.4745284290484</v>
      </c>
      <c r="G54" s="32" t="n">
        <f aca="false">Diffus!G101</f>
        <v>61.4570373225691</v>
      </c>
      <c r="H54" s="32" t="n">
        <f aca="false">Diffus!H101</f>
        <v>63.179794869919</v>
      </c>
      <c r="I54" s="32" t="n">
        <f aca="false">Diffus!I101</f>
        <v>64.6414166363698</v>
      </c>
      <c r="J54" s="32" t="n">
        <f aca="false">Diffus!J101</f>
        <v>64.890970414743</v>
      </c>
    </row>
    <row r="55" customFormat="false" ht="14.5" hidden="false" customHeight="false" outlineLevel="0" collapsed="false">
      <c r="B55" s="45" t="s">
        <v>29</v>
      </c>
      <c r="C55" s="32" t="n">
        <f aca="false">Diffus!C102</f>
        <v>23.721859</v>
      </c>
      <c r="D55" s="32" t="n">
        <f aca="false">Diffus!D102</f>
        <v>21.2731161914091</v>
      </c>
      <c r="E55" s="32" t="n">
        <f aca="false">Diffus!E102</f>
        <v>22.9804545327252</v>
      </c>
      <c r="F55" s="32" t="n">
        <f aca="false">Diffus!F102</f>
        <v>23.1069874905948</v>
      </c>
      <c r="G55" s="32" t="n">
        <f aca="false">Diffus!G102</f>
        <v>22.8640653086735</v>
      </c>
      <c r="H55" s="32" t="n">
        <f aca="false">Diffus!H102</f>
        <v>23.2267752481225</v>
      </c>
      <c r="I55" s="32" t="n">
        <f aca="false">Diffus!I102</f>
        <v>23.4349483303566</v>
      </c>
      <c r="J55" s="32" t="n">
        <f aca="false">Diffus!J102</f>
        <v>23.1389319159003</v>
      </c>
    </row>
    <row r="56" customFormat="false" ht="14.5" hidden="false" customHeight="false" outlineLevel="0" collapsed="false">
      <c r="B56" s="45" t="s">
        <v>30</v>
      </c>
      <c r="C56" s="32" t="n">
        <f aca="false">Diffus!C103</f>
        <v>214.273176</v>
      </c>
      <c r="D56" s="32" t="n">
        <f aca="false">Diffus!D103</f>
        <v>196.23687982556</v>
      </c>
      <c r="E56" s="32" t="n">
        <f aca="false">Diffus!E103</f>
        <v>201.460888234039</v>
      </c>
      <c r="F56" s="32" t="n">
        <f aca="false">Diffus!F103</f>
        <v>198.508970279348</v>
      </c>
      <c r="G56" s="32" t="n">
        <f aca="false">Diffus!G103</f>
        <v>196.902201287997</v>
      </c>
      <c r="H56" s="32" t="n">
        <f aca="false">Diffus!H103</f>
        <v>199.601858491529</v>
      </c>
      <c r="I56" s="32" t="n">
        <f aca="false">Diffus!I103</f>
        <v>201.960399498954</v>
      </c>
      <c r="J56" s="32" t="n">
        <f aca="false">Diffus!J103</f>
        <v>201.368303839685</v>
      </c>
    </row>
    <row r="57" customFormat="false" ht="14.5" hidden="false" customHeight="false" outlineLevel="0" collapsed="false">
      <c r="B57" s="46" t="s">
        <v>31</v>
      </c>
      <c r="C57" s="32" t="n">
        <f aca="false">Diffus!C104</f>
        <v>114.881552</v>
      </c>
      <c r="D57" s="32" t="n">
        <f aca="false">Diffus!D104</f>
        <v>96.546553</v>
      </c>
      <c r="E57" s="32" t="n">
        <f aca="false">Diffus!E104</f>
        <v>104.259895813408</v>
      </c>
      <c r="F57" s="32" t="n">
        <f aca="false">Diffus!F104</f>
        <v>106.607086161495</v>
      </c>
      <c r="G57" s="32" t="n">
        <f aca="false">Diffus!G104</f>
        <v>110.206737532892</v>
      </c>
      <c r="H57" s="32" t="n">
        <f aca="false">Diffus!H104</f>
        <v>115.636709221764</v>
      </c>
      <c r="I57" s="32" t="n">
        <f aca="false">Diffus!I104</f>
        <v>122.248346644843</v>
      </c>
      <c r="J57" s="32" t="n">
        <f aca="false">Diffus!J104</f>
        <v>128.766477661065</v>
      </c>
    </row>
    <row r="58" customFormat="false" ht="14.5" hidden="false" customHeight="false" outlineLevel="0" collapsed="false">
      <c r="B58" s="40" t="s">
        <v>33</v>
      </c>
      <c r="D58" s="41"/>
      <c r="E58" s="41"/>
      <c r="F58" s="41"/>
      <c r="G58" s="41"/>
      <c r="H58" s="41"/>
    </row>
  </sheetData>
  <mergeCells count="9">
    <mergeCell ref="B2:G2"/>
    <mergeCell ref="B4:C4"/>
    <mergeCell ref="C6:H6"/>
    <mergeCell ref="I6:O6"/>
    <mergeCell ref="P6:V6"/>
    <mergeCell ref="B22:E22"/>
    <mergeCell ref="C24:H24"/>
    <mergeCell ref="I24:O24"/>
    <mergeCell ref="P24:V2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2F5597"/>
    <pageSetUpPr fitToPage="false"/>
  </sheetPr>
  <dimension ref="B2:V77"/>
  <sheetViews>
    <sheetView showFormulas="false" showGridLines="true" showRowColHeaders="true" showZeros="true" rightToLeft="false" tabSelected="false" showOutlineSymbols="true" defaultGridColor="true" view="normal" topLeftCell="A19" colorId="64" zoomScale="70" zoomScaleNormal="70" zoomScalePageLayoutView="100" workbookViewId="0">
      <selection pane="topLeft" activeCell="L45" activeCellId="0" sqref="L45"/>
    </sheetView>
  </sheetViews>
  <sheetFormatPr defaultRowHeight="14.5" zeroHeight="false" outlineLevelRow="0" outlineLevelCol="0"/>
  <cols>
    <col collapsed="false" customWidth="true" hidden="false" outlineLevel="0" max="1" min="1" style="47" width="10.45"/>
    <col collapsed="false" customWidth="true" hidden="false" outlineLevel="0" max="2" min="2" style="47" width="39.81"/>
    <col collapsed="false" customWidth="true" hidden="false" outlineLevel="0" max="1025" min="3" style="47" width="10.45"/>
  </cols>
  <sheetData>
    <row r="2" customFormat="false" ht="14.5" hidden="false" customHeight="false" outlineLevel="0" collapsed="false">
      <c r="B2" s="47" t="s">
        <v>753</v>
      </c>
      <c r="C2" s="370" t="n">
        <v>0.00126</v>
      </c>
      <c r="D2" s="47" t="s">
        <v>754</v>
      </c>
    </row>
    <row r="4" customFormat="false" ht="14.5" hidden="false" customHeight="false" outlineLevel="0" collapsed="false">
      <c r="B4" s="266"/>
      <c r="C4" s="1"/>
      <c r="D4" s="1"/>
      <c r="E4" s="1"/>
      <c r="F4" s="1"/>
      <c r="G4" s="1"/>
      <c r="H4" s="1"/>
      <c r="I4" s="1"/>
      <c r="J4" s="1"/>
      <c r="K4" s="1"/>
      <c r="L4" s="1"/>
      <c r="M4" s="1"/>
      <c r="N4" s="1"/>
      <c r="O4" s="1"/>
      <c r="P4" s="1"/>
      <c r="Q4" s="1"/>
      <c r="R4" s="1"/>
      <c r="S4" s="1"/>
      <c r="T4" s="1"/>
    </row>
    <row r="5" customFormat="false" ht="14.5" hidden="false" customHeight="false" outlineLevel="0" collapsed="false">
      <c r="B5" s="257"/>
      <c r="C5" s="1"/>
      <c r="D5" s="371" t="s">
        <v>3</v>
      </c>
      <c r="E5" s="371"/>
      <c r="F5" s="371"/>
      <c r="G5" s="371"/>
      <c r="H5" s="371"/>
      <c r="I5" s="371"/>
      <c r="J5" s="1"/>
      <c r="K5" s="1"/>
      <c r="L5" s="1"/>
      <c r="M5" s="1"/>
      <c r="N5" s="1"/>
      <c r="O5" s="259" t="s">
        <v>4</v>
      </c>
      <c r="P5" s="259"/>
      <c r="Q5" s="259"/>
      <c r="R5" s="259"/>
      <c r="S5" s="259"/>
      <c r="T5" s="259"/>
    </row>
    <row r="6" customFormat="false" ht="14.5" hidden="false" customHeight="false" outlineLevel="0" collapsed="false">
      <c r="B6" s="257"/>
      <c r="C6" s="1"/>
      <c r="D6" s="372" t="n">
        <v>2025</v>
      </c>
      <c r="E6" s="373" t="n">
        <v>2030</v>
      </c>
      <c r="F6" s="373" t="n">
        <v>2035</v>
      </c>
      <c r="G6" s="373" t="n">
        <v>2040</v>
      </c>
      <c r="H6" s="373" t="n">
        <v>2045</v>
      </c>
      <c r="I6" s="374" t="n">
        <v>2050</v>
      </c>
      <c r="J6" s="1"/>
      <c r="K6" s="1"/>
      <c r="L6" s="1"/>
      <c r="M6" s="1"/>
      <c r="N6" s="1"/>
      <c r="O6" s="373" t="n">
        <v>2025</v>
      </c>
      <c r="P6" s="373" t="n">
        <v>2030</v>
      </c>
      <c r="Q6" s="373" t="n">
        <v>2035</v>
      </c>
      <c r="R6" s="373" t="n">
        <v>2040</v>
      </c>
      <c r="S6" s="191" t="n">
        <v>2045</v>
      </c>
      <c r="T6" s="191" t="n">
        <v>2050</v>
      </c>
    </row>
    <row r="7" customFormat="false" ht="14.5" hidden="false" customHeight="false" outlineLevel="0" collapsed="false">
      <c r="B7" s="209" t="s">
        <v>24</v>
      </c>
      <c r="C7" s="1"/>
      <c r="D7" s="375" t="n">
        <v>0.5</v>
      </c>
      <c r="E7" s="376" t="n">
        <v>1.5</v>
      </c>
      <c r="F7" s="376" t="n">
        <v>2</v>
      </c>
      <c r="G7" s="376" t="n">
        <v>3</v>
      </c>
      <c r="H7" s="376" t="n">
        <v>4</v>
      </c>
      <c r="I7" s="377" t="n">
        <v>5</v>
      </c>
      <c r="J7" s="1"/>
      <c r="K7" s="1" t="s">
        <v>755</v>
      </c>
      <c r="L7" s="1"/>
      <c r="M7" s="1"/>
      <c r="N7" s="1"/>
      <c r="O7" s="376" t="n">
        <v>0.5</v>
      </c>
      <c r="P7" s="376" t="n">
        <v>1.5</v>
      </c>
      <c r="Q7" s="376" t="n">
        <v>2</v>
      </c>
      <c r="R7" s="376" t="n">
        <v>2</v>
      </c>
      <c r="S7" s="376" t="n">
        <v>3</v>
      </c>
      <c r="T7" s="376" t="n">
        <v>3</v>
      </c>
      <c r="V7" s="47" t="s">
        <v>756</v>
      </c>
    </row>
    <row r="8" customFormat="false" ht="14.5" hidden="false" customHeight="false" outlineLevel="0" collapsed="false">
      <c r="B8" s="211" t="s">
        <v>757</v>
      </c>
      <c r="C8" s="1"/>
      <c r="D8" s="200" t="n">
        <f aca="false">E8</f>
        <v>0.03</v>
      </c>
      <c r="E8" s="200" t="n">
        <v>0.03</v>
      </c>
      <c r="F8" s="200" t="n">
        <f aca="false">(E8+G8)/2</f>
        <v>0.0275</v>
      </c>
      <c r="G8" s="200" t="n">
        <f aca="false">(E8+I8)/2</f>
        <v>0.025</v>
      </c>
      <c r="H8" s="200" t="n">
        <f aca="false">(G8+I8)/2</f>
        <v>0.0225</v>
      </c>
      <c r="I8" s="200" t="n">
        <v>0.02</v>
      </c>
      <c r="J8" s="1"/>
      <c r="L8" s="1"/>
      <c r="M8" s="1"/>
      <c r="N8" s="1"/>
      <c r="O8" s="200" t="n">
        <f aca="false">P8</f>
        <v>0.09</v>
      </c>
      <c r="P8" s="200" t="n">
        <v>0.09</v>
      </c>
      <c r="Q8" s="200" t="n">
        <f aca="false">(P8+R8)/2</f>
        <v>0.1775</v>
      </c>
      <c r="R8" s="200" t="n">
        <f aca="false">(P8+T8)/2</f>
        <v>0.265</v>
      </c>
      <c r="S8" s="200" t="n">
        <f aca="false">(R8+T8)/2</f>
        <v>0.3525</v>
      </c>
      <c r="T8" s="200" t="n">
        <v>0.44</v>
      </c>
      <c r="V8" s="47" t="s">
        <v>758</v>
      </c>
    </row>
    <row r="9" customFormat="false" ht="14.5" hidden="false" customHeight="false" outlineLevel="0" collapsed="false">
      <c r="B9" s="211" t="s">
        <v>759</v>
      </c>
      <c r="C9" s="1"/>
      <c r="D9" s="200" t="n">
        <v>0</v>
      </c>
      <c r="E9" s="200" t="n">
        <v>0.15</v>
      </c>
      <c r="F9" s="200" t="n">
        <v>0.3</v>
      </c>
      <c r="G9" s="200" t="n">
        <v>0.45</v>
      </c>
      <c r="H9" s="200" t="n">
        <v>0.6</v>
      </c>
      <c r="I9" s="200" t="n">
        <v>0.75</v>
      </c>
      <c r="J9" s="1"/>
      <c r="L9" s="1"/>
      <c r="M9" s="1"/>
      <c r="N9" s="1"/>
      <c r="O9" s="200" t="n">
        <v>0</v>
      </c>
      <c r="P9" s="200" t="n">
        <v>0.15</v>
      </c>
      <c r="Q9" s="200" t="n">
        <v>0.3</v>
      </c>
      <c r="R9" s="200" t="n">
        <v>0.45</v>
      </c>
      <c r="S9" s="200" t="n">
        <v>0.6</v>
      </c>
      <c r="T9" s="200" t="n">
        <v>0.75</v>
      </c>
    </row>
    <row r="10" customFormat="false" ht="14.5" hidden="false" customHeight="false" outlineLevel="0" collapsed="false">
      <c r="B10" s="211" t="s">
        <v>760</v>
      </c>
      <c r="C10" s="1"/>
      <c r="D10" s="200" t="n">
        <f aca="false">1-D9</f>
        <v>1</v>
      </c>
      <c r="E10" s="200" t="n">
        <f aca="false">1-E9</f>
        <v>0.85</v>
      </c>
      <c r="F10" s="200" t="n">
        <f aca="false">1-F9</f>
        <v>0.7</v>
      </c>
      <c r="G10" s="200" t="n">
        <f aca="false">1-G9</f>
        <v>0.55</v>
      </c>
      <c r="H10" s="200" t="n">
        <f aca="false">1-H9</f>
        <v>0.4</v>
      </c>
      <c r="I10" s="200" t="n">
        <f aca="false">1-I9</f>
        <v>0.25</v>
      </c>
      <c r="J10" s="1"/>
      <c r="K10" s="1"/>
      <c r="L10" s="1"/>
      <c r="M10" s="1"/>
      <c r="N10" s="1"/>
      <c r="O10" s="200" t="n">
        <f aca="false">1-O9</f>
        <v>1</v>
      </c>
      <c r="P10" s="200" t="n">
        <f aca="false">1-P9</f>
        <v>0.85</v>
      </c>
      <c r="Q10" s="200" t="n">
        <f aca="false">1-Q9</f>
        <v>0.7</v>
      </c>
      <c r="R10" s="200" t="n">
        <f aca="false">1-R9</f>
        <v>0.55</v>
      </c>
      <c r="S10" s="200" t="n">
        <f aca="false">1-S9</f>
        <v>0.4</v>
      </c>
      <c r="T10" s="200" t="n">
        <f aca="false">1-T9</f>
        <v>0.25</v>
      </c>
    </row>
    <row r="11" customFormat="false" ht="14.5" hidden="false" customHeight="false" outlineLevel="0" collapsed="false">
      <c r="B11" s="209" t="s">
        <v>25</v>
      </c>
      <c r="C11" s="1"/>
      <c r="D11" s="375" t="n">
        <v>0</v>
      </c>
      <c r="E11" s="376" t="n">
        <v>0.2</v>
      </c>
      <c r="F11" s="376" t="n">
        <v>2</v>
      </c>
      <c r="G11" s="376" t="n">
        <v>2.25</v>
      </c>
      <c r="H11" s="376" t="n">
        <v>2.5</v>
      </c>
      <c r="I11" s="377" t="n">
        <v>2.75</v>
      </c>
      <c r="J11" s="1"/>
      <c r="K11" s="1" t="s">
        <v>761</v>
      </c>
      <c r="L11" s="1"/>
      <c r="M11" s="1"/>
      <c r="N11" s="1"/>
      <c r="O11" s="376" t="n">
        <v>0</v>
      </c>
      <c r="P11" s="376" t="n">
        <v>1</v>
      </c>
      <c r="Q11" s="376" t="n">
        <v>3</v>
      </c>
      <c r="R11" s="376" t="n">
        <v>4</v>
      </c>
      <c r="S11" s="376" t="n">
        <v>5</v>
      </c>
      <c r="T11" s="376" t="n">
        <v>6</v>
      </c>
      <c r="V11" s="47" t="s">
        <v>762</v>
      </c>
    </row>
    <row r="12" customFormat="false" ht="14.5" hidden="false" customHeight="false" outlineLevel="0" collapsed="false">
      <c r="B12" s="211" t="s">
        <v>757</v>
      </c>
      <c r="C12" s="1"/>
      <c r="D12" s="200" t="n">
        <f aca="false">E12</f>
        <v>0.03</v>
      </c>
      <c r="E12" s="200" t="n">
        <v>0.03</v>
      </c>
      <c r="F12" s="200" t="n">
        <f aca="false">(E12+G12)/2</f>
        <v>0.03</v>
      </c>
      <c r="G12" s="200" t="n">
        <f aca="false">(E12+I12)/2</f>
        <v>0.03</v>
      </c>
      <c r="H12" s="200" t="n">
        <f aca="false">(G12+I12)/2</f>
        <v>0.03</v>
      </c>
      <c r="I12" s="200" t="n">
        <v>0.03</v>
      </c>
      <c r="J12" s="1"/>
      <c r="K12" s="47" t="s">
        <v>763</v>
      </c>
      <c r="L12" s="1"/>
      <c r="M12" s="1"/>
      <c r="N12" s="1"/>
      <c r="O12" s="200" t="n">
        <f aca="false">P12</f>
        <v>0.06</v>
      </c>
      <c r="P12" s="200" t="n">
        <v>0.06</v>
      </c>
      <c r="Q12" s="200" t="n">
        <f aca="false">(P12+R12)/2</f>
        <v>0.1125</v>
      </c>
      <c r="R12" s="200" t="n">
        <f aca="false">(P12+T12)/2</f>
        <v>0.165</v>
      </c>
      <c r="S12" s="200" t="n">
        <f aca="false">(R12+T12)/2</f>
        <v>0.2175</v>
      </c>
      <c r="T12" s="200" t="n">
        <v>0.27</v>
      </c>
      <c r="V12" s="1" t="s">
        <v>764</v>
      </c>
    </row>
    <row r="13" customFormat="false" ht="14.5" hidden="false" customHeight="false" outlineLevel="0" collapsed="false">
      <c r="B13" s="211" t="s">
        <v>759</v>
      </c>
      <c r="C13" s="1"/>
      <c r="D13" s="200" t="n">
        <v>0.8</v>
      </c>
      <c r="E13" s="200" t="n">
        <v>0.8</v>
      </c>
      <c r="F13" s="200" t="n">
        <v>0.7</v>
      </c>
      <c r="G13" s="200" t="n">
        <v>0.66</v>
      </c>
      <c r="H13" s="200" t="n">
        <v>0.6</v>
      </c>
      <c r="I13" s="200" t="n">
        <v>0.6</v>
      </c>
      <c r="J13" s="1"/>
      <c r="K13" s="1" t="s">
        <v>765</v>
      </c>
      <c r="L13" s="1"/>
      <c r="M13" s="1"/>
      <c r="N13" s="1"/>
      <c r="O13" s="200" t="n">
        <v>0.5</v>
      </c>
      <c r="P13" s="200" t="n">
        <v>0.55</v>
      </c>
      <c r="Q13" s="200" t="n">
        <v>0.6</v>
      </c>
      <c r="R13" s="200" t="n">
        <v>0.65</v>
      </c>
      <c r="S13" s="200" t="n">
        <v>0.7</v>
      </c>
      <c r="T13" s="200" t="n">
        <v>0.75</v>
      </c>
    </row>
    <row r="14" customFormat="false" ht="14.5" hidden="false" customHeight="false" outlineLevel="0" collapsed="false">
      <c r="B14" s="211" t="s">
        <v>760</v>
      </c>
      <c r="C14" s="1"/>
      <c r="D14" s="200" t="n">
        <f aca="false">1-D13</f>
        <v>0.2</v>
      </c>
      <c r="E14" s="200" t="n">
        <f aca="false">1-E13</f>
        <v>0.2</v>
      </c>
      <c r="F14" s="200" t="n">
        <f aca="false">1-F13</f>
        <v>0.3</v>
      </c>
      <c r="G14" s="200" t="n">
        <f aca="false">1-G13</f>
        <v>0.34</v>
      </c>
      <c r="H14" s="200" t="n">
        <f aca="false">1-H13</f>
        <v>0.4</v>
      </c>
      <c r="I14" s="200" t="n">
        <f aca="false">1-I13</f>
        <v>0.4</v>
      </c>
      <c r="J14" s="1"/>
      <c r="K14" s="1"/>
      <c r="L14" s="1"/>
      <c r="M14" s="1"/>
      <c r="N14" s="1"/>
      <c r="O14" s="200" t="n">
        <f aca="false">1-O13</f>
        <v>0.5</v>
      </c>
      <c r="P14" s="200" t="n">
        <f aca="false">1-P13</f>
        <v>0.45</v>
      </c>
      <c r="Q14" s="200" t="n">
        <f aca="false">1-Q13</f>
        <v>0.4</v>
      </c>
      <c r="R14" s="200" t="n">
        <f aca="false">1-R13</f>
        <v>0.35</v>
      </c>
      <c r="S14" s="200" t="n">
        <f aca="false">1-S13</f>
        <v>0.3</v>
      </c>
      <c r="T14" s="200" t="n">
        <f aca="false">1-T13</f>
        <v>0.25</v>
      </c>
    </row>
    <row r="15" customFormat="false" ht="14.5" hidden="false" customHeight="false" outlineLevel="0" collapsed="false">
      <c r="B15" s="209" t="s">
        <v>480</v>
      </c>
      <c r="C15" s="1"/>
      <c r="D15" s="375" t="n">
        <v>0.5</v>
      </c>
      <c r="E15" s="375" t="n">
        <v>1.5</v>
      </c>
      <c r="F15" s="375" t="n">
        <v>2</v>
      </c>
      <c r="G15" s="375" t="n">
        <v>2.5</v>
      </c>
      <c r="H15" s="375" t="n">
        <v>3</v>
      </c>
      <c r="I15" s="375" t="n">
        <v>3</v>
      </c>
      <c r="J15" s="1"/>
      <c r="K15" s="1" t="s">
        <v>766</v>
      </c>
      <c r="L15" s="1"/>
      <c r="M15" s="1"/>
      <c r="N15" s="1"/>
      <c r="O15" s="376" t="n">
        <v>0.5</v>
      </c>
      <c r="P15" s="376" t="n">
        <v>1.5</v>
      </c>
      <c r="Q15" s="376" t="n">
        <v>2.5</v>
      </c>
      <c r="R15" s="376" t="n">
        <v>3</v>
      </c>
      <c r="S15" s="376" t="n">
        <v>3.5</v>
      </c>
      <c r="T15" s="376" t="n">
        <v>4</v>
      </c>
      <c r="V15" s="47" t="s">
        <v>767</v>
      </c>
    </row>
    <row r="16" customFormat="false" ht="14.5" hidden="false" customHeight="false" outlineLevel="0" collapsed="false">
      <c r="B16" s="211" t="s">
        <v>757</v>
      </c>
      <c r="C16" s="1"/>
      <c r="D16" s="200" t="n">
        <f aca="false">E16</f>
        <v>0.15</v>
      </c>
      <c r="E16" s="200" t="n">
        <v>0.15</v>
      </c>
      <c r="F16" s="200" t="n">
        <f aca="false">(E16+G16)/2</f>
        <v>0.145</v>
      </c>
      <c r="G16" s="200" t="n">
        <f aca="false">(E16+I16)/2</f>
        <v>0.14</v>
      </c>
      <c r="H16" s="200" t="n">
        <f aca="false">(G16+I16)/2</f>
        <v>0.135</v>
      </c>
      <c r="I16" s="200" t="n">
        <v>0.13</v>
      </c>
      <c r="J16" s="1"/>
      <c r="K16" s="47" t="s">
        <v>763</v>
      </c>
      <c r="L16" s="1"/>
      <c r="M16" s="1"/>
      <c r="N16" s="1"/>
      <c r="O16" s="200" t="n">
        <f aca="false">P16</f>
        <v>0.18</v>
      </c>
      <c r="P16" s="200" t="n">
        <v>0.18</v>
      </c>
      <c r="Q16" s="200" t="n">
        <f aca="false">(P16+R16)/2</f>
        <v>0.21</v>
      </c>
      <c r="R16" s="200" t="n">
        <f aca="false">(P16+T16)/2</f>
        <v>0.24</v>
      </c>
      <c r="S16" s="200" t="n">
        <f aca="false">(R16+T16)/2</f>
        <v>0.27</v>
      </c>
      <c r="T16" s="200" t="n">
        <v>0.3</v>
      </c>
      <c r="V16" s="1" t="s">
        <v>768</v>
      </c>
    </row>
    <row r="17" customFormat="false" ht="14.5" hidden="false" customHeight="false" outlineLevel="0" collapsed="false">
      <c r="B17" s="211" t="s">
        <v>759</v>
      </c>
      <c r="C17" s="1"/>
      <c r="D17" s="200" t="n">
        <v>0.8</v>
      </c>
      <c r="E17" s="200" t="n">
        <v>0.8</v>
      </c>
      <c r="F17" s="200" t="n">
        <v>0.75</v>
      </c>
      <c r="G17" s="200" t="n">
        <v>0.7</v>
      </c>
      <c r="H17" s="200" t="n">
        <v>0.65</v>
      </c>
      <c r="I17" s="200" t="n">
        <v>0.6</v>
      </c>
      <c r="J17" s="1"/>
      <c r="K17" s="1"/>
      <c r="L17" s="1"/>
      <c r="M17" s="1"/>
      <c r="N17" s="1"/>
      <c r="O17" s="200" t="n">
        <v>0.5</v>
      </c>
      <c r="P17" s="200" t="n">
        <v>0.55</v>
      </c>
      <c r="Q17" s="200" t="n">
        <v>0.6</v>
      </c>
      <c r="R17" s="200" t="n">
        <v>0.65</v>
      </c>
      <c r="S17" s="200" t="n">
        <v>0.7</v>
      </c>
      <c r="T17" s="200" t="n">
        <v>0.75</v>
      </c>
    </row>
    <row r="18" customFormat="false" ht="14.5" hidden="false" customHeight="false" outlineLevel="0" collapsed="false">
      <c r="B18" s="211" t="s">
        <v>760</v>
      </c>
      <c r="C18" s="1"/>
      <c r="D18" s="200" t="n">
        <f aca="false">1-D17</f>
        <v>0.2</v>
      </c>
      <c r="E18" s="200" t="n">
        <f aca="false">1-E17</f>
        <v>0.2</v>
      </c>
      <c r="F18" s="200" t="n">
        <f aca="false">1-F17</f>
        <v>0.25</v>
      </c>
      <c r="G18" s="200" t="n">
        <f aca="false">1-G17</f>
        <v>0.3</v>
      </c>
      <c r="H18" s="200" t="n">
        <f aca="false">1-H17</f>
        <v>0.35</v>
      </c>
      <c r="I18" s="200" t="n">
        <f aca="false">1-I17</f>
        <v>0.4</v>
      </c>
      <c r="J18" s="1"/>
      <c r="K18" s="1"/>
      <c r="L18" s="1"/>
      <c r="M18" s="1"/>
      <c r="N18" s="1"/>
      <c r="O18" s="200" t="n">
        <f aca="false">1-O17</f>
        <v>0.5</v>
      </c>
      <c r="P18" s="200" t="n">
        <f aca="false">1-P17</f>
        <v>0.45</v>
      </c>
      <c r="Q18" s="200" t="n">
        <f aca="false">1-Q17</f>
        <v>0.4</v>
      </c>
      <c r="R18" s="200" t="n">
        <f aca="false">1-R17</f>
        <v>0.35</v>
      </c>
      <c r="S18" s="200" t="n">
        <f aca="false">1-S17</f>
        <v>0.3</v>
      </c>
      <c r="T18" s="200" t="n">
        <f aca="false">1-T17</f>
        <v>0.25</v>
      </c>
    </row>
    <row r="19" customFormat="false" ht="14.5" hidden="false" customHeight="false" outlineLevel="0" collapsed="false">
      <c r="B19" s="209" t="s">
        <v>554</v>
      </c>
      <c r="C19" s="1"/>
      <c r="D19" s="375" t="n">
        <v>0</v>
      </c>
      <c r="E19" s="376" t="n">
        <v>0</v>
      </c>
      <c r="F19" s="376" t="n">
        <v>0</v>
      </c>
      <c r="G19" s="376" t="n">
        <v>0</v>
      </c>
      <c r="H19" s="376" t="n">
        <v>0</v>
      </c>
      <c r="I19" s="377" t="n">
        <v>0</v>
      </c>
      <c r="J19" s="1"/>
      <c r="K19" s="1"/>
      <c r="L19" s="1"/>
      <c r="M19" s="1"/>
      <c r="N19" s="1"/>
      <c r="O19" s="376" t="n">
        <v>0</v>
      </c>
      <c r="P19" s="376" t="n">
        <v>0</v>
      </c>
      <c r="Q19" s="376" t="n">
        <v>0</v>
      </c>
      <c r="R19" s="376" t="n">
        <v>0</v>
      </c>
      <c r="S19" s="376" t="n">
        <v>0</v>
      </c>
      <c r="T19" s="376" t="n">
        <v>0</v>
      </c>
      <c r="V19" s="47" t="s">
        <v>769</v>
      </c>
    </row>
    <row r="20" customFormat="false" ht="14.5" hidden="false" customHeight="false" outlineLevel="0" collapsed="false">
      <c r="B20" s="211" t="s">
        <v>757</v>
      </c>
      <c r="C20" s="1"/>
      <c r="D20" s="200" t="n">
        <f aca="false">E20</f>
        <v>0.19</v>
      </c>
      <c r="E20" s="200" t="n">
        <v>0.19</v>
      </c>
      <c r="F20" s="200" t="n">
        <f aca="false">(E20+G20)/2</f>
        <v>0.22</v>
      </c>
      <c r="G20" s="200" t="n">
        <f aca="false">(E20+I20)/2</f>
        <v>0.25</v>
      </c>
      <c r="H20" s="200" t="n">
        <f aca="false">(G20+I20)/2</f>
        <v>0.28</v>
      </c>
      <c r="I20" s="200" t="n">
        <v>0.31</v>
      </c>
      <c r="J20" s="1"/>
      <c r="K20" s="47" t="s">
        <v>763</v>
      </c>
      <c r="L20" s="1"/>
      <c r="M20" s="1"/>
      <c r="N20" s="1"/>
      <c r="O20" s="200" t="n">
        <f aca="false">P20</f>
        <v>0.25</v>
      </c>
      <c r="P20" s="200" t="n">
        <v>0.25</v>
      </c>
      <c r="Q20" s="200" t="n">
        <f aca="false">(P20+R20)/2</f>
        <v>0.4</v>
      </c>
      <c r="R20" s="200" t="n">
        <f aca="false">(P20+T20)/2</f>
        <v>0.55</v>
      </c>
      <c r="S20" s="200" t="n">
        <f aca="false">(R20+T20)/2</f>
        <v>0.7</v>
      </c>
      <c r="T20" s="200" t="n">
        <v>0.85</v>
      </c>
      <c r="V20" s="1" t="s">
        <v>763</v>
      </c>
    </row>
    <row r="21" customFormat="false" ht="14.5" hidden="false" customHeight="false" outlineLevel="0" collapsed="false">
      <c r="B21" s="211" t="s">
        <v>759</v>
      </c>
      <c r="C21" s="1"/>
      <c r="D21" s="200" t="n">
        <v>0.8</v>
      </c>
      <c r="E21" s="200" t="n">
        <v>0.8</v>
      </c>
      <c r="F21" s="200" t="n">
        <v>0.75</v>
      </c>
      <c r="G21" s="200" t="n">
        <v>0.7</v>
      </c>
      <c r="H21" s="200" t="n">
        <v>0.65</v>
      </c>
      <c r="I21" s="200" t="n">
        <v>0.6</v>
      </c>
      <c r="J21" s="1"/>
      <c r="K21" s="1"/>
      <c r="L21" s="1"/>
      <c r="M21" s="1"/>
      <c r="N21" s="1"/>
      <c r="O21" s="200" t="n">
        <v>0.5</v>
      </c>
      <c r="P21" s="200" t="n">
        <v>0.55</v>
      </c>
      <c r="Q21" s="200" t="n">
        <v>0.6</v>
      </c>
      <c r="R21" s="200" t="n">
        <v>0.65</v>
      </c>
      <c r="S21" s="200" t="n">
        <v>0.7</v>
      </c>
      <c r="T21" s="200" t="n">
        <v>0.75</v>
      </c>
    </row>
    <row r="22" customFormat="false" ht="14.5" hidden="false" customHeight="false" outlineLevel="0" collapsed="false">
      <c r="B22" s="211" t="s">
        <v>760</v>
      </c>
      <c r="C22" s="1"/>
      <c r="D22" s="200" t="n">
        <f aca="false">1-D21</f>
        <v>0.2</v>
      </c>
      <c r="E22" s="200" t="n">
        <f aca="false">1-E21</f>
        <v>0.2</v>
      </c>
      <c r="F22" s="200" t="n">
        <f aca="false">1-F21</f>
        <v>0.25</v>
      </c>
      <c r="G22" s="200" t="n">
        <f aca="false">1-G21</f>
        <v>0.3</v>
      </c>
      <c r="H22" s="200" t="n">
        <f aca="false">1-H21</f>
        <v>0.35</v>
      </c>
      <c r="I22" s="200" t="n">
        <f aca="false">1-I21</f>
        <v>0.4</v>
      </c>
      <c r="J22" s="1"/>
      <c r="K22" s="1"/>
      <c r="L22" s="1"/>
      <c r="M22" s="1"/>
      <c r="N22" s="1"/>
      <c r="O22" s="200" t="n">
        <f aca="false">1-O21</f>
        <v>0.5</v>
      </c>
      <c r="P22" s="200" t="n">
        <f aca="false">1-P21</f>
        <v>0.45</v>
      </c>
      <c r="Q22" s="200" t="n">
        <f aca="false">1-Q21</f>
        <v>0.4</v>
      </c>
      <c r="R22" s="200" t="n">
        <f aca="false">1-R21</f>
        <v>0.35</v>
      </c>
      <c r="S22" s="200" t="n">
        <f aca="false">1-S21</f>
        <v>0.3</v>
      </c>
      <c r="T22" s="200" t="n">
        <f aca="false">1-T21</f>
        <v>0.25</v>
      </c>
    </row>
    <row r="23" customFormat="false" ht="14.5" hidden="false" customHeight="false" outlineLevel="0" collapsed="false">
      <c r="B23" s="209" t="s">
        <v>487</v>
      </c>
      <c r="C23" s="1"/>
      <c r="D23" s="200"/>
      <c r="E23" s="200"/>
      <c r="F23" s="200"/>
      <c r="G23" s="200"/>
      <c r="H23" s="200"/>
      <c r="I23" s="200"/>
      <c r="J23" s="1"/>
      <c r="K23" s="1"/>
      <c r="L23" s="1"/>
      <c r="M23" s="1"/>
      <c r="N23" s="1"/>
      <c r="O23" s="200"/>
      <c r="P23" s="200"/>
      <c r="Q23" s="200"/>
      <c r="R23" s="200"/>
      <c r="S23" s="200"/>
      <c r="T23" s="200"/>
    </row>
    <row r="24" customFormat="false" ht="14.5" hidden="false" customHeight="false" outlineLevel="0" collapsed="false">
      <c r="B24" s="209" t="s">
        <v>31</v>
      </c>
      <c r="C24" s="1"/>
      <c r="D24" s="200"/>
      <c r="E24" s="200"/>
      <c r="F24" s="200"/>
      <c r="G24" s="200"/>
      <c r="H24" s="200"/>
      <c r="I24" s="200"/>
      <c r="J24" s="1"/>
      <c r="K24" s="1"/>
      <c r="L24" s="1"/>
      <c r="M24" s="1"/>
      <c r="N24" s="1"/>
      <c r="O24" s="200"/>
      <c r="P24" s="200"/>
      <c r="Q24" s="200"/>
      <c r="R24" s="200"/>
      <c r="S24" s="200"/>
      <c r="T24" s="200"/>
    </row>
    <row r="25" customFormat="false" ht="14.5" hidden="false" customHeight="false" outlineLevel="0" collapsed="false">
      <c r="B25" s="209" t="s">
        <v>488</v>
      </c>
      <c r="C25" s="1"/>
      <c r="D25" s="375" t="n">
        <v>0</v>
      </c>
      <c r="E25" s="376" t="n">
        <v>0</v>
      </c>
      <c r="F25" s="376" t="n">
        <v>0</v>
      </c>
      <c r="G25" s="376" t="n">
        <v>0</v>
      </c>
      <c r="H25" s="376" t="n">
        <v>0</v>
      </c>
      <c r="I25" s="377" t="n">
        <v>0</v>
      </c>
      <c r="J25" s="1"/>
      <c r="K25" s="1"/>
      <c r="L25" s="1"/>
      <c r="M25" s="1"/>
      <c r="N25" s="1"/>
      <c r="O25" s="376" t="n">
        <v>0</v>
      </c>
      <c r="P25" s="376" t="n">
        <v>0</v>
      </c>
      <c r="Q25" s="376" t="n">
        <v>0.5</v>
      </c>
      <c r="R25" s="376" t="n">
        <v>0.8</v>
      </c>
      <c r="S25" s="376" t="n">
        <v>1</v>
      </c>
      <c r="T25" s="376" t="n">
        <v>1.3</v>
      </c>
    </row>
    <row r="26" customFormat="false" ht="14.5" hidden="false" customHeight="false" outlineLevel="0" collapsed="false">
      <c r="B26" s="211" t="s">
        <v>757</v>
      </c>
      <c r="C26" s="1"/>
      <c r="D26" s="200" t="n">
        <f aca="false">E26</f>
        <v>0.61</v>
      </c>
      <c r="E26" s="200" t="n">
        <v>0.61</v>
      </c>
      <c r="F26" s="200" t="n">
        <f aca="false">(E26+G26)/2</f>
        <v>0.605</v>
      </c>
      <c r="G26" s="200" t="n">
        <f aca="false">(E26+I26)/2</f>
        <v>0.6</v>
      </c>
      <c r="H26" s="200" t="n">
        <f aca="false">(G26+I26)/2</f>
        <v>0.595</v>
      </c>
      <c r="I26" s="200" t="n">
        <v>0.59</v>
      </c>
      <c r="J26" s="1"/>
      <c r="K26" s="47" t="s">
        <v>763</v>
      </c>
      <c r="L26" s="1"/>
      <c r="M26" s="1"/>
      <c r="N26" s="1"/>
      <c r="O26" s="200" t="n">
        <f aca="false">P26</f>
        <v>0.69</v>
      </c>
      <c r="P26" s="200" t="n">
        <v>0.69</v>
      </c>
      <c r="Q26" s="200" t="n">
        <f aca="false">(P26+R26)/2</f>
        <v>0.7475</v>
      </c>
      <c r="R26" s="200" t="n">
        <f aca="false">(P26+T26)/2</f>
        <v>0.805</v>
      </c>
      <c r="S26" s="200" t="n">
        <f aca="false">(R26+T26)/2</f>
        <v>0.8625</v>
      </c>
      <c r="T26" s="200" t="n">
        <v>0.92</v>
      </c>
      <c r="V26" s="1" t="s">
        <v>770</v>
      </c>
    </row>
    <row r="27" customFormat="false" ht="14.5" hidden="false" customHeight="false" outlineLevel="0" collapsed="false">
      <c r="B27" s="211" t="s">
        <v>759</v>
      </c>
      <c r="C27" s="1"/>
      <c r="D27" s="200" t="n">
        <v>0.8</v>
      </c>
      <c r="E27" s="200" t="n">
        <v>0.8</v>
      </c>
      <c r="F27" s="200" t="n">
        <v>0.75</v>
      </c>
      <c r="G27" s="200" t="n">
        <v>0.7</v>
      </c>
      <c r="H27" s="200" t="n">
        <v>0.65</v>
      </c>
      <c r="I27" s="200" t="n">
        <v>0.6</v>
      </c>
      <c r="J27" s="1"/>
      <c r="K27" s="1"/>
      <c r="L27" s="1"/>
      <c r="M27" s="1"/>
      <c r="N27" s="1"/>
      <c r="O27" s="200" t="n">
        <v>0.5</v>
      </c>
      <c r="P27" s="200" t="n">
        <v>0.55</v>
      </c>
      <c r="Q27" s="200" t="n">
        <v>0.6</v>
      </c>
      <c r="R27" s="200" t="n">
        <v>0.65</v>
      </c>
      <c r="S27" s="200" t="n">
        <v>0.7</v>
      </c>
      <c r="T27" s="200" t="n">
        <v>0.75</v>
      </c>
    </row>
    <row r="28" customFormat="false" ht="14.5" hidden="false" customHeight="false" outlineLevel="0" collapsed="false">
      <c r="B28" s="211" t="s">
        <v>760</v>
      </c>
      <c r="C28" s="1"/>
      <c r="D28" s="200" t="n">
        <f aca="false">1-D27</f>
        <v>0.2</v>
      </c>
      <c r="E28" s="200" t="n">
        <f aca="false">1-E27</f>
        <v>0.2</v>
      </c>
      <c r="F28" s="200" t="n">
        <f aca="false">1-F27</f>
        <v>0.25</v>
      </c>
      <c r="G28" s="200" t="n">
        <f aca="false">1-G27</f>
        <v>0.3</v>
      </c>
      <c r="H28" s="200" t="n">
        <f aca="false">1-H27</f>
        <v>0.35</v>
      </c>
      <c r="I28" s="200" t="n">
        <f aca="false">1-I27</f>
        <v>0.4</v>
      </c>
      <c r="J28" s="1"/>
      <c r="K28" s="1"/>
      <c r="L28" s="1"/>
      <c r="M28" s="1"/>
      <c r="N28" s="1"/>
      <c r="O28" s="200" t="n">
        <f aca="false">1-O27</f>
        <v>0.5</v>
      </c>
      <c r="P28" s="200" t="n">
        <f aca="false">1-P27</f>
        <v>0.45</v>
      </c>
      <c r="Q28" s="200" t="n">
        <f aca="false">1-Q27</f>
        <v>0.4</v>
      </c>
      <c r="R28" s="200" t="n">
        <f aca="false">1-R27</f>
        <v>0.35</v>
      </c>
      <c r="S28" s="200" t="n">
        <f aca="false">1-S27</f>
        <v>0.3</v>
      </c>
      <c r="T28" s="200" t="n">
        <f aca="false">1-T27</f>
        <v>0.25</v>
      </c>
    </row>
    <row r="29" customFormat="false" ht="14.5" hidden="false" customHeight="false" outlineLevel="0" collapsed="false">
      <c r="B29" s="378" t="s">
        <v>771</v>
      </c>
      <c r="C29" s="1"/>
      <c r="D29" s="379" t="n">
        <f aca="false">D25+D19+D15+D11+D7</f>
        <v>1</v>
      </c>
      <c r="E29" s="379" t="n">
        <f aca="false">E25+E19+E15+E11+E7</f>
        <v>3.2</v>
      </c>
      <c r="F29" s="379" t="n">
        <f aca="false">F25+F19+F15+F11+F7</f>
        <v>6</v>
      </c>
      <c r="G29" s="379" t="n">
        <f aca="false">G25+G19+G15+G11+G7</f>
        <v>7.75</v>
      </c>
      <c r="H29" s="379" t="n">
        <f aca="false">H25+H19+H15+H11+H7</f>
        <v>9.5</v>
      </c>
      <c r="I29" s="379" t="n">
        <f aca="false">I25+I19+I15+I11+I7</f>
        <v>10.75</v>
      </c>
      <c r="J29" s="1"/>
      <c r="K29" s="1"/>
      <c r="L29" s="1"/>
      <c r="M29" s="1"/>
      <c r="N29" s="1"/>
      <c r="O29" s="380" t="n">
        <f aca="false">O25+O19+O15+O11+O7</f>
        <v>1</v>
      </c>
      <c r="P29" s="380" t="n">
        <f aca="false">P25+P19+P15+P11+P7</f>
        <v>4</v>
      </c>
      <c r="Q29" s="380" t="n">
        <f aca="false">Q25+Q19+Q15+Q11+Q7</f>
        <v>8</v>
      </c>
      <c r="R29" s="380" t="n">
        <f aca="false">R25+R19+R15+R11+R7</f>
        <v>9.8</v>
      </c>
      <c r="S29" s="380" t="n">
        <f aca="false">S25+S19+S15+S11+S7</f>
        <v>12.5</v>
      </c>
      <c r="T29" s="380" t="n">
        <f aca="false">T25+T19+T15+T11+T7</f>
        <v>14.3</v>
      </c>
    </row>
    <row r="30" customFormat="false" ht="14.5" hidden="false" customHeight="false" outlineLevel="0" collapsed="false">
      <c r="B30" s="1"/>
      <c r="C30" s="1"/>
      <c r="D30" s="1"/>
      <c r="E30" s="1"/>
      <c r="F30" s="1"/>
      <c r="G30" s="1"/>
      <c r="H30" s="1"/>
      <c r="I30" s="1"/>
      <c r="J30" s="1"/>
      <c r="K30" s="1"/>
      <c r="L30" s="1"/>
      <c r="M30" s="1"/>
      <c r="N30" s="1"/>
      <c r="O30" s="1"/>
      <c r="P30" s="1"/>
      <c r="Q30" s="1"/>
      <c r="R30" s="1"/>
      <c r="S30" s="1"/>
      <c r="T30" s="1"/>
    </row>
    <row r="31" customFormat="false" ht="14.5" hidden="false" customHeight="false" outlineLevel="0" collapsed="false">
      <c r="B31" s="209" t="s">
        <v>772</v>
      </c>
      <c r="C31" s="1"/>
      <c r="D31" s="1"/>
      <c r="E31" s="1"/>
      <c r="F31" s="1"/>
      <c r="G31" s="1"/>
      <c r="H31" s="1"/>
      <c r="I31" s="1"/>
      <c r="J31" s="1"/>
      <c r="K31" s="1"/>
      <c r="L31" s="1"/>
      <c r="M31" s="1"/>
      <c r="N31" s="1"/>
      <c r="O31" s="1"/>
      <c r="P31" s="1"/>
      <c r="Q31" s="1"/>
      <c r="R31" s="1"/>
      <c r="S31" s="1"/>
      <c r="T31" s="1"/>
    </row>
    <row r="32" customFormat="false" ht="14.5" hidden="false" customHeight="false" outlineLevel="0" collapsed="false">
      <c r="B32" s="381" t="s">
        <v>773</v>
      </c>
      <c r="C32" s="1"/>
      <c r="D32" s="7" t="n">
        <v>0</v>
      </c>
      <c r="E32" s="7" t="n">
        <v>0</v>
      </c>
      <c r="F32" s="7" t="n">
        <v>0</v>
      </c>
      <c r="G32" s="7" t="n">
        <v>0</v>
      </c>
      <c r="H32" s="7" t="n">
        <v>0</v>
      </c>
      <c r="I32" s="7" t="n">
        <v>0</v>
      </c>
      <c r="J32" s="1"/>
      <c r="K32" s="1"/>
      <c r="L32" s="1"/>
      <c r="M32" s="1"/>
      <c r="N32" s="1"/>
      <c r="O32" s="7" t="n">
        <v>0</v>
      </c>
      <c r="P32" s="7" t="n">
        <v>0</v>
      </c>
      <c r="Q32" s="7" t="n">
        <v>0</v>
      </c>
      <c r="R32" s="7" t="n">
        <v>0</v>
      </c>
      <c r="S32" s="7" t="n">
        <v>0</v>
      </c>
      <c r="T32" s="7" t="n">
        <v>0</v>
      </c>
    </row>
    <row r="33" customFormat="false" ht="14.5" hidden="false" customHeight="false" outlineLevel="0" collapsed="false">
      <c r="B33" s="211" t="s">
        <v>757</v>
      </c>
      <c r="C33" s="1"/>
      <c r="D33" s="382" t="n">
        <v>0.0278</v>
      </c>
      <c r="E33" s="382" t="n">
        <v>0.024</v>
      </c>
      <c r="F33" s="382" t="n">
        <v>0.0237</v>
      </c>
      <c r="G33" s="382" t="n">
        <v>0.0236</v>
      </c>
      <c r="H33" s="382" t="n">
        <v>0.0235</v>
      </c>
      <c r="I33" s="382" t="n">
        <v>0.025</v>
      </c>
      <c r="J33" s="1"/>
      <c r="K33" s="1"/>
      <c r="L33" s="1"/>
      <c r="M33" s="1"/>
      <c r="N33" s="1"/>
      <c r="O33" s="383" t="n">
        <v>0.368</v>
      </c>
      <c r="P33" s="383" t="n">
        <v>0.423</v>
      </c>
      <c r="Q33" s="383" t="n">
        <v>0.542</v>
      </c>
      <c r="R33" s="383" t="n">
        <v>0.802</v>
      </c>
      <c r="S33" s="383" t="n">
        <v>0.908</v>
      </c>
      <c r="T33" s="384" t="n">
        <v>1</v>
      </c>
    </row>
    <row r="34" customFormat="false" ht="14.5" hidden="false" customHeight="false" outlineLevel="0" collapsed="false">
      <c r="B34" s="211" t="s">
        <v>759</v>
      </c>
      <c r="C34" s="1"/>
      <c r="D34" s="200" t="n">
        <v>0.8</v>
      </c>
      <c r="E34" s="200" t="n">
        <v>0.8</v>
      </c>
      <c r="F34" s="200" t="n">
        <v>0.75</v>
      </c>
      <c r="G34" s="200" t="n">
        <v>0.7</v>
      </c>
      <c r="H34" s="200" t="n">
        <v>0.65</v>
      </c>
      <c r="I34" s="200" t="n">
        <v>0.6</v>
      </c>
      <c r="J34" s="1"/>
      <c r="K34" s="1"/>
      <c r="L34" s="1"/>
      <c r="M34" s="1"/>
      <c r="N34" s="1"/>
      <c r="O34" s="200" t="n">
        <v>0.5</v>
      </c>
      <c r="P34" s="200" t="n">
        <v>0.55</v>
      </c>
      <c r="Q34" s="200" t="n">
        <v>0.6</v>
      </c>
      <c r="R34" s="200" t="n">
        <v>0.65</v>
      </c>
      <c r="S34" s="200" t="n">
        <v>0.7</v>
      </c>
      <c r="T34" s="200" t="n">
        <v>0.75</v>
      </c>
    </row>
    <row r="35" customFormat="false" ht="14.5" hidden="false" customHeight="false" outlineLevel="0" collapsed="false">
      <c r="B35" s="211" t="s">
        <v>760</v>
      </c>
      <c r="C35" s="1"/>
      <c r="D35" s="200" t="n">
        <f aca="false">1-D34</f>
        <v>0.2</v>
      </c>
      <c r="E35" s="200" t="n">
        <f aca="false">1-E34</f>
        <v>0.2</v>
      </c>
      <c r="F35" s="200" t="n">
        <f aca="false">1-F34</f>
        <v>0.25</v>
      </c>
      <c r="G35" s="200" t="n">
        <f aca="false">1-G34</f>
        <v>0.3</v>
      </c>
      <c r="H35" s="200" t="n">
        <f aca="false">1-H34</f>
        <v>0.35</v>
      </c>
      <c r="I35" s="200" t="n">
        <f aca="false">1-I34</f>
        <v>0.4</v>
      </c>
      <c r="J35" s="1"/>
      <c r="K35" s="1"/>
      <c r="L35" s="1"/>
      <c r="M35" s="1"/>
      <c r="N35" s="1"/>
      <c r="O35" s="200" t="n">
        <f aca="false">1-O34</f>
        <v>0.5</v>
      </c>
      <c r="P35" s="200" t="n">
        <f aca="false">1-P34</f>
        <v>0.45</v>
      </c>
      <c r="Q35" s="200" t="n">
        <f aca="false">1-Q34</f>
        <v>0.4</v>
      </c>
      <c r="R35" s="200" t="n">
        <f aca="false">1-R34</f>
        <v>0.35</v>
      </c>
      <c r="S35" s="200" t="n">
        <f aca="false">1-S34</f>
        <v>0.3</v>
      </c>
      <c r="T35" s="200" t="n">
        <f aca="false">1-T34</f>
        <v>0.25</v>
      </c>
    </row>
    <row r="36" customFormat="false" ht="14.5" hidden="false" customHeight="false" outlineLevel="0" collapsed="false">
      <c r="B36" s="381" t="s">
        <v>774</v>
      </c>
      <c r="C36" s="1"/>
      <c r="D36" s="7" t="n">
        <v>0</v>
      </c>
      <c r="E36" s="7" t="n">
        <v>0</v>
      </c>
      <c r="F36" s="7" t="n">
        <v>0</v>
      </c>
      <c r="G36" s="7" t="n">
        <v>0</v>
      </c>
      <c r="H36" s="7" t="n">
        <v>0</v>
      </c>
      <c r="I36" s="7" t="n">
        <v>0</v>
      </c>
      <c r="J36" s="1"/>
      <c r="K36" s="1"/>
      <c r="L36" s="1"/>
      <c r="M36" s="1"/>
      <c r="N36" s="1"/>
      <c r="O36" s="7" t="n">
        <v>0</v>
      </c>
      <c r="P36" s="7" t="n">
        <v>0</v>
      </c>
      <c r="Q36" s="7" t="n">
        <v>2</v>
      </c>
      <c r="R36" s="7" t="n">
        <v>4</v>
      </c>
      <c r="S36" s="7" t="n">
        <v>6</v>
      </c>
      <c r="T36" s="7" t="n">
        <v>8</v>
      </c>
      <c r="V36" s="47" t="s">
        <v>775</v>
      </c>
    </row>
    <row r="37" customFormat="false" ht="14.5" hidden="false" customHeight="false" outlineLevel="0" collapsed="false">
      <c r="B37" s="211" t="s">
        <v>757</v>
      </c>
      <c r="C37" s="1"/>
      <c r="D37" s="384" t="n">
        <v>0.62</v>
      </c>
      <c r="E37" s="384" t="n">
        <v>0.62</v>
      </c>
      <c r="F37" s="384" t="n">
        <v>0.62</v>
      </c>
      <c r="G37" s="384" t="n">
        <v>0.62</v>
      </c>
      <c r="H37" s="384" t="n">
        <v>0.62</v>
      </c>
      <c r="I37" s="384" t="n">
        <v>0.62</v>
      </c>
      <c r="J37" s="1"/>
      <c r="K37" s="1"/>
      <c r="L37" s="1"/>
      <c r="M37" s="1"/>
      <c r="N37" s="1"/>
      <c r="O37" s="383" t="n">
        <v>0.703</v>
      </c>
      <c r="P37" s="383" t="n">
        <v>0.759</v>
      </c>
      <c r="Q37" s="383" t="n">
        <v>0.808</v>
      </c>
      <c r="R37" s="383" t="n">
        <v>0.862</v>
      </c>
      <c r="S37" s="383" t="n">
        <v>0.919</v>
      </c>
      <c r="T37" s="384" t="n">
        <v>1</v>
      </c>
    </row>
    <row r="38" customFormat="false" ht="14.5" hidden="false" customHeight="false" outlineLevel="0" collapsed="false">
      <c r="B38" s="211" t="s">
        <v>759</v>
      </c>
      <c r="C38" s="1"/>
      <c r="D38" s="200" t="n">
        <v>0.8</v>
      </c>
      <c r="E38" s="200" t="n">
        <v>0.8</v>
      </c>
      <c r="F38" s="200" t="n">
        <v>0.75</v>
      </c>
      <c r="G38" s="200" t="n">
        <v>0.7</v>
      </c>
      <c r="H38" s="200" t="n">
        <v>0.65</v>
      </c>
      <c r="I38" s="200" t="n">
        <v>0.6</v>
      </c>
      <c r="J38" s="1"/>
      <c r="K38" s="1"/>
      <c r="L38" s="1"/>
      <c r="M38" s="1"/>
      <c r="N38" s="1"/>
      <c r="O38" s="200" t="n">
        <v>0.5</v>
      </c>
      <c r="P38" s="200" t="n">
        <v>0.55</v>
      </c>
      <c r="Q38" s="200" t="n">
        <v>0.6</v>
      </c>
      <c r="R38" s="200" t="n">
        <v>0.65</v>
      </c>
      <c r="S38" s="200" t="n">
        <v>0.7</v>
      </c>
      <c r="T38" s="200" t="n">
        <v>0.75</v>
      </c>
    </row>
    <row r="39" customFormat="false" ht="14.5" hidden="false" customHeight="false" outlineLevel="0" collapsed="false">
      <c r="B39" s="211" t="s">
        <v>760</v>
      </c>
      <c r="C39" s="1"/>
      <c r="D39" s="200" t="n">
        <f aca="false">1-D38</f>
        <v>0.2</v>
      </c>
      <c r="E39" s="200" t="n">
        <f aca="false">1-E38</f>
        <v>0.2</v>
      </c>
      <c r="F39" s="200" t="n">
        <f aca="false">1-F38</f>
        <v>0.25</v>
      </c>
      <c r="G39" s="200" t="n">
        <f aca="false">1-G38</f>
        <v>0.3</v>
      </c>
      <c r="H39" s="200" t="n">
        <f aca="false">1-H38</f>
        <v>0.35</v>
      </c>
      <c r="I39" s="200" t="n">
        <f aca="false">1-I38</f>
        <v>0.4</v>
      </c>
      <c r="J39" s="1"/>
      <c r="K39" s="1"/>
      <c r="L39" s="1"/>
      <c r="M39" s="1"/>
      <c r="N39" s="1"/>
      <c r="O39" s="200" t="n">
        <f aca="false">1-O38</f>
        <v>0.5</v>
      </c>
      <c r="P39" s="200" t="n">
        <f aca="false">1-P38</f>
        <v>0.45</v>
      </c>
      <c r="Q39" s="200" t="n">
        <f aca="false">1-Q38</f>
        <v>0.4</v>
      </c>
      <c r="R39" s="200" t="n">
        <f aca="false">1-R38</f>
        <v>0.35</v>
      </c>
      <c r="S39" s="200" t="n">
        <f aca="false">1-S38</f>
        <v>0.3</v>
      </c>
      <c r="T39" s="200" t="n">
        <f aca="false">1-T38</f>
        <v>0.25</v>
      </c>
    </row>
    <row r="40" customFormat="false" ht="14.5" hidden="false" customHeight="false" outlineLevel="0" collapsed="false">
      <c r="B40" s="381" t="s">
        <v>776</v>
      </c>
      <c r="C40" s="1"/>
      <c r="D40" s="7" t="n">
        <v>0</v>
      </c>
      <c r="E40" s="7" t="n">
        <v>0</v>
      </c>
      <c r="F40" s="7" t="n">
        <v>0.5</v>
      </c>
      <c r="G40" s="7" t="n">
        <v>0.75</v>
      </c>
      <c r="H40" s="7" t="n">
        <v>1</v>
      </c>
      <c r="I40" s="7" t="n">
        <v>1.25</v>
      </c>
      <c r="J40" s="1"/>
      <c r="K40" s="1" t="s">
        <v>777</v>
      </c>
      <c r="L40" s="1"/>
      <c r="M40" s="1"/>
      <c r="N40" s="1"/>
      <c r="O40" s="7" t="n">
        <v>0</v>
      </c>
      <c r="P40" s="7" t="n">
        <v>0</v>
      </c>
      <c r="Q40" s="7" t="n">
        <v>0</v>
      </c>
      <c r="R40" s="7" t="n">
        <v>0</v>
      </c>
      <c r="S40" s="7" t="n">
        <v>0</v>
      </c>
      <c r="T40" s="7" t="n">
        <v>0</v>
      </c>
      <c r="V40" s="47" t="s">
        <v>778</v>
      </c>
    </row>
    <row r="41" customFormat="false" ht="14.5" hidden="false" customHeight="false" outlineLevel="0" collapsed="false">
      <c r="B41" s="211" t="s">
        <v>757</v>
      </c>
      <c r="C41" s="1"/>
      <c r="D41" s="385"/>
      <c r="E41" s="385"/>
      <c r="F41" s="385"/>
      <c r="G41" s="385"/>
      <c r="H41" s="385"/>
      <c r="I41" s="385"/>
      <c r="J41" s="1"/>
      <c r="K41" s="1"/>
      <c r="L41" s="1"/>
      <c r="M41" s="1"/>
      <c r="N41" s="1"/>
      <c r="O41" s="385"/>
      <c r="P41" s="385"/>
      <c r="Q41" s="385"/>
      <c r="R41" s="385"/>
      <c r="S41" s="385"/>
      <c r="T41" s="385"/>
    </row>
    <row r="42" customFormat="false" ht="14.5" hidden="false" customHeight="false" outlineLevel="0" collapsed="false">
      <c r="B42" s="211" t="s">
        <v>759</v>
      </c>
      <c r="C42" s="1"/>
      <c r="D42" s="200" t="n">
        <v>0.8</v>
      </c>
      <c r="E42" s="200" t="n">
        <v>0.8</v>
      </c>
      <c r="F42" s="200" t="n">
        <v>0.75</v>
      </c>
      <c r="G42" s="200" t="n">
        <v>0.7</v>
      </c>
      <c r="H42" s="200" t="n">
        <v>0.65</v>
      </c>
      <c r="I42" s="200" t="n">
        <v>0.6</v>
      </c>
      <c r="J42" s="1"/>
      <c r="K42" s="1"/>
      <c r="L42" s="1"/>
      <c r="M42" s="1"/>
      <c r="N42" s="1"/>
      <c r="O42" s="200" t="n">
        <v>0.5</v>
      </c>
      <c r="P42" s="200" t="n">
        <v>0.55</v>
      </c>
      <c r="Q42" s="200" t="n">
        <v>0.6</v>
      </c>
      <c r="R42" s="200" t="n">
        <v>0.65</v>
      </c>
      <c r="S42" s="200" t="n">
        <v>0.7</v>
      </c>
      <c r="T42" s="200" t="n">
        <v>0.75</v>
      </c>
    </row>
    <row r="43" customFormat="false" ht="14.5" hidden="false" customHeight="false" outlineLevel="0" collapsed="false">
      <c r="B43" s="211" t="s">
        <v>760</v>
      </c>
      <c r="C43" s="1"/>
      <c r="D43" s="200" t="n">
        <f aca="false">1-D42</f>
        <v>0.2</v>
      </c>
      <c r="E43" s="200" t="n">
        <f aca="false">1-E42</f>
        <v>0.2</v>
      </c>
      <c r="F43" s="200" t="n">
        <f aca="false">1-F42</f>
        <v>0.25</v>
      </c>
      <c r="G43" s="200" t="n">
        <f aca="false">1-G42</f>
        <v>0.3</v>
      </c>
      <c r="H43" s="200" t="n">
        <f aca="false">1-H42</f>
        <v>0.35</v>
      </c>
      <c r="I43" s="200" t="n">
        <f aca="false">1-I42</f>
        <v>0.4</v>
      </c>
      <c r="J43" s="1"/>
      <c r="K43" s="1"/>
      <c r="L43" s="1"/>
      <c r="M43" s="1"/>
      <c r="N43" s="1"/>
      <c r="O43" s="200" t="n">
        <f aca="false">1-O42</f>
        <v>0.5</v>
      </c>
      <c r="P43" s="200" t="n">
        <f aca="false">1-P42</f>
        <v>0.45</v>
      </c>
      <c r="Q43" s="200" t="n">
        <f aca="false">1-Q42</f>
        <v>0.4</v>
      </c>
      <c r="R43" s="200" t="n">
        <f aca="false">1-R42</f>
        <v>0.35</v>
      </c>
      <c r="S43" s="200" t="n">
        <f aca="false">1-S42</f>
        <v>0.3</v>
      </c>
      <c r="T43" s="200" t="n">
        <f aca="false">1-T42</f>
        <v>0.25</v>
      </c>
    </row>
    <row r="44" customFormat="false" ht="14.5" hidden="false" customHeight="false" outlineLevel="0" collapsed="false">
      <c r="B44" s="378" t="s">
        <v>779</v>
      </c>
      <c r="C44" s="1"/>
      <c r="D44" s="379" t="n">
        <f aca="false">D32+D36+D40</f>
        <v>0</v>
      </c>
      <c r="E44" s="379" t="n">
        <f aca="false">E32+E36+E40</f>
        <v>0</v>
      </c>
      <c r="F44" s="379" t="n">
        <f aca="false">F32+F36+F40</f>
        <v>0.5</v>
      </c>
      <c r="G44" s="379" t="n">
        <f aca="false">G32+G36+G40</f>
        <v>0.75</v>
      </c>
      <c r="H44" s="379" t="n">
        <f aca="false">H32+H36+H40</f>
        <v>1</v>
      </c>
      <c r="I44" s="379" t="n">
        <f aca="false">I32+I36+I40</f>
        <v>1.25</v>
      </c>
      <c r="J44" s="1"/>
      <c r="K44" s="1"/>
      <c r="L44" s="1"/>
      <c r="M44" s="1"/>
      <c r="N44" s="1"/>
      <c r="O44" s="379" t="n">
        <f aca="false">O32+O36+O40</f>
        <v>0</v>
      </c>
      <c r="P44" s="379" t="n">
        <f aca="false">P32+P36+P40</f>
        <v>0</v>
      </c>
      <c r="Q44" s="379" t="n">
        <f aca="false">Q32+Q36+Q40</f>
        <v>2</v>
      </c>
      <c r="R44" s="379" t="n">
        <f aca="false">R32+R36+R40</f>
        <v>4</v>
      </c>
      <c r="S44" s="379" t="n">
        <f aca="false">S32+S36+S40</f>
        <v>6</v>
      </c>
      <c r="T44" s="379" t="n">
        <f aca="false">T32+T36+T40</f>
        <v>8</v>
      </c>
    </row>
    <row r="45" customFormat="false" ht="14.5" hidden="false" customHeight="false" outlineLevel="0" collapsed="false">
      <c r="B45" s="1"/>
      <c r="C45" s="1"/>
      <c r="D45" s="1"/>
      <c r="E45" s="1"/>
      <c r="F45" s="1"/>
      <c r="G45" s="1"/>
      <c r="H45" s="1"/>
      <c r="I45" s="1"/>
      <c r="J45" s="1"/>
      <c r="K45" s="1"/>
      <c r="L45" s="1"/>
      <c r="M45" s="1"/>
      <c r="N45" s="1"/>
      <c r="O45" s="1"/>
      <c r="P45" s="1"/>
      <c r="Q45" s="1"/>
      <c r="R45" s="1"/>
      <c r="S45" s="1"/>
      <c r="T45" s="1"/>
    </row>
    <row r="46" customFormat="false" ht="14.5" hidden="false" customHeight="false" outlineLevel="0" collapsed="false">
      <c r="B46" s="378" t="s">
        <v>780</v>
      </c>
      <c r="C46" s="1"/>
      <c r="D46" s="386" t="n">
        <f aca="false">D44+D29</f>
        <v>1</v>
      </c>
      <c r="E46" s="386" t="n">
        <f aca="false">E44+E29</f>
        <v>3.2</v>
      </c>
      <c r="F46" s="386" t="n">
        <f aca="false">F44+F29</f>
        <v>6.5</v>
      </c>
      <c r="G46" s="386" t="n">
        <f aca="false">G44+G29</f>
        <v>8.5</v>
      </c>
      <c r="H46" s="386" t="n">
        <f aca="false">H44+H29</f>
        <v>10.5</v>
      </c>
      <c r="I46" s="386" t="n">
        <f aca="false">I44+I29</f>
        <v>12</v>
      </c>
      <c r="J46" s="1"/>
      <c r="K46" s="1"/>
      <c r="L46" s="1"/>
      <c r="M46" s="1"/>
      <c r="N46" s="1"/>
      <c r="O46" s="387" t="n">
        <f aca="false">O44+O29</f>
        <v>1</v>
      </c>
      <c r="P46" s="387" t="n">
        <f aca="false">P44+P29</f>
        <v>4</v>
      </c>
      <c r="Q46" s="387" t="n">
        <f aca="false">Q44+Q29</f>
        <v>10</v>
      </c>
      <c r="R46" s="387" t="n">
        <f aca="false">R44+R29</f>
        <v>13.8</v>
      </c>
      <c r="S46" s="387" t="n">
        <f aca="false">S44+S29</f>
        <v>18.5</v>
      </c>
      <c r="T46" s="387" t="n">
        <f aca="false">T44+T29</f>
        <v>22.3</v>
      </c>
    </row>
    <row r="47" customFormat="false" ht="14.5" hidden="false" customHeight="false" outlineLevel="0" collapsed="false">
      <c r="B47" s="1"/>
      <c r="C47" s="1"/>
      <c r="D47" s="1"/>
      <c r="E47" s="1"/>
      <c r="F47" s="1"/>
      <c r="G47" s="1"/>
      <c r="H47" s="1"/>
      <c r="I47" s="1"/>
      <c r="J47" s="1"/>
      <c r="K47" s="1"/>
      <c r="L47" s="1"/>
      <c r="M47" s="1"/>
      <c r="N47" s="1"/>
      <c r="O47" s="1"/>
      <c r="P47" s="1"/>
      <c r="Q47" s="1"/>
      <c r="R47" s="1"/>
      <c r="S47" s="1"/>
      <c r="T47" s="1"/>
    </row>
    <row r="48" customFormat="false" ht="14.5" hidden="false" customHeight="false" outlineLevel="0" collapsed="false">
      <c r="B48" s="378" t="s">
        <v>781</v>
      </c>
      <c r="D48" s="386" t="n">
        <v>0</v>
      </c>
      <c r="E48" s="386" t="n">
        <v>0</v>
      </c>
      <c r="F48" s="386" t="n">
        <v>0</v>
      </c>
      <c r="G48" s="386" t="n">
        <v>0</v>
      </c>
      <c r="H48" s="386" t="n">
        <v>0</v>
      </c>
      <c r="I48" s="386" t="n">
        <v>0</v>
      </c>
      <c r="O48" s="387" t="n">
        <v>0</v>
      </c>
      <c r="P48" s="387" t="n">
        <v>0</v>
      </c>
      <c r="Q48" s="387" t="n">
        <v>0.5</v>
      </c>
      <c r="R48" s="387" t="n">
        <v>1</v>
      </c>
      <c r="S48" s="387" t="n">
        <v>2</v>
      </c>
      <c r="T48" s="387" t="n">
        <v>3</v>
      </c>
    </row>
    <row r="49" customFormat="false" ht="14.5" hidden="false" customHeight="false" outlineLevel="0" collapsed="false">
      <c r="B49" s="211" t="s">
        <v>759</v>
      </c>
      <c r="D49" s="370" t="n">
        <v>0</v>
      </c>
      <c r="E49" s="370" t="n">
        <v>0</v>
      </c>
      <c r="F49" s="370" t="n">
        <v>0</v>
      </c>
      <c r="G49" s="370" t="n">
        <v>0.15</v>
      </c>
      <c r="H49" s="370" t="n">
        <v>0.35</v>
      </c>
      <c r="I49" s="370" t="n">
        <v>0.5</v>
      </c>
      <c r="O49" s="370" t="n">
        <v>0.05</v>
      </c>
      <c r="P49" s="370" t="n">
        <v>0.15</v>
      </c>
      <c r="Q49" s="370" t="n">
        <v>0.25</v>
      </c>
      <c r="R49" s="370" t="n">
        <v>0.4</v>
      </c>
      <c r="S49" s="370" t="n">
        <v>0.6</v>
      </c>
      <c r="T49" s="370" t="n">
        <v>0.9</v>
      </c>
    </row>
    <row r="50" customFormat="false" ht="14.5" hidden="false" customHeight="false" outlineLevel="0" collapsed="false">
      <c r="B50" s="211" t="s">
        <v>760</v>
      </c>
      <c r="D50" s="370" t="n">
        <f aca="false">1-D49</f>
        <v>1</v>
      </c>
      <c r="E50" s="370" t="n">
        <f aca="false">1-E49</f>
        <v>1</v>
      </c>
      <c r="F50" s="370" t="n">
        <f aca="false">1-F49</f>
        <v>1</v>
      </c>
      <c r="G50" s="370" t="n">
        <f aca="false">1-G49</f>
        <v>0.85</v>
      </c>
      <c r="H50" s="370" t="n">
        <f aca="false">1-H49</f>
        <v>0.65</v>
      </c>
      <c r="I50" s="370" t="n">
        <f aca="false">1-I49</f>
        <v>0.5</v>
      </c>
      <c r="O50" s="370" t="n">
        <f aca="false">1-O49</f>
        <v>0.95</v>
      </c>
      <c r="P50" s="370" t="n">
        <f aca="false">1-P49</f>
        <v>0.85</v>
      </c>
      <c r="Q50" s="370" t="n">
        <f aca="false">1-Q49</f>
        <v>0.75</v>
      </c>
      <c r="R50" s="370" t="n">
        <f aca="false">1-R49</f>
        <v>0.6</v>
      </c>
      <c r="S50" s="370" t="n">
        <f aca="false">1-S49</f>
        <v>0.4</v>
      </c>
      <c r="T50" s="370" t="n">
        <f aca="false">1-T49</f>
        <v>0.1</v>
      </c>
    </row>
    <row r="52" customFormat="false" ht="14.5" hidden="false" customHeight="false" outlineLevel="0" collapsed="false">
      <c r="B52" s="47" t="s">
        <v>782</v>
      </c>
      <c r="D52" s="145" t="n">
        <f aca="false">D7*(1-D8)*D9+D11*(1-D12)*D13+D15*(1-D16)*D17+D19*(1-D20)*D21+D25*(1-D26)*D27+D32*(1-D33)*D34+D36*(1-D37)*D38+D40*(1-D41)*D42</f>
        <v>0.34</v>
      </c>
      <c r="E52" s="145" t="n">
        <f aca="false">E7*(1-E8)*E9+E11*(1-E12)*E13+E15*(1-E16)*E17+E19*(1-E20)*E21+E25*(1-E26)*E27+E32*(1-E33)*E34+E36*(1-E37)*E38+E40*(1-E41)*E42</f>
        <v>1.39345</v>
      </c>
      <c r="F52" s="145" t="n">
        <f aca="false">F7*(1-F8)*F9+F11*(1-F12)*F13+F15*(1-F16)*F17+F19*(1-F20)*F21+F25*(1-F26)*F27+F32*(1-F33)*F34+F36*(1-F37)*F38+F40*(1-F41)*F42</f>
        <v>3.599</v>
      </c>
      <c r="G52" s="145" t="n">
        <f aca="false">G7*(1-G8)*G9+G11*(1-G12)*G13+G15*(1-G16)*G17+G19*(1-G20)*G21+G25*(1-G26)*G27+G32*(1-G33)*G34+G36*(1-G37)*G38+G40*(1-G41)*G42</f>
        <v>4.7867</v>
      </c>
      <c r="H52" s="145" t="n">
        <f aca="false">H7*(1-H8)*H9+H11*(1-H12)*H13+H15*(1-H16)*H17+H19*(1-H20)*H21+H25*(1-H26)*H27+H32*(1-H33)*H34+H36*(1-H37)*H38+H40*(1-H41)*H42</f>
        <v>6.13775</v>
      </c>
      <c r="I52" s="145" t="n">
        <f aca="false">I7*(1-I8)*I9+I11*(1-I12)*I13+I15*(1-I16)*I17+I19*(1-I20)*I21+I25*(1-I26)*I27+I32*(1-I33)*I34+I36*(1-I37)*I38+I40*(1-I41)*I42</f>
        <v>7.5915</v>
      </c>
      <c r="O52" s="145" t="n">
        <f aca="false">O7*(1-O8)*O9+O11*(1-O12)*O13+O15*(1-O16)*O17+O19*(1-O20)*O21+O25*(1-O26)*O27+O32*(1-O33)*O34+O36*(1-O37)*O38+O40*(1-O41)*O42</f>
        <v>0.205</v>
      </c>
      <c r="P52" s="145" t="n">
        <f aca="false">P7*(1-P8)*P9+P11*(1-P12)*P13+P15*(1-P16)*P17+P19*(1-P20)*P21+P25*(1-P26)*P27+P32*(1-P33)*P34+P36*(1-P37)*P38+P40*(1-P41)*P42</f>
        <v>1.39825</v>
      </c>
      <c r="Q52" s="145" t="n">
        <f aca="false">Q7*(1-Q8)*Q9+Q11*(1-Q12)*Q13+Q15*(1-Q16)*Q17+Q19*(1-Q20)*Q21+Q25*(1-Q26)*Q27+Q32*(1-Q33)*Q34+Q36*(1-Q37)*Q38+Q40*(1-Q41)*Q42</f>
        <v>3.58215</v>
      </c>
      <c r="R52" s="145" t="n">
        <f aca="false">R7*(1-R8)*R9+R11*(1-R12)*R13+R15*(1-R16)*R17+R19*(1-R20)*R21+R25*(1-R26)*R27+R32*(1-R33)*R34+R36*(1-R37)*R38+R40*(1-R41)*R42</f>
        <v>4.7747</v>
      </c>
      <c r="S52" s="145" t="n">
        <f aca="false">S7*(1-S8)*S9+S11*(1-S12)*S13+S15*(1-S16)*S17+S19*(1-S20)*S21+S25*(1-S26)*S27+S32*(1-S33)*S34+S36*(1-S37)*S38+S40*(1-S41)*S42</f>
        <v>6.1292</v>
      </c>
      <c r="T52" s="145" t="n">
        <f aca="false">T7*(1-T8)*T9+T11*(1-T12)*T13+T15*(1-T16)*T17+T19*(1-T20)*T21+T25*(1-T26)*T27+T32*(1-T33)*T34+T36*(1-T37)*T38+T40*(1-T41)*T42</f>
        <v>6.723</v>
      </c>
    </row>
    <row r="53" customFormat="false" ht="14.5" hidden="false" customHeight="false" outlineLevel="0" collapsed="false">
      <c r="B53" s="47" t="s">
        <v>783</v>
      </c>
      <c r="D53" s="145" t="n">
        <f aca="false">D7*(1-D8)*D10+D11*(1-D12)*D14+D15*(1-D16)*D18+D19*(1-D20)*D22+D25*(1-D26)*D28+D32*(1-D33)*D35+D36*(1-D37)*D39+D40*(1-D41)*D43</f>
        <v>0.57</v>
      </c>
      <c r="E53" s="145" t="n">
        <f aca="false">E7*(1-E8)*E10+E11*(1-E12)*E14+E15*(1-E16)*E18+E19*(1-E20)*E22+E25*(1-E26)*E28+E32*(1-E33)*E35+E36*(1-E37)*E39+E40*(1-E41)*E43</f>
        <v>1.53055</v>
      </c>
      <c r="F53" s="145" t="n">
        <f aca="false">F7*(1-F8)*F10+F11*(1-F12)*F14+F15*(1-F16)*F18+F19*(1-F20)*F22+F25*(1-F26)*F28+F32*(1-F33)*F35+F36*(1-F37)*F39+F40*(1-F41)*F43</f>
        <v>2.496</v>
      </c>
      <c r="G53" s="145" t="n">
        <f aca="false">G7*(1-G8)*G10+G11*(1-G12)*G14+G15*(1-G16)*G18+G19*(1-G20)*G22+G25*(1-G26)*G28+G32*(1-G33)*G35+G36*(1-G37)*G39+G40*(1-G41)*G43</f>
        <v>3.2208</v>
      </c>
      <c r="H53" s="145" t="n">
        <f aca="false">H7*(1-H8)*H10+H11*(1-H12)*H14+H15*(1-H16)*H18+H19*(1-H20)*H22+H25*(1-H26)*H28+H32*(1-H33)*H35+H36*(1-H37)*H39+H40*(1-H41)*H43</f>
        <v>3.79225</v>
      </c>
      <c r="I53" s="145" t="n">
        <f aca="false">I7*(1-I8)*I10+I11*(1-I12)*I14+I15*(1-I16)*I18+I19*(1-I20)*I22+I25*(1-I26)*I28+I32*(1-I33)*I35+I36*(1-I37)*I39+I40*(1-I41)*I43</f>
        <v>3.836</v>
      </c>
      <c r="O53" s="145" t="n">
        <f aca="false">O7*(1-O8)*O10+O11*(1-O12)*O14+O15*(1-O16)*O18+O19*(1-O20)*O22+O25*(1-O26)*O28+O32*(1-O33)*O35+O36*(1-O37)*O39+O40*(1-O41)*O43</f>
        <v>0.66</v>
      </c>
      <c r="P53" s="145" t="n">
        <f aca="false">P7*(1-P8)*P10+P11*(1-P12)*P14+P15*(1-P16)*P18+P19*(1-P20)*P22+P25*(1-P26)*P28+P32*(1-P33)*P35+P36*(1-P37)*P39+P40*(1-P41)*P43</f>
        <v>2.13675</v>
      </c>
      <c r="Q53" s="145" t="n">
        <f aca="false">Q7*(1-Q8)*Q10+Q11*(1-Q12)*Q14+Q15*(1-Q16)*Q18+Q19*(1-Q20)*Q22+Q25*(1-Q26)*Q28+Q32*(1-Q33)*Q35+Q36*(1-Q37)*Q39+Q40*(1-Q41)*Q43</f>
        <v>3.2106</v>
      </c>
      <c r="R53" s="145" t="n">
        <f aca="false">R7*(1-R8)*R10+R11*(1-R12)*R14+R15*(1-R16)*R18+R19*(1-R20)*R22+R25*(1-R26)*R28+R32*(1-R33)*R35+R36*(1-R37)*R39+R40*(1-R41)*R43</f>
        <v>3.0233</v>
      </c>
      <c r="S53" s="145" t="n">
        <f aca="false">S7*(1-S8)*S10+S11*(1-S12)*S14+S15*(1-S16)*S18+S19*(1-S20)*S22+S25*(1-S26)*S28+S32*(1-S33)*S35+S36*(1-S37)*S39+S40*(1-S41)*S43</f>
        <v>2.9043</v>
      </c>
      <c r="T53" s="145" t="n">
        <f aca="false">T7*(1-T8)*T10+T11*(1-T12)*T14+T15*(1-T16)*T18+T19*(1-T20)*T22+T25*(1-T26)*T28+T32*(1-T33)*T35+T36*(1-T37)*T39+T40*(1-T41)*T43</f>
        <v>2.241</v>
      </c>
    </row>
    <row r="54" customFormat="false" ht="14.5" hidden="false" customHeight="false" outlineLevel="0" collapsed="false">
      <c r="B54" s="47" t="s">
        <v>784</v>
      </c>
      <c r="D54" s="145" t="n">
        <f aca="false">D7*(D8)*D9+D11*(D12)*D13+D15*(D16)*D17+D19*(D20)*D21+D25*(D26)*D27+D32*(D33)*D34+D36*(D37)*D38+D40*(D41)*D42</f>
        <v>0.06</v>
      </c>
      <c r="E54" s="145" t="n">
        <f aca="false">E7*(E8)*E9+E11*(E12)*E13+E15*(E16)*E17+E19*(E20)*E21+E25*(E26)*E27+E32*(E33)*E34+E36*(E37)*E38+E40*(E41)*E42</f>
        <v>0.19155</v>
      </c>
      <c r="F54" s="145" t="n">
        <f aca="false">F7*(F8)*F9+F11*(F12)*F13+F15*(F16)*F17+F19*(F20)*F21+F25*(F26)*F27+F32*(F33)*F34+F36*(F37)*F38+F40*(F41)*F42</f>
        <v>0.276</v>
      </c>
      <c r="G54" s="145" t="n">
        <f aca="false">G7*(G8)*G9+G11*(G12)*G13+G15*(G16)*G17+G19*(G20)*G21+G25*(G26)*G27+G32*(G33)*G34+G36*(G37)*G38+G40*(G41)*G42</f>
        <v>0.3233</v>
      </c>
      <c r="H54" s="145" t="n">
        <f aca="false">H7*(H8)*H9+H11*(H12)*H13+H15*(H16)*H17+H19*(H20)*H21+H25*(H26)*H27+H32*(H33)*H34+H36*(H37)*H38+H40*(H41)*H42</f>
        <v>0.36225</v>
      </c>
      <c r="I54" s="145" t="n">
        <f aca="false">I7*(I8)*I9+I11*(I12)*I13+I15*(I16)*I17+I19*(I20)*I21+I25*(I26)*I27+I32*(I33)*I34+I36*(I37)*I38+I40*(I41)*I42</f>
        <v>0.3585</v>
      </c>
      <c r="O54" s="145" t="n">
        <f aca="false">O7*(O8)*O9+O11*(O12)*O13+O15*(O16)*O17+O19*(O20)*O21+O25*(O26)*O27+O32*(O33)*O34+O36*(O37)*O38+O40*(O41)*O42</f>
        <v>0.045</v>
      </c>
      <c r="P54" s="145" t="n">
        <f aca="false">P7*(P8)*P9+P11*(P12)*P13+P15*(P16)*P17+P19*(P20)*P21+P25*(P26)*P27+P32*(P33)*P34+P36*(P37)*P38+P40*(P41)*P42</f>
        <v>0.20175</v>
      </c>
      <c r="Q54" s="145" t="n">
        <f aca="false">Q7*(Q8)*Q9+Q11*(Q12)*Q13+Q15*(Q16)*Q17+Q19*(Q20)*Q21+Q25*(Q26)*Q27+Q32*(Q33)*Q34+Q36*(Q37)*Q38+Q40*(Q41)*Q42</f>
        <v>1.81785</v>
      </c>
      <c r="R54" s="145" t="n">
        <f aca="false">R7*(R8)*R9+R11*(R12)*R13+R15*(R16)*R17+R19*(R20)*R21+R25*(R26)*R27+R32*(R33)*R34+R36*(R37)*R38+R40*(R41)*R42</f>
        <v>3.7953</v>
      </c>
      <c r="S54" s="145" t="n">
        <f aca="false">S7*(S8)*S9+S11*(S12)*S13+S15*(S16)*S17+S19*(S20)*S21+S25*(S26)*S27+S32*(S33)*S34+S36*(S37)*S38+S40*(S41)*S42</f>
        <v>6.5208</v>
      </c>
      <c r="T54" s="145" t="n">
        <f aca="false">T7*(T8)*T9+T11*(T12)*T13+T15*(T16)*T17+T19*(T20)*T21+T25*(T26)*T27+T32*(T33)*T34+T36*(T37)*T38+T40*(T41)*T42</f>
        <v>10.002</v>
      </c>
    </row>
    <row r="55" customFormat="false" ht="14.5" hidden="false" customHeight="false" outlineLevel="0" collapsed="false">
      <c r="B55" s="47" t="s">
        <v>785</v>
      </c>
      <c r="D55" s="145" t="n">
        <f aca="false">D7*(D8)*D10+D11*(D12)*D14+D15*(D16)*D18+D19*(D20)*D22+D25*(D26)*D28+D32*(D33)*D35+D36*(D37)*D39+D40*(D41)*D43</f>
        <v>0.03</v>
      </c>
      <c r="E55" s="145" t="n">
        <f aca="false">E7*(E8)*E10+E11*(E12)*E14+E15*(E16)*E18+E19*(E20)*E22+E25*(E26)*E28+E32*(E33)*E35+E36*(E37)*E39+E40*(E41)*E43</f>
        <v>0.08445</v>
      </c>
      <c r="F55" s="145" t="n">
        <f aca="false">F7*(F8)*F10+F11*(F12)*F14+F15*(F16)*F18+F19*(F20)*F22+F25*(F26)*F28+F32*(F33)*F35+F36*(F37)*F39+F40*(F41)*F43</f>
        <v>0.129</v>
      </c>
      <c r="G55" s="145" t="n">
        <f aca="false">G7*(G8)*G10+G11*(G12)*G14+G15*(G16)*G18+G19*(G20)*G22+G25*(G26)*G28+G32*(G33)*G35+G36*(G37)*G39+G40*(G41)*G43</f>
        <v>0.1692</v>
      </c>
      <c r="H55" s="145" t="n">
        <f aca="false">H7*(H8)*H10+H11*(H12)*H14+H15*(H16)*H18+H19*(H20)*H22+H25*(H26)*H28+H32*(H33)*H35+H36*(H37)*H39+H40*(H41)*H43</f>
        <v>0.20775</v>
      </c>
      <c r="I55" s="145" t="n">
        <f aca="false">I7*(I8)*I10+I11*(I12)*I14+I15*(I16)*I18+I19*(I20)*I22+I25*(I26)*I28+I32*(I33)*I35+I36*(I37)*I39+I40*(I41)*I43</f>
        <v>0.214</v>
      </c>
      <c r="O55" s="145" t="n">
        <f aca="false">O7*(O8)*O10+O11*(O12)*O14+O15*(O16)*O18+O19*(O20)*O22+O25*(O26)*O28+O32*(O33)*O35+O36*(O37)*O39+O40*(O41)*O43</f>
        <v>0.09</v>
      </c>
      <c r="P55" s="145" t="n">
        <f aca="false">P7*(P8)*P10+P11*(P12)*P14+P15*(P16)*P18+P19*(P20)*P22+P25*(P26)*P28+P32*(P33)*P35+P36*(P37)*P39+P40*(P41)*P43</f>
        <v>0.26325</v>
      </c>
      <c r="Q55" s="145" t="n">
        <f aca="false">Q7*(Q8)*Q10+Q11*(Q12)*Q14+Q15*(Q16)*Q18+Q19*(Q20)*Q22+Q25*(Q26)*Q28+Q32*(Q33)*Q35+Q36*(Q37)*Q39+Q40*(Q41)*Q43</f>
        <v>1.3894</v>
      </c>
      <c r="R55" s="145" t="n">
        <f aca="false">R7*(R8)*R10+R11*(R12)*R14+R15*(R16)*R18+R19*(R20)*R22+R25*(R26)*R28+R32*(R33)*R35+R36*(R37)*R39+R40*(R41)*R43</f>
        <v>2.2067</v>
      </c>
      <c r="S55" s="145" t="n">
        <f aca="false">S7*(S8)*S10+S11*(S12)*S14+S15*(S16)*S18+S19*(S20)*S22+S25*(S26)*S28+S32*(S33)*S35+S36*(S37)*S39+S40*(S41)*S43</f>
        <v>2.9457</v>
      </c>
      <c r="T55" s="145" t="n">
        <f aca="false">T7*(T8)*T10+T11*(T12)*T14+T15*(T16)*T18+T19*(T20)*T22+T25*(T26)*T28+T32*(T33)*T35+T36*(T37)*T39+T40*(T41)*T43</f>
        <v>3.334</v>
      </c>
    </row>
    <row r="56" customFormat="false" ht="14.5" hidden="false" customHeight="false" outlineLevel="0" collapsed="false">
      <c r="B56" s="47" t="s">
        <v>786</v>
      </c>
      <c r="D56" s="145" t="n">
        <f aca="false">D48*D49</f>
        <v>0</v>
      </c>
      <c r="E56" s="145" t="n">
        <f aca="false">E48*E49</f>
        <v>0</v>
      </c>
      <c r="F56" s="145" t="n">
        <f aca="false">F48*F49</f>
        <v>0</v>
      </c>
      <c r="G56" s="145" t="n">
        <f aca="false">G48*G49</f>
        <v>0</v>
      </c>
      <c r="H56" s="145" t="n">
        <f aca="false">H48*H49</f>
        <v>0</v>
      </c>
      <c r="I56" s="145" t="n">
        <f aca="false">I48*I49</f>
        <v>0</v>
      </c>
      <c r="O56" s="145" t="n">
        <f aca="false">O48*O49</f>
        <v>0</v>
      </c>
      <c r="P56" s="145" t="n">
        <f aca="false">P48*P49</f>
        <v>0</v>
      </c>
      <c r="Q56" s="145" t="n">
        <f aca="false">Q48*Q49</f>
        <v>0.125</v>
      </c>
      <c r="R56" s="145" t="n">
        <f aca="false">R48*R49</f>
        <v>0.4</v>
      </c>
      <c r="S56" s="145" t="n">
        <f aca="false">S48*S49</f>
        <v>1.2</v>
      </c>
      <c r="T56" s="145" t="n">
        <f aca="false">T48*T49</f>
        <v>2.7</v>
      </c>
    </row>
    <row r="57" customFormat="false" ht="14.5" hidden="false" customHeight="false" outlineLevel="0" collapsed="false">
      <c r="B57" s="47" t="s">
        <v>787</v>
      </c>
      <c r="D57" s="145" t="n">
        <f aca="false">D48*D50</f>
        <v>0</v>
      </c>
      <c r="E57" s="145" t="n">
        <f aca="false">E48*E50</f>
        <v>0</v>
      </c>
      <c r="F57" s="145" t="n">
        <f aca="false">F48*F50</f>
        <v>0</v>
      </c>
      <c r="G57" s="145" t="n">
        <f aca="false">G48*G50</f>
        <v>0</v>
      </c>
      <c r="H57" s="145" t="n">
        <f aca="false">H48*H50</f>
        <v>0</v>
      </c>
      <c r="I57" s="145" t="n">
        <f aca="false">I48*I50</f>
        <v>0</v>
      </c>
      <c r="O57" s="145" t="n">
        <f aca="false">O48*O50</f>
        <v>0</v>
      </c>
      <c r="P57" s="145" t="n">
        <f aca="false">P48*P50</f>
        <v>0</v>
      </c>
      <c r="Q57" s="145" t="n">
        <f aca="false">Q48*Q50</f>
        <v>0.375</v>
      </c>
      <c r="R57" s="145" t="n">
        <f aca="false">R48*R50</f>
        <v>0.6</v>
      </c>
      <c r="S57" s="145" t="n">
        <f aca="false">S48*S50</f>
        <v>0.8</v>
      </c>
      <c r="T57" s="145" t="n">
        <f aca="false">T48*T50</f>
        <v>0.3</v>
      </c>
    </row>
    <row r="58" customFormat="false" ht="14.5" hidden="false" customHeight="false" outlineLevel="0" collapsed="false">
      <c r="B58" s="47" t="s">
        <v>788</v>
      </c>
    </row>
    <row r="60" customFormat="false" ht="14.5" hidden="false" customHeight="false" outlineLevel="0" collapsed="false">
      <c r="B60" s="378" t="s">
        <v>789</v>
      </c>
      <c r="C60" s="1"/>
      <c r="D60" s="386" t="n">
        <f aca="false">D52+D54+D56</f>
        <v>0.4</v>
      </c>
      <c r="E60" s="386" t="n">
        <f aca="false">E52+E54+E56</f>
        <v>1.585</v>
      </c>
      <c r="F60" s="386" t="n">
        <f aca="false">F52+F54+F56</f>
        <v>3.875</v>
      </c>
      <c r="G60" s="386" t="n">
        <f aca="false">G52+G54+G56</f>
        <v>5.11</v>
      </c>
      <c r="H60" s="386" t="n">
        <f aca="false">H52+H54+H56</f>
        <v>6.5</v>
      </c>
      <c r="I60" s="386" t="n">
        <f aca="false">I52+I54+I56</f>
        <v>7.95</v>
      </c>
      <c r="J60" s="1"/>
      <c r="K60" s="1"/>
      <c r="L60" s="1"/>
      <c r="M60" s="1"/>
      <c r="N60" s="1"/>
      <c r="O60" s="386" t="n">
        <f aca="false">O52+O54+O56</f>
        <v>0.25</v>
      </c>
      <c r="P60" s="386" t="n">
        <f aca="false">P52+P54+P56</f>
        <v>1.6</v>
      </c>
      <c r="Q60" s="386" t="n">
        <f aca="false">Q52+Q54+Q56</f>
        <v>5.525</v>
      </c>
      <c r="R60" s="386" t="n">
        <f aca="false">R52+R54+R56</f>
        <v>8.97</v>
      </c>
      <c r="S60" s="386" t="n">
        <f aca="false">S52+S54+S56</f>
        <v>13.85</v>
      </c>
      <c r="T60" s="386" t="n">
        <f aca="false">T52+T54+T56</f>
        <v>19.425</v>
      </c>
    </row>
    <row r="62" customFormat="false" ht="14.5" hidden="false" customHeight="false" outlineLevel="0" collapsed="false">
      <c r="B62" s="47" t="s">
        <v>790</v>
      </c>
      <c r="D62" s="145" t="n">
        <f aca="false">D53+D55+D57</f>
        <v>0.6</v>
      </c>
      <c r="E62" s="145" t="n">
        <f aca="false">E53+E55+E57</f>
        <v>1.615</v>
      </c>
      <c r="F62" s="145" t="n">
        <f aca="false">F53+F55+F57</f>
        <v>2.625</v>
      </c>
      <c r="G62" s="145" t="n">
        <f aca="false">G53+G55+G57</f>
        <v>3.39</v>
      </c>
      <c r="H62" s="145" t="n">
        <f aca="false">H53+H55+H57</f>
        <v>4</v>
      </c>
      <c r="I62" s="145" t="n">
        <f aca="false">I53+I55+I57</f>
        <v>4.05</v>
      </c>
      <c r="O62" s="145" t="n">
        <f aca="false">O53+O55+O57</f>
        <v>0.75</v>
      </c>
      <c r="P62" s="145" t="n">
        <f aca="false">P53+P55+P57</f>
        <v>2.4</v>
      </c>
      <c r="Q62" s="145" t="n">
        <f aca="false">Q53+Q55+Q57</f>
        <v>4.975</v>
      </c>
      <c r="R62" s="145" t="n">
        <f aca="false">R53+R55+R57</f>
        <v>5.83</v>
      </c>
      <c r="S62" s="145" t="n">
        <f aca="false">S53+S55+S57</f>
        <v>6.65</v>
      </c>
      <c r="T62" s="145" t="n">
        <f aca="false">T53+T55+T57</f>
        <v>5.875</v>
      </c>
    </row>
    <row r="63" customFormat="false" ht="14.5" hidden="false" customHeight="false" outlineLevel="0" collapsed="false">
      <c r="B63" s="47" t="s">
        <v>791</v>
      </c>
      <c r="D63" s="145" t="n">
        <f aca="false">D52</f>
        <v>0.34</v>
      </c>
      <c r="E63" s="145" t="n">
        <f aca="false">E52</f>
        <v>1.39345</v>
      </c>
      <c r="F63" s="145" t="n">
        <f aca="false">F52</f>
        <v>3.599</v>
      </c>
      <c r="G63" s="145" t="n">
        <f aca="false">G52</f>
        <v>4.7867</v>
      </c>
      <c r="H63" s="145" t="n">
        <f aca="false">H52</f>
        <v>6.13775</v>
      </c>
      <c r="I63" s="145" t="n">
        <f aca="false">I52</f>
        <v>7.5915</v>
      </c>
      <c r="O63" s="145" t="n">
        <f aca="false">O52</f>
        <v>0.205</v>
      </c>
      <c r="P63" s="145" t="n">
        <f aca="false">P52</f>
        <v>1.39825</v>
      </c>
      <c r="Q63" s="145" t="n">
        <f aca="false">Q52</f>
        <v>3.58215</v>
      </c>
      <c r="R63" s="145" t="n">
        <f aca="false">R52</f>
        <v>4.7747</v>
      </c>
      <c r="S63" s="145" t="n">
        <f aca="false">S52</f>
        <v>6.1292</v>
      </c>
      <c r="T63" s="145" t="n">
        <f aca="false">T52</f>
        <v>6.723</v>
      </c>
    </row>
    <row r="64" customFormat="false" ht="14.5" hidden="false" customHeight="false" outlineLevel="0" collapsed="false">
      <c r="B64" s="47" t="s">
        <v>792</v>
      </c>
      <c r="D64" s="145" t="n">
        <f aca="false">D54+D56</f>
        <v>0.06</v>
      </c>
      <c r="E64" s="145" t="n">
        <f aca="false">E54+E56</f>
        <v>0.19155</v>
      </c>
      <c r="F64" s="145" t="n">
        <f aca="false">F54+F56</f>
        <v>0.276</v>
      </c>
      <c r="G64" s="145" t="n">
        <f aca="false">G54+G56</f>
        <v>0.3233</v>
      </c>
      <c r="H64" s="145" t="n">
        <f aca="false">H54+H56</f>
        <v>0.36225</v>
      </c>
      <c r="I64" s="145" t="n">
        <f aca="false">I54+I56</f>
        <v>0.3585</v>
      </c>
      <c r="O64" s="145" t="n">
        <f aca="false">O54+O56</f>
        <v>0.045</v>
      </c>
      <c r="P64" s="145" t="n">
        <f aca="false">P54+P56</f>
        <v>0.20175</v>
      </c>
      <c r="Q64" s="145" t="n">
        <f aca="false">Q54+Q56</f>
        <v>1.94285</v>
      </c>
      <c r="R64" s="145" t="n">
        <f aca="false">R54+R56</f>
        <v>4.1953</v>
      </c>
      <c r="S64" s="145" t="n">
        <f aca="false">S54+S56</f>
        <v>7.7208</v>
      </c>
      <c r="T64" s="145" t="n">
        <f aca="false">T54+T56</f>
        <v>12.702</v>
      </c>
    </row>
    <row r="67" customFormat="false" ht="14.5" hidden="false" customHeight="false" outlineLevel="0" collapsed="false">
      <c r="B67" s="1" t="s">
        <v>793</v>
      </c>
    </row>
    <row r="68" customFormat="false" ht="14.5" hidden="false" customHeight="false" outlineLevel="0" collapsed="false">
      <c r="B68" s="1" t="s">
        <v>794</v>
      </c>
    </row>
    <row r="69" customFormat="false" ht="14.5" hidden="false" customHeight="false" outlineLevel="0" collapsed="false">
      <c r="B69" s="1" t="s">
        <v>795</v>
      </c>
    </row>
    <row r="70" customFormat="false" ht="14.5" hidden="false" customHeight="false" outlineLevel="0" collapsed="false">
      <c r="B70" s="1" t="s">
        <v>796</v>
      </c>
    </row>
    <row r="71" customFormat="false" ht="14.5" hidden="false" customHeight="false" outlineLevel="0" collapsed="false">
      <c r="B71" s="1" t="s">
        <v>797</v>
      </c>
    </row>
    <row r="76" customFormat="false" ht="14.5" hidden="false" customHeight="false" outlineLevel="0" collapsed="false">
      <c r="P76" s="1"/>
      <c r="Q76" s="1" t="n">
        <v>2025</v>
      </c>
      <c r="R76" s="1" t="n">
        <v>2030</v>
      </c>
      <c r="S76" s="1" t="n">
        <f aca="false">R76+5</f>
        <v>2035</v>
      </c>
      <c r="T76" s="1" t="n">
        <f aca="false">S76+5</f>
        <v>2040</v>
      </c>
      <c r="U76" s="1" t="n">
        <f aca="false">T76+5</f>
        <v>2045</v>
      </c>
      <c r="V76" s="1" t="n">
        <v>2050</v>
      </c>
    </row>
    <row r="77" customFormat="false" ht="14.5" hidden="false" customHeight="false" outlineLevel="0" collapsed="false">
      <c r="P77" s="1" t="s">
        <v>798</v>
      </c>
      <c r="Q77" s="1" t="n">
        <v>0</v>
      </c>
      <c r="R77" s="1" t="n">
        <v>1</v>
      </c>
      <c r="S77" s="1" t="n">
        <v>4.5</v>
      </c>
      <c r="T77" s="1" t="n">
        <v>8</v>
      </c>
      <c r="U77" s="1" t="n">
        <v>11.5</v>
      </c>
      <c r="V77" s="1" t="n">
        <v>15</v>
      </c>
    </row>
  </sheetData>
  <mergeCells count="3">
    <mergeCell ref="B5:B6"/>
    <mergeCell ref="D5:I5"/>
    <mergeCell ref="O5:T5"/>
  </mergeCells>
  <hyperlinks>
    <hyperlink ref="B71" r:id="rId1" display="Projet K6 - Cimenterie Eqilum - Lumbres Nord par de Calais. 5Mt en 2050 ciment. Mise en service 2026.  https://www.usinenouvelle.com/article/le-projet-de-captage-et-stockage-de-co2-d-eqiom-finance-par-le-fonds-innovation-europeen.N1162387 et https://www.legifrance.gouv.fr/jorf/id/JORFTEXT00004431959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A5A5A5"/>
    <pageSetUpPr fitToPage="false"/>
  </sheetPr>
  <dimension ref="B2:BH55"/>
  <sheetViews>
    <sheetView showFormulas="false" showGridLines="true" showRowColHeaders="true" showZeros="true" rightToLeft="false" tabSelected="false" showOutlineSymbols="true" defaultGridColor="true" view="normal" topLeftCell="Y1" colorId="64" zoomScale="65" zoomScaleNormal="65" zoomScalePageLayoutView="100" workbookViewId="0">
      <selection pane="topLeft" activeCell="BH47" activeCellId="0" sqref="BH47"/>
    </sheetView>
  </sheetViews>
  <sheetFormatPr defaultRowHeight="14.5" zeroHeight="false" outlineLevelRow="0" outlineLevelCol="0"/>
  <cols>
    <col collapsed="false" customWidth="true" hidden="false" outlineLevel="0" max="1025" min="1" style="47" width="10.45"/>
  </cols>
  <sheetData>
    <row r="2" customFormat="false" ht="14.5" hidden="false" customHeight="false" outlineLevel="0" collapsed="false">
      <c r="B2" s="47" t="s">
        <v>3</v>
      </c>
    </row>
    <row r="4" customFormat="false" ht="14.5" hidden="false" customHeight="true" outlineLevel="0" collapsed="false">
      <c r="B4" s="388" t="s">
        <v>799</v>
      </c>
      <c r="C4" s="388"/>
      <c r="D4" s="389" t="s">
        <v>800</v>
      </c>
      <c r="E4" s="389"/>
      <c r="F4" s="389"/>
      <c r="G4" s="389"/>
      <c r="H4" s="389"/>
      <c r="I4" s="389"/>
      <c r="J4" s="389"/>
      <c r="K4" s="389"/>
      <c r="L4" s="389"/>
      <c r="M4" s="389" t="s">
        <v>801</v>
      </c>
      <c r="N4" s="389"/>
      <c r="O4" s="389"/>
      <c r="P4" s="389"/>
      <c r="Q4" s="389"/>
      <c r="R4" s="389"/>
      <c r="S4" s="389"/>
      <c r="T4" s="389"/>
      <c r="U4" s="389"/>
      <c r="V4" s="389" t="s">
        <v>802</v>
      </c>
      <c r="W4" s="389"/>
      <c r="X4" s="389"/>
      <c r="Y4" s="389"/>
      <c r="Z4" s="389"/>
      <c r="AA4" s="389"/>
      <c r="AB4" s="389"/>
      <c r="AC4" s="389"/>
      <c r="AD4" s="389"/>
      <c r="AE4" s="389" t="s">
        <v>803</v>
      </c>
      <c r="AF4" s="389"/>
      <c r="AG4" s="389"/>
      <c r="AH4" s="389"/>
      <c r="AI4" s="389"/>
      <c r="AJ4" s="389"/>
      <c r="AK4" s="389"/>
      <c r="AL4" s="389"/>
      <c r="AM4" s="389"/>
      <c r="AN4" s="389" t="s">
        <v>804</v>
      </c>
      <c r="AO4" s="389"/>
      <c r="AP4" s="389"/>
      <c r="AQ4" s="389"/>
      <c r="AR4" s="389"/>
      <c r="AS4" s="389"/>
      <c r="AT4" s="389"/>
      <c r="AU4" s="389"/>
      <c r="AV4" s="389"/>
      <c r="AW4" s="389" t="s">
        <v>805</v>
      </c>
      <c r="AX4" s="389"/>
      <c r="AY4" s="389"/>
      <c r="AZ4" s="389"/>
      <c r="BA4" s="389"/>
      <c r="BB4" s="389"/>
      <c r="BC4" s="389"/>
      <c r="BD4" s="389"/>
      <c r="BE4" s="389"/>
    </row>
    <row r="5" customFormat="false" ht="14.5" hidden="false" customHeight="false" outlineLevel="0" collapsed="false">
      <c r="B5" s="388"/>
      <c r="C5" s="388"/>
      <c r="D5" s="390" t="s">
        <v>6</v>
      </c>
      <c r="E5" s="390" t="s">
        <v>10</v>
      </c>
      <c r="F5" s="390" t="s">
        <v>16</v>
      </c>
      <c r="G5" s="390" t="s">
        <v>15</v>
      </c>
      <c r="H5" s="390" t="s">
        <v>14</v>
      </c>
      <c r="I5" s="390" t="s">
        <v>806</v>
      </c>
      <c r="J5" s="391" t="s">
        <v>12</v>
      </c>
      <c r="K5" s="391" t="s">
        <v>17</v>
      </c>
      <c r="L5" s="391" t="s">
        <v>18</v>
      </c>
      <c r="M5" s="390" t="s">
        <v>6</v>
      </c>
      <c r="N5" s="390" t="s">
        <v>10</v>
      </c>
      <c r="O5" s="390" t="s">
        <v>16</v>
      </c>
      <c r="P5" s="390" t="s">
        <v>15</v>
      </c>
      <c r="Q5" s="390" t="s">
        <v>14</v>
      </c>
      <c r="R5" s="390" t="s">
        <v>806</v>
      </c>
      <c r="S5" s="391" t="s">
        <v>12</v>
      </c>
      <c r="T5" s="391" t="s">
        <v>17</v>
      </c>
      <c r="U5" s="391" t="s">
        <v>18</v>
      </c>
      <c r="V5" s="390" t="s">
        <v>6</v>
      </c>
      <c r="W5" s="390" t="s">
        <v>10</v>
      </c>
      <c r="X5" s="390" t="s">
        <v>16</v>
      </c>
      <c r="Y5" s="390" t="s">
        <v>15</v>
      </c>
      <c r="Z5" s="390" t="s">
        <v>14</v>
      </c>
      <c r="AA5" s="390" t="s">
        <v>806</v>
      </c>
      <c r="AB5" s="391" t="s">
        <v>12</v>
      </c>
      <c r="AC5" s="391" t="s">
        <v>17</v>
      </c>
      <c r="AD5" s="391" t="s">
        <v>18</v>
      </c>
      <c r="AE5" s="390" t="s">
        <v>6</v>
      </c>
      <c r="AF5" s="390" t="s">
        <v>10</v>
      </c>
      <c r="AG5" s="390" t="s">
        <v>16</v>
      </c>
      <c r="AH5" s="390" t="s">
        <v>15</v>
      </c>
      <c r="AI5" s="390" t="s">
        <v>14</v>
      </c>
      <c r="AJ5" s="390" t="s">
        <v>806</v>
      </c>
      <c r="AK5" s="391" t="s">
        <v>12</v>
      </c>
      <c r="AL5" s="391" t="s">
        <v>17</v>
      </c>
      <c r="AM5" s="391" t="s">
        <v>18</v>
      </c>
      <c r="AN5" s="390" t="s">
        <v>6</v>
      </c>
      <c r="AO5" s="390" t="s">
        <v>10</v>
      </c>
      <c r="AP5" s="390" t="s">
        <v>16</v>
      </c>
      <c r="AQ5" s="390" t="s">
        <v>15</v>
      </c>
      <c r="AR5" s="390" t="s">
        <v>14</v>
      </c>
      <c r="AS5" s="390" t="s">
        <v>806</v>
      </c>
      <c r="AT5" s="391" t="s">
        <v>12</v>
      </c>
      <c r="AU5" s="391" t="s">
        <v>17</v>
      </c>
      <c r="AV5" s="391" t="s">
        <v>18</v>
      </c>
      <c r="AW5" s="390" t="s">
        <v>6</v>
      </c>
      <c r="AX5" s="390" t="s">
        <v>10</v>
      </c>
      <c r="AY5" s="390" t="s">
        <v>16</v>
      </c>
      <c r="AZ5" s="390" t="s">
        <v>15</v>
      </c>
      <c r="BA5" s="390" t="s">
        <v>14</v>
      </c>
      <c r="BB5" s="390" t="s">
        <v>806</v>
      </c>
      <c r="BC5" s="391" t="s">
        <v>12</v>
      </c>
      <c r="BD5" s="391" t="s">
        <v>17</v>
      </c>
      <c r="BE5" s="391" t="s">
        <v>18</v>
      </c>
    </row>
    <row r="6" customFormat="false" ht="14.5" hidden="false" customHeight="false" outlineLevel="0" collapsed="false">
      <c r="B6" s="392" t="s">
        <v>807</v>
      </c>
      <c r="C6" s="393" t="s">
        <v>808</v>
      </c>
      <c r="D6" s="394" t="n">
        <v>3.085546784</v>
      </c>
      <c r="E6" s="394" t="n">
        <v>0.45881</v>
      </c>
      <c r="F6" s="394" t="n">
        <v>0.522645</v>
      </c>
      <c r="G6" s="394" t="n">
        <v>0</v>
      </c>
      <c r="H6" s="394" t="n">
        <v>0.48256920961041</v>
      </c>
      <c r="I6" s="394" t="n">
        <v>0.271136676990071</v>
      </c>
      <c r="J6" s="394" t="n">
        <v>0.451028900407686</v>
      </c>
      <c r="K6" s="394" t="n">
        <v>0</v>
      </c>
      <c r="L6" s="394" t="n">
        <v>0</v>
      </c>
      <c r="M6" s="394" t="n">
        <v>3.08402232319694</v>
      </c>
      <c r="N6" s="394" t="n">
        <v>0.465098319308253</v>
      </c>
      <c r="O6" s="394" t="n">
        <v>0.528237767270009</v>
      </c>
      <c r="P6" s="394" t="n">
        <v>0</v>
      </c>
      <c r="Q6" s="394" t="n">
        <v>0.493487822033645</v>
      </c>
      <c r="R6" s="394" t="n">
        <v>0.273542281344932</v>
      </c>
      <c r="S6" s="394" t="n">
        <v>0.445688831738509</v>
      </c>
      <c r="T6" s="394" t="n">
        <v>0</v>
      </c>
      <c r="U6" s="394" t="n">
        <v>0</v>
      </c>
      <c r="V6" s="394" t="n">
        <v>3.22057829392362</v>
      </c>
      <c r="W6" s="394" t="n">
        <v>0.500263769143745</v>
      </c>
      <c r="X6" s="394" t="n">
        <v>0.540494105280645</v>
      </c>
      <c r="Y6" s="394" t="n">
        <v>0</v>
      </c>
      <c r="Z6" s="394" t="n">
        <v>0.526284218592391</v>
      </c>
      <c r="AA6" s="394" t="n">
        <v>0.287002668537878</v>
      </c>
      <c r="AB6" s="394" t="n">
        <v>0.460457054814745</v>
      </c>
      <c r="AC6" s="394" t="n">
        <v>0</v>
      </c>
      <c r="AD6" s="394" t="n">
        <v>0</v>
      </c>
      <c r="AE6" s="394" t="n">
        <v>3.36101401507916</v>
      </c>
      <c r="AF6" s="394" t="n">
        <v>0.558195364004371</v>
      </c>
      <c r="AG6" s="394" t="n">
        <v>0.559366278368134</v>
      </c>
      <c r="AH6" s="394" t="n">
        <v>0</v>
      </c>
      <c r="AI6" s="394" t="n">
        <v>0.589493457968983</v>
      </c>
      <c r="AJ6" s="394" t="n">
        <v>0.307781269784956</v>
      </c>
      <c r="AK6" s="394" t="n">
        <v>0.458042556254053</v>
      </c>
      <c r="AL6" s="394" t="n">
        <v>0</v>
      </c>
      <c r="AM6" s="394" t="n">
        <v>0</v>
      </c>
      <c r="AN6" s="394" t="n">
        <v>3.36847931113923</v>
      </c>
      <c r="AO6" s="394" t="n">
        <v>0.561334978882242</v>
      </c>
      <c r="AP6" s="394" t="n">
        <v>0.560354624050309</v>
      </c>
      <c r="AQ6" s="394" t="n">
        <v>0</v>
      </c>
      <c r="AR6" s="394" t="n">
        <v>0.592916471341374</v>
      </c>
      <c r="AS6" s="394" t="n">
        <v>0.308882652699719</v>
      </c>
      <c r="AT6" s="394" t="n">
        <v>0.457648421518364</v>
      </c>
      <c r="AU6" s="394" t="n">
        <v>0</v>
      </c>
      <c r="AV6" s="394" t="n">
        <v>0</v>
      </c>
      <c r="AW6" s="394" t="n">
        <v>3.36847931113923</v>
      </c>
      <c r="AX6" s="394" t="n">
        <v>0.561334978882242</v>
      </c>
      <c r="AY6" s="394" t="n">
        <v>0.560354624050309</v>
      </c>
      <c r="AZ6" s="394" t="n">
        <v>0</v>
      </c>
      <c r="BA6" s="394" t="n">
        <v>0.592916471341374</v>
      </c>
      <c r="BB6" s="394" t="n">
        <v>0.308882652699719</v>
      </c>
      <c r="BC6" s="394" t="n">
        <v>0.457648421518364</v>
      </c>
      <c r="BD6" s="394" t="n">
        <v>0</v>
      </c>
      <c r="BE6" s="394" t="n">
        <v>0</v>
      </c>
      <c r="BG6" s="80" t="n">
        <f aca="false">SUM(AE6:AM6)</f>
        <v>5.83389294145966</v>
      </c>
      <c r="BH6" s="80" t="n">
        <f aca="false">SUM(AW6:BE6)</f>
        <v>5.84961645963123</v>
      </c>
    </row>
    <row r="7" customFormat="false" ht="14.5" hidden="false" customHeight="false" outlineLevel="0" collapsed="false">
      <c r="B7" s="395" t="s">
        <v>809</v>
      </c>
      <c r="C7" s="393" t="s">
        <v>808</v>
      </c>
      <c r="D7" s="396" t="n">
        <v>2.70546976</v>
      </c>
      <c r="E7" s="396" t="n">
        <v>0.26743</v>
      </c>
      <c r="F7" s="396" t="n">
        <v>0</v>
      </c>
      <c r="G7" s="396" t="n">
        <v>0</v>
      </c>
      <c r="H7" s="397" t="n">
        <v>0</v>
      </c>
      <c r="I7" s="397" t="n">
        <v>0</v>
      </c>
      <c r="J7" s="397" t="n">
        <v>0</v>
      </c>
      <c r="K7" s="397" t="n">
        <v>0</v>
      </c>
      <c r="L7" s="397" t="n">
        <v>0</v>
      </c>
      <c r="M7" s="397" t="n">
        <v>2.67450212807378</v>
      </c>
      <c r="N7" s="397" t="n">
        <v>0.264368914665219</v>
      </c>
      <c r="O7" s="397" t="n">
        <v>0</v>
      </c>
      <c r="P7" s="397" t="n">
        <v>0</v>
      </c>
      <c r="Q7" s="397" t="n">
        <v>0</v>
      </c>
      <c r="R7" s="397" t="n">
        <v>0</v>
      </c>
      <c r="S7" s="397" t="n">
        <v>0</v>
      </c>
      <c r="T7" s="397" t="n">
        <v>0</v>
      </c>
      <c r="U7" s="397" t="n">
        <v>0</v>
      </c>
      <c r="V7" s="396" t="n">
        <v>2.70652918664827</v>
      </c>
      <c r="W7" s="396" t="n">
        <v>0.267534722097705</v>
      </c>
      <c r="X7" s="396" t="n">
        <v>0</v>
      </c>
      <c r="Y7" s="396" t="n">
        <v>0</v>
      </c>
      <c r="Z7" s="397" t="n">
        <v>0</v>
      </c>
      <c r="AA7" s="397" t="n">
        <v>0</v>
      </c>
      <c r="AB7" s="397" t="n">
        <v>0</v>
      </c>
      <c r="AC7" s="397" t="n">
        <v>0</v>
      </c>
      <c r="AD7" s="397" t="n">
        <v>0</v>
      </c>
      <c r="AE7" s="396" t="n">
        <v>2.62943285893353</v>
      </c>
      <c r="AF7" s="396" t="n">
        <v>0.259913912127627</v>
      </c>
      <c r="AG7" s="396" t="n">
        <v>0</v>
      </c>
      <c r="AH7" s="396" t="n">
        <v>0</v>
      </c>
      <c r="AI7" s="397" t="n">
        <v>0</v>
      </c>
      <c r="AJ7" s="397" t="n">
        <v>0</v>
      </c>
      <c r="AK7" s="397" t="n">
        <v>0</v>
      </c>
      <c r="AL7" s="397" t="n">
        <v>0</v>
      </c>
      <c r="AM7" s="397" t="n">
        <v>0</v>
      </c>
      <c r="AN7" s="396" t="n">
        <v>2.62500412826989</v>
      </c>
      <c r="AO7" s="396" t="n">
        <v>0.259476141408883</v>
      </c>
      <c r="AP7" s="396" t="n">
        <v>0</v>
      </c>
      <c r="AQ7" s="396" t="n">
        <v>0</v>
      </c>
      <c r="AR7" s="397" t="n">
        <v>0</v>
      </c>
      <c r="AS7" s="397" t="n">
        <v>0</v>
      </c>
      <c r="AT7" s="397" t="n">
        <v>0</v>
      </c>
      <c r="AU7" s="397" t="n">
        <v>0</v>
      </c>
      <c r="AV7" s="397" t="n">
        <v>0</v>
      </c>
      <c r="AW7" s="396" t="n">
        <v>2.62500412826989</v>
      </c>
      <c r="AX7" s="396" t="n">
        <v>0.259476141408883</v>
      </c>
      <c r="AY7" s="396" t="n">
        <v>0</v>
      </c>
      <c r="AZ7" s="396" t="n">
        <v>0</v>
      </c>
      <c r="BA7" s="397" t="n">
        <v>0</v>
      </c>
      <c r="BB7" s="397" t="n">
        <v>0</v>
      </c>
      <c r="BC7" s="397" t="n">
        <v>0</v>
      </c>
      <c r="BD7" s="397" t="n">
        <v>0</v>
      </c>
      <c r="BE7" s="397" t="n">
        <v>0</v>
      </c>
    </row>
    <row r="8" customFormat="false" ht="14.5" hidden="false" customHeight="false" outlineLevel="0" collapsed="false">
      <c r="B8" s="395" t="s">
        <v>572</v>
      </c>
      <c r="C8" s="393" t="s">
        <v>808</v>
      </c>
      <c r="D8" s="396" t="n">
        <v>0.380077024</v>
      </c>
      <c r="E8" s="396" t="n">
        <v>0.10936</v>
      </c>
      <c r="F8" s="396" t="n">
        <v>0</v>
      </c>
      <c r="G8" s="396" t="n">
        <v>0</v>
      </c>
      <c r="H8" s="397" t="n">
        <v>0.0853535543506169</v>
      </c>
      <c r="I8" s="397" t="n">
        <v>0.03746889010121</v>
      </c>
      <c r="J8" s="397" t="n">
        <v>0.0707154819856248</v>
      </c>
      <c r="K8" s="397" t="n">
        <v>0</v>
      </c>
      <c r="L8" s="397" t="n">
        <v>0</v>
      </c>
      <c r="M8" s="397" t="n">
        <v>0.409520195123163</v>
      </c>
      <c r="N8" s="397" t="n">
        <v>0.11783171754857</v>
      </c>
      <c r="O8" s="397" t="n">
        <v>0</v>
      </c>
      <c r="P8" s="397" t="n">
        <v>0</v>
      </c>
      <c r="Q8" s="397" t="n">
        <v>0.0919922494912421</v>
      </c>
      <c r="R8" s="397" t="n">
        <v>0.0401323149775501</v>
      </c>
      <c r="S8" s="397" t="n">
        <v>0.0730808605220545</v>
      </c>
      <c r="T8" s="397" t="n">
        <v>0</v>
      </c>
      <c r="U8" s="397" t="n">
        <v>0</v>
      </c>
      <c r="V8" s="396" t="n">
        <v>0.514049107275356</v>
      </c>
      <c r="W8" s="396" t="n">
        <v>0.147907941869259</v>
      </c>
      <c r="X8" s="396" t="n">
        <v>0</v>
      </c>
      <c r="Y8" s="396" t="n">
        <v>0</v>
      </c>
      <c r="Z8" s="397" t="n">
        <v>0.115473020110773</v>
      </c>
      <c r="AA8" s="397" t="n">
        <v>0.0501548983810191</v>
      </c>
      <c r="AB8" s="397" t="n">
        <v>0.088684105425969</v>
      </c>
      <c r="AC8" s="397" t="n">
        <v>0</v>
      </c>
      <c r="AD8" s="397" t="n">
        <v>0</v>
      </c>
      <c r="AE8" s="396" t="n">
        <v>0.731581156145637</v>
      </c>
      <c r="AF8" s="396" t="n">
        <v>0.210498688908085</v>
      </c>
      <c r="AG8" s="396" t="n">
        <v>0</v>
      </c>
      <c r="AH8" s="396" t="n">
        <v>0</v>
      </c>
      <c r="AI8" s="397" t="n">
        <v>0.164338162172931</v>
      </c>
      <c r="AJ8" s="397" t="n">
        <v>0.0702466926944746</v>
      </c>
      <c r="AK8" s="397" t="n">
        <v>0.110492357420523</v>
      </c>
      <c r="AL8" s="397" t="n">
        <v>0</v>
      </c>
      <c r="AM8" s="397" t="n">
        <v>0</v>
      </c>
      <c r="AN8" s="396" t="n">
        <v>0.743475182869337</v>
      </c>
      <c r="AO8" s="396" t="n">
        <v>0.213920970920333</v>
      </c>
      <c r="AP8" s="396" t="n">
        <v>0</v>
      </c>
      <c r="AQ8" s="396" t="n">
        <v>0</v>
      </c>
      <c r="AR8" s="397" t="n">
        <v>0.167009967585343</v>
      </c>
      <c r="AS8" s="397" t="n">
        <v>0.0713281905099769</v>
      </c>
      <c r="AT8" s="397" t="n">
        <v>0.111447891266963</v>
      </c>
      <c r="AU8" s="397" t="n">
        <v>0</v>
      </c>
      <c r="AV8" s="397" t="n">
        <v>0</v>
      </c>
      <c r="AW8" s="396" t="n">
        <v>0.743475182869337</v>
      </c>
      <c r="AX8" s="396" t="n">
        <v>0.213920970920333</v>
      </c>
      <c r="AY8" s="396" t="n">
        <v>0</v>
      </c>
      <c r="AZ8" s="396" t="n">
        <v>0</v>
      </c>
      <c r="BA8" s="397" t="n">
        <v>0.167009967585343</v>
      </c>
      <c r="BB8" s="397" t="n">
        <v>0.0713281905099769</v>
      </c>
      <c r="BC8" s="397" t="n">
        <v>0.111447891266963</v>
      </c>
      <c r="BD8" s="397" t="n">
        <v>0</v>
      </c>
      <c r="BE8" s="397" t="n">
        <v>0</v>
      </c>
    </row>
    <row r="9" customFormat="false" ht="14.5" hidden="false" customHeight="false" outlineLevel="0" collapsed="false">
      <c r="B9" s="395" t="s">
        <v>810</v>
      </c>
      <c r="C9" s="393" t="s">
        <v>808</v>
      </c>
      <c r="D9" s="396" t="n">
        <v>0</v>
      </c>
      <c r="E9" s="396" t="n">
        <v>0</v>
      </c>
      <c r="F9" s="396" t="n">
        <v>0</v>
      </c>
      <c r="G9" s="396" t="n">
        <v>0</v>
      </c>
      <c r="H9" s="397" t="n">
        <v>0</v>
      </c>
      <c r="I9" s="397" t="n">
        <v>0</v>
      </c>
      <c r="J9" s="397" t="n">
        <v>0</v>
      </c>
      <c r="K9" s="397" t="n">
        <v>0</v>
      </c>
      <c r="L9" s="397" t="n">
        <v>0</v>
      </c>
      <c r="M9" s="397" t="n">
        <v>0</v>
      </c>
      <c r="N9" s="397" t="n">
        <v>0</v>
      </c>
      <c r="O9" s="397" t="n">
        <v>0</v>
      </c>
      <c r="P9" s="397" t="n">
        <v>0</v>
      </c>
      <c r="Q9" s="397" t="n">
        <v>0</v>
      </c>
      <c r="R9" s="397" t="n">
        <v>0</v>
      </c>
      <c r="S9" s="397" t="n">
        <v>0</v>
      </c>
      <c r="T9" s="397" t="n">
        <v>0</v>
      </c>
      <c r="U9" s="397" t="n">
        <v>0</v>
      </c>
      <c r="V9" s="396" t="n">
        <v>0</v>
      </c>
      <c r="W9" s="396" t="n">
        <v>0</v>
      </c>
      <c r="X9" s="396" t="n">
        <v>0</v>
      </c>
      <c r="Y9" s="396" t="n">
        <v>0</v>
      </c>
      <c r="Z9" s="397" t="n">
        <v>0</v>
      </c>
      <c r="AA9" s="397" t="n">
        <v>0</v>
      </c>
      <c r="AB9" s="397" t="n">
        <v>0</v>
      </c>
      <c r="AC9" s="397" t="n">
        <v>0</v>
      </c>
      <c r="AD9" s="397" t="n">
        <v>0</v>
      </c>
      <c r="AE9" s="396" t="n">
        <v>0</v>
      </c>
      <c r="AF9" s="396" t="n">
        <v>0</v>
      </c>
      <c r="AG9" s="396" t="n">
        <v>0</v>
      </c>
      <c r="AH9" s="396" t="n">
        <v>0</v>
      </c>
      <c r="AI9" s="397" t="n">
        <v>0</v>
      </c>
      <c r="AJ9" s="397" t="n">
        <v>0</v>
      </c>
      <c r="AK9" s="397" t="n">
        <v>0</v>
      </c>
      <c r="AL9" s="397" t="n">
        <v>0</v>
      </c>
      <c r="AM9" s="397" t="n">
        <v>0</v>
      </c>
      <c r="AN9" s="396" t="n">
        <v>0</v>
      </c>
      <c r="AO9" s="396" t="n">
        <v>0</v>
      </c>
      <c r="AP9" s="396" t="n">
        <v>0</v>
      </c>
      <c r="AQ9" s="396" t="n">
        <v>0</v>
      </c>
      <c r="AR9" s="397" t="n">
        <v>0</v>
      </c>
      <c r="AS9" s="397" t="n">
        <v>0</v>
      </c>
      <c r="AT9" s="397" t="n">
        <v>0</v>
      </c>
      <c r="AU9" s="397" t="n">
        <v>0</v>
      </c>
      <c r="AV9" s="397" t="n">
        <v>0</v>
      </c>
      <c r="AW9" s="396" t="n">
        <v>0</v>
      </c>
      <c r="AX9" s="396" t="n">
        <v>0</v>
      </c>
      <c r="AY9" s="396" t="n">
        <v>0</v>
      </c>
      <c r="AZ9" s="396" t="n">
        <v>0</v>
      </c>
      <c r="BA9" s="397" t="n">
        <v>0</v>
      </c>
      <c r="BB9" s="397" t="n">
        <v>0</v>
      </c>
      <c r="BC9" s="397" t="n">
        <v>0</v>
      </c>
      <c r="BD9" s="397" t="n">
        <v>0</v>
      </c>
      <c r="BE9" s="397" t="n">
        <v>0</v>
      </c>
    </row>
    <row r="10" customFormat="false" ht="14.5" hidden="false" customHeight="false" outlineLevel="0" collapsed="false">
      <c r="B10" s="395" t="s">
        <v>811</v>
      </c>
      <c r="C10" s="393" t="s">
        <v>808</v>
      </c>
      <c r="D10" s="396" t="n">
        <v>0</v>
      </c>
      <c r="E10" s="396" t="n">
        <v>0</v>
      </c>
      <c r="F10" s="396" t="n">
        <v>0</v>
      </c>
      <c r="G10" s="396" t="n">
        <v>0</v>
      </c>
      <c r="H10" s="397" t="n">
        <v>0</v>
      </c>
      <c r="I10" s="397" t="n">
        <v>0</v>
      </c>
      <c r="J10" s="397" t="n">
        <v>0.0737</v>
      </c>
      <c r="K10" s="397" t="n">
        <v>0</v>
      </c>
      <c r="L10" s="397" t="n">
        <v>0</v>
      </c>
      <c r="M10" s="397" t="n">
        <v>0</v>
      </c>
      <c r="N10" s="397" t="n">
        <v>0</v>
      </c>
      <c r="O10" s="397" t="n">
        <v>0</v>
      </c>
      <c r="P10" s="397" t="n">
        <v>0</v>
      </c>
      <c r="Q10" s="397" t="n">
        <v>0</v>
      </c>
      <c r="R10" s="397" t="n">
        <v>0</v>
      </c>
      <c r="S10" s="397" t="n">
        <v>0.0727305834695929</v>
      </c>
      <c r="T10" s="397" t="n">
        <v>0</v>
      </c>
      <c r="U10" s="397" t="n">
        <v>0</v>
      </c>
      <c r="V10" s="396" t="n">
        <v>0</v>
      </c>
      <c r="W10" s="396" t="n">
        <v>0</v>
      </c>
      <c r="X10" s="396" t="n">
        <v>0</v>
      </c>
      <c r="Y10" s="396" t="n">
        <v>0</v>
      </c>
      <c r="Z10" s="397" t="n">
        <v>0</v>
      </c>
      <c r="AA10" s="397" t="n">
        <v>0</v>
      </c>
      <c r="AB10" s="397" t="n">
        <v>0.0727391728079931</v>
      </c>
      <c r="AC10" s="397" t="n">
        <v>0</v>
      </c>
      <c r="AD10" s="397" t="n">
        <v>0</v>
      </c>
      <c r="AE10" s="396" t="n">
        <v>0</v>
      </c>
      <c r="AF10" s="396" t="n">
        <v>0</v>
      </c>
      <c r="AG10" s="396" t="n">
        <v>0</v>
      </c>
      <c r="AH10" s="396" t="n">
        <v>0</v>
      </c>
      <c r="AI10" s="397" t="n">
        <v>0</v>
      </c>
      <c r="AJ10" s="397" t="n">
        <v>0</v>
      </c>
      <c r="AK10" s="397" t="n">
        <v>0.0681223119377183</v>
      </c>
      <c r="AL10" s="397" t="n">
        <v>0</v>
      </c>
      <c r="AM10" s="397" t="n">
        <v>0</v>
      </c>
      <c r="AN10" s="396" t="n">
        <v>0</v>
      </c>
      <c r="AO10" s="396" t="n">
        <v>0</v>
      </c>
      <c r="AP10" s="396" t="n">
        <v>0</v>
      </c>
      <c r="AQ10" s="396" t="n">
        <v>0</v>
      </c>
      <c r="AR10" s="397" t="n">
        <v>0</v>
      </c>
      <c r="AS10" s="397" t="n">
        <v>0</v>
      </c>
      <c r="AT10" s="397" t="n">
        <v>0.0678631425074806</v>
      </c>
      <c r="AU10" s="397" t="n">
        <v>0</v>
      </c>
      <c r="AV10" s="397" t="n">
        <v>0</v>
      </c>
      <c r="AW10" s="396" t="n">
        <v>0</v>
      </c>
      <c r="AX10" s="396" t="n">
        <v>0</v>
      </c>
      <c r="AY10" s="396" t="n">
        <v>0</v>
      </c>
      <c r="AZ10" s="396" t="n">
        <v>0</v>
      </c>
      <c r="BA10" s="397" t="n">
        <v>0</v>
      </c>
      <c r="BB10" s="397" t="n">
        <v>0</v>
      </c>
      <c r="BC10" s="397" t="n">
        <v>0.0678631425074806</v>
      </c>
      <c r="BD10" s="397" t="n">
        <v>0</v>
      </c>
      <c r="BE10" s="397" t="n">
        <v>0</v>
      </c>
    </row>
    <row r="11" customFormat="false" ht="14.5" hidden="false" customHeight="false" outlineLevel="0" collapsed="false">
      <c r="B11" s="398" t="s">
        <v>812</v>
      </c>
      <c r="C11" s="393" t="s">
        <v>808</v>
      </c>
      <c r="D11" s="396" t="n">
        <v>0</v>
      </c>
      <c r="E11" s="396" t="n">
        <v>0.08202</v>
      </c>
      <c r="F11" s="396" t="n">
        <v>0.522645</v>
      </c>
      <c r="G11" s="396" t="n">
        <v>0</v>
      </c>
      <c r="H11" s="397" t="n">
        <v>0.397215655259793</v>
      </c>
      <c r="I11" s="397" t="n">
        <v>0.233667786888861</v>
      </c>
      <c r="J11" s="397" t="n">
        <v>0.306613418422061</v>
      </c>
      <c r="K11" s="397" t="n">
        <v>0</v>
      </c>
      <c r="L11" s="397" t="n">
        <v>0</v>
      </c>
      <c r="M11" s="397" t="n">
        <v>0</v>
      </c>
      <c r="N11" s="397" t="n">
        <v>0.0828976870944641</v>
      </c>
      <c r="O11" s="397" t="n">
        <v>0.528237767270009</v>
      </c>
      <c r="P11" s="397" t="n">
        <v>0</v>
      </c>
      <c r="Q11" s="397" t="n">
        <v>0.401495572542403</v>
      </c>
      <c r="R11" s="397" t="n">
        <v>0.233409966367382</v>
      </c>
      <c r="S11" s="397" t="n">
        <v>0.299877387746862</v>
      </c>
      <c r="T11" s="397" t="n">
        <v>0</v>
      </c>
      <c r="U11" s="397" t="n">
        <v>0</v>
      </c>
      <c r="V11" s="396" t="n">
        <v>0</v>
      </c>
      <c r="W11" s="396" t="n">
        <v>0.0848211051767807</v>
      </c>
      <c r="X11" s="396" t="n">
        <v>0.540494105280645</v>
      </c>
      <c r="Y11" s="396" t="n">
        <v>0</v>
      </c>
      <c r="Z11" s="397" t="n">
        <v>0.410811198481618</v>
      </c>
      <c r="AA11" s="397" t="n">
        <v>0.236847770156859</v>
      </c>
      <c r="AB11" s="397" t="n">
        <v>0.299033776580783</v>
      </c>
      <c r="AC11" s="397" t="n">
        <v>0</v>
      </c>
      <c r="AD11" s="397" t="n">
        <v>0</v>
      </c>
      <c r="AE11" s="396" t="n">
        <v>0</v>
      </c>
      <c r="AF11" s="396" t="n">
        <v>0.0877827629686581</v>
      </c>
      <c r="AG11" s="396" t="n">
        <v>0.559366278368134</v>
      </c>
      <c r="AH11" s="396" t="n">
        <v>0</v>
      </c>
      <c r="AI11" s="397" t="n">
        <v>0.425155295796052</v>
      </c>
      <c r="AJ11" s="397" t="n">
        <v>0.237534577090481</v>
      </c>
      <c r="AK11" s="397" t="n">
        <v>0.279427886895812</v>
      </c>
      <c r="AL11" s="397" t="n">
        <v>0</v>
      </c>
      <c r="AM11" s="397" t="n">
        <v>0</v>
      </c>
      <c r="AN11" s="396" t="n">
        <v>0</v>
      </c>
      <c r="AO11" s="396" t="n">
        <v>0.0879378665530261</v>
      </c>
      <c r="AP11" s="396" t="n">
        <v>0.560354624050309</v>
      </c>
      <c r="AQ11" s="396" t="n">
        <v>0</v>
      </c>
      <c r="AR11" s="397" t="n">
        <v>0.425906503756031</v>
      </c>
      <c r="AS11" s="397" t="n">
        <v>0.237554462189742</v>
      </c>
      <c r="AT11" s="397" t="n">
        <v>0.27833738774392</v>
      </c>
      <c r="AU11" s="397" t="n">
        <v>0</v>
      </c>
      <c r="AV11" s="397" t="n">
        <v>0</v>
      </c>
      <c r="AW11" s="396" t="n">
        <v>0</v>
      </c>
      <c r="AX11" s="396" t="n">
        <v>0.0879378665530261</v>
      </c>
      <c r="AY11" s="396" t="n">
        <v>0.560354624050309</v>
      </c>
      <c r="AZ11" s="396" t="n">
        <v>0</v>
      </c>
      <c r="BA11" s="397" t="n">
        <v>0.425906503756031</v>
      </c>
      <c r="BB11" s="397" t="n">
        <v>0.237554462189742</v>
      </c>
      <c r="BC11" s="397" t="n">
        <v>0.27833738774392</v>
      </c>
      <c r="BD11" s="397" t="n">
        <v>0</v>
      </c>
      <c r="BE11" s="397" t="n">
        <v>0</v>
      </c>
    </row>
    <row r="12" customFormat="false" ht="14.5" hidden="false" customHeight="false" outlineLevel="0" collapsed="false">
      <c r="B12" s="399" t="s">
        <v>813</v>
      </c>
      <c r="C12" s="393" t="s">
        <v>808</v>
      </c>
      <c r="D12" s="400" t="n">
        <v>0.472</v>
      </c>
      <c r="E12" s="400" t="n">
        <v>0.129</v>
      </c>
      <c r="F12" s="400" t="n">
        <v>3.225</v>
      </c>
      <c r="G12" s="400" t="n">
        <v>0</v>
      </c>
      <c r="H12" s="400" t="n">
        <v>0.0050241974510259</v>
      </c>
      <c r="I12" s="400" t="n">
        <v>0.00979342156656565</v>
      </c>
      <c r="J12" s="400" t="n">
        <v>1.05746197421979</v>
      </c>
      <c r="K12" s="400" t="n">
        <v>3.650785</v>
      </c>
      <c r="L12" s="400" t="n">
        <v>0</v>
      </c>
      <c r="M12" s="400" t="n">
        <v>0.472299446601513</v>
      </c>
      <c r="N12" s="400" t="n">
        <v>0.121269246678803</v>
      </c>
      <c r="O12" s="400" t="n">
        <v>3.14361655244961</v>
      </c>
      <c r="P12" s="400" t="n">
        <v>0</v>
      </c>
      <c r="Q12" s="400" t="n">
        <v>0.00471423403695562</v>
      </c>
      <c r="R12" s="400" t="n">
        <v>0.00869252237905358</v>
      </c>
      <c r="S12" s="400" t="n">
        <v>1.09303072578199</v>
      </c>
      <c r="T12" s="400" t="n">
        <v>3.88843635136162</v>
      </c>
      <c r="U12" s="400" t="n">
        <v>0</v>
      </c>
      <c r="V12" s="400" t="n">
        <v>0.492719644225823</v>
      </c>
      <c r="W12" s="401" t="n">
        <v>0.102785563651352</v>
      </c>
      <c r="X12" s="400" t="n">
        <v>3.1094460662601</v>
      </c>
      <c r="Y12" s="400" t="n">
        <v>0</v>
      </c>
      <c r="Z12" s="400" t="n">
        <v>0.00303098976821571</v>
      </c>
      <c r="AA12" s="400" t="n">
        <v>0.00536509154803432</v>
      </c>
      <c r="AB12" s="400" t="n">
        <v>0.65874266337389</v>
      </c>
      <c r="AC12" s="400" t="n">
        <v>4.5624557158815</v>
      </c>
      <c r="AD12" s="400" t="n">
        <v>0</v>
      </c>
      <c r="AE12" s="400" t="n">
        <v>0.486792497605464</v>
      </c>
      <c r="AF12" s="401" t="n">
        <v>0.0678339056137187</v>
      </c>
      <c r="AG12" s="400" t="n">
        <v>2.69428019589181</v>
      </c>
      <c r="AH12" s="400" t="n">
        <v>0</v>
      </c>
      <c r="AI12" s="400" t="n">
        <v>0.000511113273055193</v>
      </c>
      <c r="AJ12" s="400" t="n">
        <v>0.000765726272786276</v>
      </c>
      <c r="AK12" s="400" t="n">
        <v>0.0890856823058195</v>
      </c>
      <c r="AL12" s="400" t="n">
        <v>6.03928577377353</v>
      </c>
      <c r="AM12" s="400" t="n">
        <v>0</v>
      </c>
      <c r="AN12" s="400" t="n">
        <v>0.486055276213992</v>
      </c>
      <c r="AO12" s="400" t="n">
        <v>0.105026771181434</v>
      </c>
      <c r="AP12" s="400" t="n">
        <v>3.14165208125475</v>
      </c>
      <c r="AQ12" s="400" t="n">
        <v>0</v>
      </c>
      <c r="AR12" s="400" t="n">
        <v>0.000371081960067565</v>
      </c>
      <c r="AS12" s="400" t="n">
        <v>0.000550626962025027</v>
      </c>
      <c r="AT12" s="400" t="n">
        <v>0.0638380286051397</v>
      </c>
      <c r="AU12" s="400" t="n">
        <v>4.65698703937921</v>
      </c>
      <c r="AV12" s="400" t="n">
        <v>0</v>
      </c>
      <c r="AW12" s="400" t="n">
        <v>0.486055276213992</v>
      </c>
      <c r="AX12" s="402" t="n">
        <v>0.066</v>
      </c>
      <c r="AY12" s="402" t="n">
        <v>2.66</v>
      </c>
      <c r="AZ12" s="400" t="n">
        <v>0</v>
      </c>
      <c r="BA12" s="400" t="n">
        <v>0.000371081960067565</v>
      </c>
      <c r="BB12" s="400" t="n">
        <v>0.000550626962025027</v>
      </c>
      <c r="BC12" s="402" t="n">
        <v>0.08</v>
      </c>
      <c r="BD12" s="402" t="n">
        <v>6.1</v>
      </c>
      <c r="BE12" s="400" t="n">
        <v>0</v>
      </c>
      <c r="BG12" s="80" t="n">
        <f aca="false">SUM(AE12:AM12)</f>
        <v>9.37855489473619</v>
      </c>
      <c r="BH12" s="80" t="n">
        <f aca="false">SUM(AW12:BE12)</f>
        <v>9.39297698513608</v>
      </c>
    </row>
    <row r="13" customFormat="false" ht="14.5" hidden="false" customHeight="false" outlineLevel="0" collapsed="false">
      <c r="B13" s="403" t="s">
        <v>814</v>
      </c>
      <c r="C13" s="393" t="s">
        <v>808</v>
      </c>
      <c r="D13" s="404" t="n">
        <v>0.472</v>
      </c>
      <c r="E13" s="404" t="n">
        <v>0.129</v>
      </c>
      <c r="F13" s="404" t="n">
        <v>3.225</v>
      </c>
      <c r="G13" s="404" t="n">
        <v>0</v>
      </c>
      <c r="H13" s="405" t="n">
        <v>0.0050241974510259</v>
      </c>
      <c r="I13" s="405" t="n">
        <v>0.00979342156656565</v>
      </c>
      <c r="J13" s="405" t="n">
        <v>1.05746197421979</v>
      </c>
      <c r="K13" s="405" t="n">
        <v>3.650785</v>
      </c>
      <c r="L13" s="405" t="n">
        <v>0</v>
      </c>
      <c r="M13" s="405" t="n">
        <v>0.472299446601513</v>
      </c>
      <c r="N13" s="405" t="n">
        <v>0.121269246678803</v>
      </c>
      <c r="O13" s="405" t="n">
        <v>3.14361655244961</v>
      </c>
      <c r="P13" s="405" t="n">
        <v>0</v>
      </c>
      <c r="Q13" s="405" t="n">
        <v>0.00471423403695562</v>
      </c>
      <c r="R13" s="405" t="n">
        <v>0.00869252237905358</v>
      </c>
      <c r="S13" s="405" t="n">
        <v>1.09303072578199</v>
      </c>
      <c r="T13" s="405" t="n">
        <v>3.88843635136162</v>
      </c>
      <c r="U13" s="405" t="n">
        <v>0</v>
      </c>
      <c r="V13" s="404" t="n">
        <v>0.492719644225823</v>
      </c>
      <c r="W13" s="404" t="n">
        <v>0.102785563651352</v>
      </c>
      <c r="X13" s="404" t="n">
        <v>3.1094460662601</v>
      </c>
      <c r="Y13" s="404" t="n">
        <v>0</v>
      </c>
      <c r="Z13" s="405" t="n">
        <v>0.00303098976821571</v>
      </c>
      <c r="AA13" s="405" t="n">
        <v>0.00536509154803432</v>
      </c>
      <c r="AB13" s="405" t="n">
        <v>0.65874266337389</v>
      </c>
      <c r="AC13" s="405" t="n">
        <v>4.5624557158815</v>
      </c>
      <c r="AD13" s="405" t="n">
        <v>0</v>
      </c>
      <c r="AE13" s="404" t="n">
        <v>0.486792497605464</v>
      </c>
      <c r="AF13" s="404" t="n">
        <v>0.0678339056137187</v>
      </c>
      <c r="AG13" s="404" t="n">
        <v>2.69428019589181</v>
      </c>
      <c r="AH13" s="404" t="n">
        <v>0</v>
      </c>
      <c r="AI13" s="405" t="n">
        <v>0.000511113273055193</v>
      </c>
      <c r="AJ13" s="405" t="n">
        <v>0.000765726272786276</v>
      </c>
      <c r="AK13" s="405" t="n">
        <v>0.0890856823058195</v>
      </c>
      <c r="AL13" s="405" t="n">
        <v>6.03928577377353</v>
      </c>
      <c r="AM13" s="405" t="n">
        <v>0</v>
      </c>
      <c r="AN13" s="404" t="n">
        <v>0.486055276213992</v>
      </c>
      <c r="AO13" s="404" t="n">
        <v>0.105026771181434</v>
      </c>
      <c r="AP13" s="404" t="n">
        <v>3.14165208125475</v>
      </c>
      <c r="AQ13" s="404" t="n">
        <v>0</v>
      </c>
      <c r="AR13" s="405" t="n">
        <v>0.000371081960067565</v>
      </c>
      <c r="AS13" s="405" t="n">
        <v>0.000550626962025027</v>
      </c>
      <c r="AT13" s="405" t="n">
        <v>0.0638380286051397</v>
      </c>
      <c r="AU13" s="405" t="n">
        <v>4.65698703937921</v>
      </c>
      <c r="AV13" s="405" t="n">
        <v>0</v>
      </c>
      <c r="AW13" s="404" t="n">
        <v>0.486055276213992</v>
      </c>
      <c r="AX13" s="406" t="n">
        <v>0.07</v>
      </c>
      <c r="AY13" s="406" t="n">
        <v>2.66</v>
      </c>
      <c r="AZ13" s="404" t="n">
        <v>0</v>
      </c>
      <c r="BA13" s="405" t="n">
        <v>0.000371081960067565</v>
      </c>
      <c r="BB13" s="405" t="n">
        <v>0.000550626962025027</v>
      </c>
      <c r="BC13" s="407" t="n">
        <v>0.08</v>
      </c>
      <c r="BD13" s="407" t="n">
        <v>6.1</v>
      </c>
      <c r="BE13" s="405" t="n">
        <v>0</v>
      </c>
    </row>
    <row r="14" customFormat="false" ht="14.5" hidden="false" customHeight="false" outlineLevel="0" collapsed="false">
      <c r="B14" s="408" t="s">
        <v>815</v>
      </c>
      <c r="C14" s="393" t="s">
        <v>808</v>
      </c>
      <c r="D14" s="409" t="n">
        <v>3.0200613631105</v>
      </c>
      <c r="E14" s="409" t="n">
        <v>0.4401516241975</v>
      </c>
      <c r="F14" s="409" t="n">
        <v>0.10675770492</v>
      </c>
      <c r="G14" s="409" t="n">
        <v>0</v>
      </c>
      <c r="H14" s="409" t="n">
        <v>0.173888837421587</v>
      </c>
      <c r="I14" s="409" t="n">
        <v>0.0933579089355472</v>
      </c>
      <c r="J14" s="409" t="n">
        <v>0.373269553461348</v>
      </c>
      <c r="K14" s="409" t="n">
        <v>0</v>
      </c>
      <c r="L14" s="409" t="n">
        <v>0</v>
      </c>
      <c r="M14" s="409" t="n">
        <v>3.21573215950655</v>
      </c>
      <c r="N14" s="409" t="n">
        <v>0.503044786445313</v>
      </c>
      <c r="O14" s="409" t="n">
        <v>0.106131403062222</v>
      </c>
      <c r="P14" s="409" t="n">
        <v>0</v>
      </c>
      <c r="Q14" s="409" t="n">
        <v>0.184758356034717</v>
      </c>
      <c r="R14" s="409" t="n">
        <v>0.0982334777560701</v>
      </c>
      <c r="S14" s="409" t="n">
        <v>0.366153392556894</v>
      </c>
      <c r="T14" s="409" t="n">
        <v>0</v>
      </c>
      <c r="U14" s="409" t="n">
        <v>0</v>
      </c>
      <c r="V14" s="410" t="n">
        <v>3.70678917831984</v>
      </c>
      <c r="W14" s="409" t="n">
        <v>0.673234144938056</v>
      </c>
      <c r="X14" s="409" t="n">
        <v>0.110003745138209</v>
      </c>
      <c r="Y14" s="409" t="n">
        <v>0</v>
      </c>
      <c r="Z14" s="409" t="n">
        <v>0.21959900372148</v>
      </c>
      <c r="AA14" s="409" t="n">
        <v>0.115629255305643</v>
      </c>
      <c r="AB14" s="409" t="n">
        <v>0.376661387404156</v>
      </c>
      <c r="AC14" s="409" t="n">
        <v>0</v>
      </c>
      <c r="AD14" s="409" t="n">
        <v>0</v>
      </c>
      <c r="AE14" s="410" t="n">
        <v>5.22786453003373</v>
      </c>
      <c r="AF14" s="409" t="n">
        <v>1.09755605292712</v>
      </c>
      <c r="AG14" s="409" t="n">
        <v>0.12893322046395</v>
      </c>
      <c r="AH14" s="409" t="n">
        <v>0</v>
      </c>
      <c r="AI14" s="409" t="n">
        <v>0.316063167454452</v>
      </c>
      <c r="AJ14" s="409" t="n">
        <v>0.162483983833507</v>
      </c>
      <c r="AK14" s="409" t="n">
        <v>0.405386082448946</v>
      </c>
      <c r="AL14" s="409" t="n">
        <v>0</v>
      </c>
      <c r="AM14" s="409" t="n">
        <v>0</v>
      </c>
      <c r="AN14" s="410" t="n">
        <v>5.31744009228288</v>
      </c>
      <c r="AO14" s="409" t="n">
        <v>1.11458020841451</v>
      </c>
      <c r="AP14" s="409" t="n">
        <v>0.130035861974075</v>
      </c>
      <c r="AQ14" s="409" t="n">
        <v>0</v>
      </c>
      <c r="AR14" s="409" t="n">
        <v>0.321857241150082</v>
      </c>
      <c r="AS14" s="409" t="n">
        <v>0.1652714230874</v>
      </c>
      <c r="AT14" s="409" t="n">
        <v>0.405638349220709</v>
      </c>
      <c r="AU14" s="409" t="n">
        <v>0</v>
      </c>
      <c r="AV14" s="409" t="n">
        <v>0</v>
      </c>
      <c r="AW14" s="410" t="n">
        <v>5.31744009228288</v>
      </c>
      <c r="AX14" s="409" t="n">
        <v>1.11458020841451</v>
      </c>
      <c r="AY14" s="409" t="n">
        <v>0.130035861974075</v>
      </c>
      <c r="AZ14" s="409" t="n">
        <v>0</v>
      </c>
      <c r="BA14" s="409" t="n">
        <v>0.321857241150082</v>
      </c>
      <c r="BB14" s="409" t="n">
        <v>0.1652714230874</v>
      </c>
      <c r="BC14" s="409" t="n">
        <v>0.405638349220709</v>
      </c>
      <c r="BD14" s="409" t="n">
        <v>0</v>
      </c>
      <c r="BE14" s="409" t="n">
        <v>0</v>
      </c>
      <c r="BG14" s="80" t="n">
        <f aca="false">SUM(AE14:AM14)</f>
        <v>7.3382870371617</v>
      </c>
      <c r="BH14" s="80" t="n">
        <f aca="false">SUM(AW14:BE14)</f>
        <v>7.45482317612966</v>
      </c>
    </row>
    <row r="15" customFormat="false" ht="14.5" hidden="false" customHeight="false" outlineLevel="0" collapsed="false">
      <c r="B15" s="411" t="s">
        <v>816</v>
      </c>
      <c r="C15" s="393" t="s">
        <v>808</v>
      </c>
      <c r="D15" s="410" t="n">
        <v>2.8304276828605</v>
      </c>
      <c r="E15" s="410" t="n">
        <v>0.2984527855225</v>
      </c>
      <c r="F15" s="410" t="n">
        <v>0.10675770492</v>
      </c>
      <c r="G15" s="410" t="n">
        <v>0</v>
      </c>
      <c r="H15" s="412" t="n">
        <v>0.173138130803404</v>
      </c>
      <c r="I15" s="412" t="n">
        <v>0.0929780919153219</v>
      </c>
      <c r="J15" s="412" t="n">
        <v>0.356303256776255</v>
      </c>
      <c r="K15" s="412" t="n">
        <v>0</v>
      </c>
      <c r="L15" s="412" t="n">
        <v>0</v>
      </c>
      <c r="M15" s="412" t="n">
        <v>3.02035164177023</v>
      </c>
      <c r="N15" s="412" t="n">
        <v>0.340583800060145</v>
      </c>
      <c r="O15" s="412" t="n">
        <v>0.106131403062222</v>
      </c>
      <c r="P15" s="412" t="n">
        <v>0</v>
      </c>
      <c r="Q15" s="412" t="n">
        <v>0.183893596698354</v>
      </c>
      <c r="R15" s="412" t="n">
        <v>0.0977959591621466</v>
      </c>
      <c r="S15" s="412" t="n">
        <v>0.348046600277802</v>
      </c>
      <c r="T15" s="412" t="n">
        <v>0</v>
      </c>
      <c r="U15" s="412" t="n">
        <v>0</v>
      </c>
      <c r="V15" s="410" t="n">
        <v>3.54428788630537</v>
      </c>
      <c r="W15" s="410" t="n">
        <v>0.457341351939641</v>
      </c>
      <c r="X15" s="410" t="n">
        <v>0.110003745138209</v>
      </c>
      <c r="Y15" s="410" t="n">
        <v>0</v>
      </c>
      <c r="Z15" s="412" t="n">
        <v>0.218451723892509</v>
      </c>
      <c r="AA15" s="412" t="n">
        <v>0.115048797557667</v>
      </c>
      <c r="AB15" s="412" t="n">
        <v>0.354474589082138</v>
      </c>
      <c r="AC15" s="412" t="n">
        <v>0</v>
      </c>
      <c r="AD15" s="412" t="n">
        <v>0</v>
      </c>
      <c r="AE15" s="410" t="n">
        <v>5.01389798250977</v>
      </c>
      <c r="AF15" s="410" t="n">
        <v>0.760206733108877</v>
      </c>
      <c r="AG15" s="410" t="n">
        <v>0.12893322046395</v>
      </c>
      <c r="AH15" s="410" t="n">
        <v>0</v>
      </c>
      <c r="AI15" s="412" t="n">
        <v>0.3141793964881</v>
      </c>
      <c r="AJ15" s="412" t="n">
        <v>0.161530903840777</v>
      </c>
      <c r="AK15" s="412" t="n">
        <v>0.377245100820468</v>
      </c>
      <c r="AL15" s="412" t="n">
        <v>0</v>
      </c>
      <c r="AM15" s="412" t="n">
        <v>0</v>
      </c>
      <c r="AN15" s="410" t="n">
        <v>5.10130159215909</v>
      </c>
      <c r="AO15" s="410" t="n">
        <v>0.77888611871017</v>
      </c>
      <c r="AP15" s="410" t="n">
        <v>0.130035861974075</v>
      </c>
      <c r="AQ15" s="410" t="n">
        <v>0</v>
      </c>
      <c r="AR15" s="412" t="n">
        <v>0.319932183292605</v>
      </c>
      <c r="AS15" s="412" t="n">
        <v>0.164297454297413</v>
      </c>
      <c r="AT15" s="412" t="n">
        <v>0.377905862694961</v>
      </c>
      <c r="AU15" s="412" t="n">
        <v>0</v>
      </c>
      <c r="AV15" s="412" t="n">
        <v>0</v>
      </c>
      <c r="AW15" s="410" t="n">
        <v>5.10130159215909</v>
      </c>
      <c r="AX15" s="410" t="n">
        <v>0.77888611871017</v>
      </c>
      <c r="AY15" s="410" t="n">
        <v>0.130035861974075</v>
      </c>
      <c r="AZ15" s="410" t="n">
        <v>0</v>
      </c>
      <c r="BA15" s="412" t="n">
        <v>0.319932183292605</v>
      </c>
      <c r="BB15" s="412" t="n">
        <v>0.164297454297413</v>
      </c>
      <c r="BC15" s="412" t="n">
        <v>0.377905862694961</v>
      </c>
      <c r="BD15" s="412" t="n">
        <v>0</v>
      </c>
      <c r="BE15" s="412" t="n">
        <v>0</v>
      </c>
    </row>
    <row r="16" customFormat="false" ht="29" hidden="false" customHeight="false" outlineLevel="0" collapsed="false">
      <c r="B16" s="413" t="s">
        <v>817</v>
      </c>
      <c r="C16" s="393" t="s">
        <v>808</v>
      </c>
      <c r="D16" s="410" t="n">
        <v>0.18963368025</v>
      </c>
      <c r="E16" s="410" t="n">
        <v>0.141698838675</v>
      </c>
      <c r="F16" s="410" t="n">
        <v>0</v>
      </c>
      <c r="G16" s="410" t="n">
        <v>0</v>
      </c>
      <c r="H16" s="412" t="n">
        <v>0.000750706618183593</v>
      </c>
      <c r="I16" s="412" t="n">
        <v>0.000379817020225225</v>
      </c>
      <c r="J16" s="412" t="n">
        <v>0.0169662966850928</v>
      </c>
      <c r="K16" s="412" t="n">
        <v>0</v>
      </c>
      <c r="L16" s="412" t="n">
        <v>0</v>
      </c>
      <c r="M16" s="412" t="n">
        <v>0.19538051773632</v>
      </c>
      <c r="N16" s="412" t="n">
        <v>0.162460986385167</v>
      </c>
      <c r="O16" s="412" t="n">
        <v>0</v>
      </c>
      <c r="P16" s="412" t="n">
        <v>0</v>
      </c>
      <c r="Q16" s="412" t="n">
        <v>0.000864759336363284</v>
      </c>
      <c r="R16" s="412" t="n">
        <v>0.000437518593923517</v>
      </c>
      <c r="S16" s="412" t="n">
        <v>0.018106792279092</v>
      </c>
      <c r="T16" s="412" t="n">
        <v>0</v>
      </c>
      <c r="U16" s="412" t="n">
        <v>0</v>
      </c>
      <c r="V16" s="410" t="n">
        <v>0.162501292014474</v>
      </c>
      <c r="W16" s="410" t="n">
        <v>0.215892792998415</v>
      </c>
      <c r="X16" s="410" t="n">
        <v>0</v>
      </c>
      <c r="Y16" s="410" t="n">
        <v>0</v>
      </c>
      <c r="Z16" s="412" t="n">
        <v>0.00114727982897166</v>
      </c>
      <c r="AA16" s="412" t="n">
        <v>0.000580457747976493</v>
      </c>
      <c r="AB16" s="412" t="n">
        <v>0.0221867983220183</v>
      </c>
      <c r="AC16" s="412" t="n">
        <v>0</v>
      </c>
      <c r="AD16" s="412" t="n">
        <v>0</v>
      </c>
      <c r="AE16" s="410" t="n">
        <v>0.213966547523951</v>
      </c>
      <c r="AF16" s="410" t="n">
        <v>0.337349319818245</v>
      </c>
      <c r="AG16" s="410" t="n">
        <v>0</v>
      </c>
      <c r="AH16" s="410" t="n">
        <v>0</v>
      </c>
      <c r="AI16" s="412" t="n">
        <v>0.00188377096635234</v>
      </c>
      <c r="AJ16" s="412" t="n">
        <v>0.000953079992730386</v>
      </c>
      <c r="AK16" s="412" t="n">
        <v>0.0281409816284774</v>
      </c>
      <c r="AL16" s="412" t="n">
        <v>0</v>
      </c>
      <c r="AM16" s="412" t="n">
        <v>0</v>
      </c>
      <c r="AN16" s="410" t="n">
        <v>0.216138500123783</v>
      </c>
      <c r="AO16" s="410" t="n">
        <v>0.335694089704342</v>
      </c>
      <c r="AP16" s="410" t="n">
        <v>0</v>
      </c>
      <c r="AQ16" s="410" t="n">
        <v>0</v>
      </c>
      <c r="AR16" s="412" t="n">
        <v>0.00192505785747691</v>
      </c>
      <c r="AS16" s="412" t="n">
        <v>0.000973968789986609</v>
      </c>
      <c r="AT16" s="412" t="n">
        <v>0.0277324865257483</v>
      </c>
      <c r="AU16" s="412" t="n">
        <v>0</v>
      </c>
      <c r="AV16" s="412" t="n">
        <v>0</v>
      </c>
      <c r="AW16" s="410" t="n">
        <v>0.216138500123783</v>
      </c>
      <c r="AX16" s="410" t="n">
        <v>0.335694089704342</v>
      </c>
      <c r="AY16" s="410" t="n">
        <v>0</v>
      </c>
      <c r="AZ16" s="410" t="n">
        <v>0</v>
      </c>
      <c r="BA16" s="412" t="n">
        <v>0.00192505785747691</v>
      </c>
      <c r="BB16" s="412" t="n">
        <v>0.000973968789986609</v>
      </c>
      <c r="BC16" s="412" t="n">
        <v>0.0277324865257483</v>
      </c>
      <c r="BD16" s="412" t="n">
        <v>0</v>
      </c>
      <c r="BE16" s="412" t="n">
        <v>0</v>
      </c>
    </row>
    <row r="17" customFormat="false" ht="14.5" hidden="false" customHeight="false" outlineLevel="0" collapsed="false">
      <c r="B17" s="414" t="s">
        <v>818</v>
      </c>
      <c r="C17" s="393" t="s">
        <v>808</v>
      </c>
      <c r="D17" s="415" t="n">
        <v>5.85795925481198</v>
      </c>
      <c r="E17" s="416" t="n">
        <v>0.337867760189161</v>
      </c>
      <c r="F17" s="415" t="n">
        <v>1.0751321085719</v>
      </c>
      <c r="G17" s="415" t="n">
        <v>13.3045065272722</v>
      </c>
      <c r="H17" s="415" t="n">
        <v>0.183529567589812</v>
      </c>
      <c r="I17" s="415" t="n">
        <v>0.346332792055052</v>
      </c>
      <c r="J17" s="415" t="n">
        <v>0.715005855268618</v>
      </c>
      <c r="K17" s="415" t="n">
        <v>0</v>
      </c>
      <c r="L17" s="415" t="n">
        <v>0</v>
      </c>
      <c r="M17" s="415" t="n">
        <v>5.43575273044412</v>
      </c>
      <c r="N17" s="415" t="n">
        <v>0.340336447074366</v>
      </c>
      <c r="O17" s="415" t="n">
        <v>1.08772002104034</v>
      </c>
      <c r="P17" s="415" t="n">
        <v>12.3745368183417</v>
      </c>
      <c r="Q17" s="415" t="n">
        <v>0.181603482452231</v>
      </c>
      <c r="R17" s="415" t="n">
        <v>0.318981435771782</v>
      </c>
      <c r="S17" s="415" t="n">
        <v>0.657085490179625</v>
      </c>
      <c r="T17" s="415" t="n">
        <v>0</v>
      </c>
      <c r="U17" s="415" t="n">
        <v>0</v>
      </c>
      <c r="V17" s="415" t="n">
        <v>4.68287748306241</v>
      </c>
      <c r="W17" s="416" t="n">
        <v>0.326458043256229</v>
      </c>
      <c r="X17" s="415" t="n">
        <v>1.03531838677382</v>
      </c>
      <c r="Y17" s="415" t="n">
        <v>11.5299133824051</v>
      </c>
      <c r="Z17" s="415" t="n">
        <v>0.168102960439653</v>
      </c>
      <c r="AA17" s="415" t="n">
        <v>0.282463095173064</v>
      </c>
      <c r="AB17" s="415" t="n">
        <v>0.582563737306124</v>
      </c>
      <c r="AC17" s="415" t="n">
        <v>0</v>
      </c>
      <c r="AD17" s="415" t="n">
        <v>0</v>
      </c>
      <c r="AE17" s="415" t="n">
        <v>3.56530945141715</v>
      </c>
      <c r="AF17" s="416" t="n">
        <v>0.27154138451395</v>
      </c>
      <c r="AG17" s="415" t="n">
        <v>0.67486589657001</v>
      </c>
      <c r="AH17" s="415" t="n">
        <v>9.03752365895114</v>
      </c>
      <c r="AI17" s="415" t="n">
        <v>0.115591679357865</v>
      </c>
      <c r="AJ17" s="415" t="n">
        <v>0.163444386233204</v>
      </c>
      <c r="AK17" s="415" t="n">
        <v>0.328340528262782</v>
      </c>
      <c r="AL17" s="415" t="n">
        <v>0</v>
      </c>
      <c r="AM17" s="415" t="n">
        <v>0</v>
      </c>
      <c r="AN17" s="415" t="n">
        <v>3.50659802018453</v>
      </c>
      <c r="AO17" s="416" t="n">
        <v>0.268652903650701</v>
      </c>
      <c r="AP17" s="415" t="n">
        <v>0.655894712875073</v>
      </c>
      <c r="AQ17" s="415" t="n">
        <v>7.92691459188586</v>
      </c>
      <c r="AR17" s="415" t="n">
        <v>0.112827927721981</v>
      </c>
      <c r="AS17" s="415" t="n">
        <v>0.157884286409488</v>
      </c>
      <c r="AT17" s="415" t="n">
        <v>0.316559636915922</v>
      </c>
      <c r="AU17" s="415" t="n">
        <v>0</v>
      </c>
      <c r="AV17" s="415" t="n">
        <v>0</v>
      </c>
      <c r="AW17" s="415" t="n">
        <v>3.50659802018453</v>
      </c>
      <c r="AX17" s="416" t="n">
        <v>0.268652903650701</v>
      </c>
      <c r="AY17" s="415" t="n">
        <v>0.655894712875073</v>
      </c>
      <c r="AZ17" s="417" t="n">
        <v>8.9</v>
      </c>
      <c r="BA17" s="415" t="n">
        <v>0.112827927721981</v>
      </c>
      <c r="BB17" s="415" t="n">
        <v>0.157884286409488</v>
      </c>
      <c r="BC17" s="415" t="n">
        <v>0.316559636915922</v>
      </c>
      <c r="BD17" s="415" t="n">
        <v>0</v>
      </c>
      <c r="BE17" s="415" t="n">
        <v>0</v>
      </c>
      <c r="BG17" s="80" t="n">
        <f aca="false">SUM(AE17:AM17)</f>
        <v>14.1566169853061</v>
      </c>
      <c r="BH17" s="80" t="n">
        <f aca="false">SUM(AW17:BE17)</f>
        <v>13.9184174877577</v>
      </c>
    </row>
    <row r="18" customFormat="false" ht="14.5" hidden="false" customHeight="false" outlineLevel="0" collapsed="false">
      <c r="B18" s="418" t="s">
        <v>819</v>
      </c>
      <c r="C18" s="393" t="s">
        <v>808</v>
      </c>
      <c r="D18" s="419" t="n">
        <v>4.54911010836123</v>
      </c>
      <c r="E18" s="419" t="n">
        <v>0.161237270189161</v>
      </c>
      <c r="F18" s="419" t="n">
        <v>1.0751321085719</v>
      </c>
      <c r="G18" s="419" t="n">
        <v>8.41597420060435</v>
      </c>
      <c r="H18" s="419" t="n">
        <v>0.183529567589812</v>
      </c>
      <c r="I18" s="420" t="n">
        <v>0.30968679597871</v>
      </c>
      <c r="J18" s="420" t="n">
        <v>0.636393268598908</v>
      </c>
      <c r="K18" s="420" t="n">
        <v>0</v>
      </c>
      <c r="L18" s="420" t="n">
        <v>0</v>
      </c>
      <c r="M18" s="420" t="n">
        <v>4.15470297454592</v>
      </c>
      <c r="N18" s="420" t="n">
        <v>0.16366230288945</v>
      </c>
      <c r="O18" s="420" t="n">
        <v>1.08772002104034</v>
      </c>
      <c r="P18" s="420" t="n">
        <v>7.62168085588457</v>
      </c>
      <c r="Q18" s="420" t="n">
        <v>0.181603482452231</v>
      </c>
      <c r="R18" s="420" t="n">
        <v>0.288065250839534</v>
      </c>
      <c r="S18" s="420" t="n">
        <v>0.590701511825099</v>
      </c>
      <c r="T18" s="420" t="n">
        <v>0</v>
      </c>
      <c r="U18" s="420" t="n">
        <v>0</v>
      </c>
      <c r="V18" s="420" t="n">
        <v>3.43497944218865</v>
      </c>
      <c r="W18" s="419" t="n">
        <v>0.1496878598645</v>
      </c>
      <c r="X18" s="419" t="n">
        <v>1.03531838677382</v>
      </c>
      <c r="Y18" s="419" t="n">
        <v>6.70773602765157</v>
      </c>
      <c r="Z18" s="419" t="n">
        <v>0.168102960439653</v>
      </c>
      <c r="AA18" s="420" t="n">
        <v>0.257241668505441</v>
      </c>
      <c r="AB18" s="420" t="n">
        <v>0.528400539676867</v>
      </c>
      <c r="AC18" s="420" t="n">
        <v>0</v>
      </c>
      <c r="AD18" s="420" t="n">
        <v>0</v>
      </c>
      <c r="AE18" s="420" t="n">
        <v>2.37223817399656</v>
      </c>
      <c r="AF18" s="419" t="n">
        <v>0.094505852666009</v>
      </c>
      <c r="AG18" s="419" t="n">
        <v>0.67486589657001</v>
      </c>
      <c r="AH18" s="419" t="n">
        <v>4.25663875859632</v>
      </c>
      <c r="AI18" s="419" t="n">
        <v>0.115591679357865</v>
      </c>
      <c r="AJ18" s="420" t="n">
        <v>0.149065789386749</v>
      </c>
      <c r="AK18" s="420" t="n">
        <v>0.297460027023508</v>
      </c>
      <c r="AL18" s="420" t="n">
        <v>0</v>
      </c>
      <c r="AM18" s="420" t="n">
        <v>0</v>
      </c>
      <c r="AN18" s="420" t="n">
        <v>2.31630442303908</v>
      </c>
      <c r="AO18" s="419" t="n">
        <v>0.0916015364976673</v>
      </c>
      <c r="AP18" s="419" t="n">
        <v>0.655894712875073</v>
      </c>
      <c r="AQ18" s="419" t="n">
        <v>3.66971565857144</v>
      </c>
      <c r="AR18" s="419" t="n">
        <v>0.112827927721981</v>
      </c>
      <c r="AS18" s="420" t="n">
        <v>0.143998560959683</v>
      </c>
      <c r="AT18" s="420" t="n">
        <v>0.286737486199158</v>
      </c>
      <c r="AU18" s="420" t="n">
        <v>0</v>
      </c>
      <c r="AV18" s="420" t="n">
        <v>0</v>
      </c>
      <c r="AW18" s="420" t="n">
        <v>2.31630442303908</v>
      </c>
      <c r="AX18" s="419" t="n">
        <v>0.0916015364976673</v>
      </c>
      <c r="AY18" s="419" t="n">
        <v>0.655894712875073</v>
      </c>
      <c r="AZ18" s="421" t="n">
        <v>4.19</v>
      </c>
      <c r="BA18" s="419" t="n">
        <v>0.112827927721981</v>
      </c>
      <c r="BB18" s="420" t="n">
        <v>0.143998560959683</v>
      </c>
      <c r="BC18" s="420" t="n">
        <v>0.286737486199158</v>
      </c>
      <c r="BD18" s="420" t="n">
        <v>0</v>
      </c>
      <c r="BE18" s="420" t="n">
        <v>0</v>
      </c>
      <c r="BF18" s="80"/>
    </row>
    <row r="19" customFormat="false" ht="14.5" hidden="false" customHeight="false" outlineLevel="0" collapsed="false">
      <c r="B19" s="422" t="s">
        <v>820</v>
      </c>
      <c r="C19" s="393" t="s">
        <v>808</v>
      </c>
      <c r="D19" s="419" t="n">
        <v>0.74508</v>
      </c>
      <c r="E19" s="419" t="n">
        <v>0.076</v>
      </c>
      <c r="F19" s="419" t="n">
        <v>0</v>
      </c>
      <c r="G19" s="419" t="n">
        <v>1.1216235006494</v>
      </c>
      <c r="H19" s="419" t="n">
        <v>0</v>
      </c>
      <c r="I19" s="420" t="n">
        <v>0</v>
      </c>
      <c r="J19" s="420" t="n">
        <v>0</v>
      </c>
      <c r="K19" s="420" t="n">
        <v>0</v>
      </c>
      <c r="L19" s="420" t="n">
        <v>0</v>
      </c>
      <c r="M19" s="420" t="n">
        <v>0.745285520290039</v>
      </c>
      <c r="N19" s="420" t="n">
        <v>0.0760395351372963</v>
      </c>
      <c r="O19" s="420" t="n">
        <v>0</v>
      </c>
      <c r="P19" s="420" t="n">
        <v>1.12195686642152</v>
      </c>
      <c r="Q19" s="420" t="n">
        <v>0</v>
      </c>
      <c r="R19" s="420" t="n">
        <v>0</v>
      </c>
      <c r="S19" s="420" t="n">
        <v>0</v>
      </c>
      <c r="T19" s="420" t="n">
        <v>0</v>
      </c>
      <c r="U19" s="420" t="n">
        <v>0</v>
      </c>
      <c r="V19" s="420" t="n">
        <v>0.745737664928126</v>
      </c>
      <c r="W19" s="419" t="n">
        <v>0.076126512439348</v>
      </c>
      <c r="X19" s="419" t="n">
        <v>0</v>
      </c>
      <c r="Y19" s="419" t="n">
        <v>1.1818415533085</v>
      </c>
      <c r="Z19" s="419" t="n">
        <v>0</v>
      </c>
      <c r="AA19" s="420" t="n">
        <v>0</v>
      </c>
      <c r="AB19" s="420" t="n">
        <v>0</v>
      </c>
      <c r="AC19" s="420" t="n">
        <v>0</v>
      </c>
      <c r="AD19" s="420" t="n">
        <v>0</v>
      </c>
      <c r="AE19" s="420" t="n">
        <v>0.746998608192342</v>
      </c>
      <c r="AF19" s="419" t="n">
        <v>0.0763690751812747</v>
      </c>
      <c r="AG19" s="419" t="n">
        <v>0</v>
      </c>
      <c r="AH19" s="419" t="n">
        <v>1.25880543634205</v>
      </c>
      <c r="AI19" s="419" t="n">
        <v>0</v>
      </c>
      <c r="AJ19" s="420" t="n">
        <v>0</v>
      </c>
      <c r="AK19" s="420" t="n">
        <v>0</v>
      </c>
      <c r="AL19" s="420" t="n">
        <v>0</v>
      </c>
      <c r="AM19" s="420" t="n">
        <v>0</v>
      </c>
      <c r="AN19" s="420" t="n">
        <v>0.74707399554764</v>
      </c>
      <c r="AO19" s="419" t="n">
        <v>0.076383577153034</v>
      </c>
      <c r="AP19" s="419" t="n">
        <v>0</v>
      </c>
      <c r="AQ19" s="419" t="n">
        <v>1.12530886723917</v>
      </c>
      <c r="AR19" s="419" t="n">
        <v>0</v>
      </c>
      <c r="AS19" s="420" t="n">
        <v>0</v>
      </c>
      <c r="AT19" s="420" t="n">
        <v>0</v>
      </c>
      <c r="AU19" s="420" t="n">
        <v>0</v>
      </c>
      <c r="AV19" s="420" t="n">
        <v>0</v>
      </c>
      <c r="AW19" s="420" t="n">
        <v>0.74707399554764</v>
      </c>
      <c r="AX19" s="419" t="n">
        <v>0.076383577153034</v>
      </c>
      <c r="AY19" s="419" t="n">
        <v>0</v>
      </c>
      <c r="AZ19" s="421" t="n">
        <v>1.25</v>
      </c>
      <c r="BA19" s="419" t="n">
        <v>0</v>
      </c>
      <c r="BB19" s="420" t="n">
        <v>0</v>
      </c>
      <c r="BC19" s="420" t="n">
        <v>0</v>
      </c>
      <c r="BD19" s="420" t="n">
        <v>0</v>
      </c>
      <c r="BE19" s="420" t="n">
        <v>0</v>
      </c>
      <c r="BF19" s="80"/>
    </row>
    <row r="20" customFormat="false" ht="14.5" hidden="false" customHeight="false" outlineLevel="0" collapsed="false">
      <c r="B20" s="422" t="s">
        <v>821</v>
      </c>
      <c r="C20" s="393" t="s">
        <v>808</v>
      </c>
      <c r="D20" s="419" t="n">
        <v>0.0579760239130435</v>
      </c>
      <c r="E20" s="419" t="n">
        <v>7.77E-005</v>
      </c>
      <c r="F20" s="419" t="n">
        <v>0</v>
      </c>
      <c r="G20" s="419" t="n">
        <v>0.0439419140499656</v>
      </c>
      <c r="H20" s="419" t="n">
        <v>0</v>
      </c>
      <c r="I20" s="420" t="n">
        <v>0</v>
      </c>
      <c r="J20" s="420" t="n">
        <v>0</v>
      </c>
      <c r="K20" s="420" t="n">
        <v>0</v>
      </c>
      <c r="L20" s="420" t="n">
        <v>0</v>
      </c>
      <c r="M20" s="420" t="n">
        <v>0.0601559065217391</v>
      </c>
      <c r="N20" s="420" t="n">
        <v>8.18190476190476E-005</v>
      </c>
      <c r="O20" s="420" t="n">
        <v>0</v>
      </c>
      <c r="P20" s="420" t="n">
        <v>0.0450753767658299</v>
      </c>
      <c r="Q20" s="420" t="n">
        <v>0</v>
      </c>
      <c r="R20" s="420" t="n">
        <v>0</v>
      </c>
      <c r="S20" s="420" t="n">
        <v>0</v>
      </c>
      <c r="T20" s="420" t="n">
        <v>0</v>
      </c>
      <c r="U20" s="420" t="n">
        <v>0</v>
      </c>
      <c r="V20" s="420" t="n">
        <v>0.0649516482608695</v>
      </c>
      <c r="W20" s="419" t="n">
        <v>9.08809523809524E-005</v>
      </c>
      <c r="X20" s="419" t="n">
        <v>0</v>
      </c>
      <c r="Y20" s="419" t="n">
        <v>0.0500734187582216</v>
      </c>
      <c r="Z20" s="419" t="n">
        <v>0</v>
      </c>
      <c r="AA20" s="420" t="n">
        <v>0</v>
      </c>
      <c r="AB20" s="420" t="n">
        <v>0</v>
      </c>
      <c r="AC20" s="420" t="n">
        <v>0</v>
      </c>
      <c r="AD20" s="420" t="n">
        <v>0</v>
      </c>
      <c r="AE20" s="420" t="n">
        <v>0.0784975830434783</v>
      </c>
      <c r="AF20" s="419" t="n">
        <v>0.000113666666666667</v>
      </c>
      <c r="AG20" s="419" t="n">
        <v>0</v>
      </c>
      <c r="AH20" s="419" t="n">
        <v>0.0616502344155241</v>
      </c>
      <c r="AI20" s="419" t="n">
        <v>0</v>
      </c>
      <c r="AJ20" s="420" t="n">
        <v>0</v>
      </c>
      <c r="AK20" s="420" t="n">
        <v>0</v>
      </c>
      <c r="AL20" s="420" t="n">
        <v>0</v>
      </c>
      <c r="AM20" s="420" t="n">
        <v>0</v>
      </c>
      <c r="AN20" s="420" t="n">
        <v>0.0793094439130435</v>
      </c>
      <c r="AO20" s="419" t="n">
        <v>0.000115</v>
      </c>
      <c r="AP20" s="419" t="n">
        <v>0</v>
      </c>
      <c r="AQ20" s="419" t="n">
        <v>0.0555619309613622</v>
      </c>
      <c r="AR20" s="419" t="n">
        <v>0</v>
      </c>
      <c r="AS20" s="420" t="n">
        <v>0</v>
      </c>
      <c r="AT20" s="420" t="n">
        <v>0</v>
      </c>
      <c r="AU20" s="420" t="n">
        <v>0</v>
      </c>
      <c r="AV20" s="420" t="n">
        <v>0</v>
      </c>
      <c r="AW20" s="420" t="n">
        <v>0.0793094439130435</v>
      </c>
      <c r="AX20" s="419" t="n">
        <v>0.000115</v>
      </c>
      <c r="AY20" s="419" t="n">
        <v>0</v>
      </c>
      <c r="AZ20" s="421" t="n">
        <v>0.0513722324402301</v>
      </c>
      <c r="BA20" s="419" t="n">
        <v>0</v>
      </c>
      <c r="BB20" s="420" t="n">
        <v>0</v>
      </c>
      <c r="BC20" s="420" t="n">
        <v>0</v>
      </c>
      <c r="BD20" s="420" t="n">
        <v>0</v>
      </c>
      <c r="BE20" s="420" t="n">
        <v>0</v>
      </c>
      <c r="BF20" s="80"/>
    </row>
    <row r="21" customFormat="false" ht="14.5" hidden="false" customHeight="false" outlineLevel="0" collapsed="false">
      <c r="B21" s="422" t="s">
        <v>822</v>
      </c>
      <c r="C21" s="393" t="s">
        <v>808</v>
      </c>
      <c r="D21" s="419" t="n">
        <v>0.505793122537707</v>
      </c>
      <c r="E21" s="419" t="n">
        <v>0.10055279</v>
      </c>
      <c r="F21" s="419" t="n">
        <v>0</v>
      </c>
      <c r="G21" s="419" t="n">
        <v>3.7229669119685</v>
      </c>
      <c r="H21" s="419" t="n">
        <v>0</v>
      </c>
      <c r="I21" s="420" t="n">
        <v>0.036645996076342</v>
      </c>
      <c r="J21" s="420" t="n">
        <v>0.0786125866697098</v>
      </c>
      <c r="K21" s="420" t="n">
        <v>0</v>
      </c>
      <c r="L21" s="420" t="n">
        <v>0</v>
      </c>
      <c r="M21" s="420" t="n">
        <v>0.475608329086421</v>
      </c>
      <c r="N21" s="420" t="n">
        <v>0.10055279</v>
      </c>
      <c r="O21" s="420" t="n">
        <v>0</v>
      </c>
      <c r="P21" s="420" t="n">
        <v>3.58582371926974</v>
      </c>
      <c r="Q21" s="420" t="n">
        <v>0</v>
      </c>
      <c r="R21" s="420" t="n">
        <v>0.0309161849322478</v>
      </c>
      <c r="S21" s="420" t="n">
        <v>0.0663839783545261</v>
      </c>
      <c r="T21" s="420" t="n">
        <v>0</v>
      </c>
      <c r="U21" s="420" t="n">
        <v>0</v>
      </c>
      <c r="V21" s="420" t="n">
        <v>0.437208727684766</v>
      </c>
      <c r="W21" s="419" t="n">
        <v>0.10055279</v>
      </c>
      <c r="X21" s="419" t="n">
        <v>0</v>
      </c>
      <c r="Y21" s="419" t="n">
        <v>3.59026238268675</v>
      </c>
      <c r="Z21" s="419" t="n">
        <v>0</v>
      </c>
      <c r="AA21" s="420" t="n">
        <v>0.0252214266676233</v>
      </c>
      <c r="AB21" s="420" t="n">
        <v>0.054163197629257</v>
      </c>
      <c r="AC21" s="420" t="n">
        <v>0</v>
      </c>
      <c r="AD21" s="420" t="n">
        <v>0</v>
      </c>
      <c r="AE21" s="420" t="n">
        <v>0.367575086184766</v>
      </c>
      <c r="AF21" s="419" t="n">
        <v>0.10055279</v>
      </c>
      <c r="AG21" s="419" t="n">
        <v>0</v>
      </c>
      <c r="AH21" s="419" t="n">
        <v>3.46042922959725</v>
      </c>
      <c r="AI21" s="419" t="n">
        <v>0</v>
      </c>
      <c r="AJ21" s="420" t="n">
        <v>0.0143785968464551</v>
      </c>
      <c r="AK21" s="420" t="n">
        <v>0.0308805012392745</v>
      </c>
      <c r="AL21" s="420" t="n">
        <v>0</v>
      </c>
      <c r="AM21" s="420" t="n">
        <v>0</v>
      </c>
      <c r="AN21" s="420" t="n">
        <v>0.363910157684766</v>
      </c>
      <c r="AO21" s="419" t="n">
        <v>0.10055279</v>
      </c>
      <c r="AP21" s="419" t="n">
        <v>0</v>
      </c>
      <c r="AQ21" s="419" t="n">
        <v>3.07632813511389</v>
      </c>
      <c r="AR21" s="419" t="n">
        <v>0</v>
      </c>
      <c r="AS21" s="420" t="n">
        <v>0.0138857254498048</v>
      </c>
      <c r="AT21" s="420" t="n">
        <v>0.0298221507167639</v>
      </c>
      <c r="AU21" s="420" t="n">
        <v>0</v>
      </c>
      <c r="AV21" s="420" t="n">
        <v>0</v>
      </c>
      <c r="AW21" s="420" t="n">
        <v>0.363910157684766</v>
      </c>
      <c r="AX21" s="419" t="n">
        <v>0.10055279</v>
      </c>
      <c r="AY21" s="419" t="n">
        <v>0</v>
      </c>
      <c r="AZ21" s="421" t="n">
        <v>3.41</v>
      </c>
      <c r="BA21" s="419" t="n">
        <v>0</v>
      </c>
      <c r="BB21" s="420" t="n">
        <v>0.0138857254498048</v>
      </c>
      <c r="BC21" s="420" t="n">
        <v>0.0298221507167639</v>
      </c>
      <c r="BD21" s="420" t="n">
        <v>0</v>
      </c>
      <c r="BE21" s="420" t="n">
        <v>0</v>
      </c>
    </row>
    <row r="22" customFormat="false" ht="14.5" hidden="false" customHeight="false" outlineLevel="0" collapsed="false">
      <c r="B22" s="414" t="s">
        <v>823</v>
      </c>
      <c r="C22" s="393" t="s">
        <v>808</v>
      </c>
      <c r="D22" s="415" t="n">
        <v>0.0171499915586572</v>
      </c>
      <c r="E22" s="415" t="n">
        <v>0.000822714620115642</v>
      </c>
      <c r="F22" s="415" t="n">
        <v>0.0013591720000992</v>
      </c>
      <c r="G22" s="415" t="n">
        <v>0.0030402678894089</v>
      </c>
      <c r="H22" s="415" t="n">
        <v>0</v>
      </c>
      <c r="I22" s="415" t="n">
        <v>3.00463404336333E-006</v>
      </c>
      <c r="J22" s="415" t="n">
        <v>1.3748762325047E-005</v>
      </c>
      <c r="K22" s="415" t="n">
        <v>0</v>
      </c>
      <c r="L22" s="415" t="n">
        <v>0</v>
      </c>
      <c r="M22" s="415" t="n">
        <v>0.0330773111077878</v>
      </c>
      <c r="N22" s="415" t="n">
        <v>0.0122397952034437</v>
      </c>
      <c r="O22" s="415" t="n">
        <v>0.0113706492667394</v>
      </c>
      <c r="P22" s="415" t="n">
        <v>0.0037689237845972</v>
      </c>
      <c r="Q22" s="415" t="n">
        <v>0</v>
      </c>
      <c r="R22" s="415" t="n">
        <v>2.8130931972484E-006</v>
      </c>
      <c r="S22" s="415" t="n">
        <v>1.33499663401418E-005</v>
      </c>
      <c r="T22" s="415" t="n">
        <v>0</v>
      </c>
      <c r="U22" s="415" t="n">
        <v>0</v>
      </c>
      <c r="V22" s="415" t="n">
        <v>0.101484541555397</v>
      </c>
      <c r="W22" s="415" t="n">
        <v>0.0640929646200956</v>
      </c>
      <c r="X22" s="415" t="n">
        <v>0.049819576</v>
      </c>
      <c r="Y22" s="415" t="n">
        <v>0.00625462479722106</v>
      </c>
      <c r="Z22" s="415" t="n">
        <v>0</v>
      </c>
      <c r="AA22" s="415" t="n">
        <v>2.67886145412675E-006</v>
      </c>
      <c r="AB22" s="415" t="n">
        <v>1.30043302411082E-005</v>
      </c>
      <c r="AC22" s="415" t="n">
        <v>0</v>
      </c>
      <c r="AD22" s="415" t="n">
        <v>0</v>
      </c>
      <c r="AE22" s="415" t="n">
        <v>0.189099152742711</v>
      </c>
      <c r="AF22" s="415" t="n">
        <v>0.180339673305243</v>
      </c>
      <c r="AG22" s="415" t="n">
        <v>0.1575489588</v>
      </c>
      <c r="AH22" s="415" t="n">
        <v>0.00543329076721446</v>
      </c>
      <c r="AI22" s="415" t="n">
        <v>0</v>
      </c>
      <c r="AJ22" s="415" t="n">
        <v>1.11736979751251E-006</v>
      </c>
      <c r="AK22" s="415" t="n">
        <v>6.21789495577609E-006</v>
      </c>
      <c r="AL22" s="415" t="n">
        <v>0</v>
      </c>
      <c r="AM22" s="415" t="n">
        <v>0</v>
      </c>
      <c r="AN22" s="415" t="n">
        <v>0.195078446505211</v>
      </c>
      <c r="AO22" s="415" t="n">
        <v>0.187724008242743</v>
      </c>
      <c r="AP22" s="415" t="n">
        <v>0.1647882</v>
      </c>
      <c r="AQ22" s="415" t="n">
        <v>0.00490768156797917</v>
      </c>
      <c r="AR22" s="415" t="n">
        <v>0</v>
      </c>
      <c r="AS22" s="415" t="n">
        <v>1.10396451412669E-006</v>
      </c>
      <c r="AT22" s="415" t="n">
        <v>6.18326918263508E-006</v>
      </c>
      <c r="AU22" s="415" t="n">
        <v>0</v>
      </c>
      <c r="AV22" s="415" t="n">
        <v>0</v>
      </c>
      <c r="AW22" s="415" t="n">
        <v>0.195078446505211</v>
      </c>
      <c r="AX22" s="415" t="n">
        <v>0.187724008242743</v>
      </c>
      <c r="AY22" s="415" t="n">
        <v>0.1647882</v>
      </c>
      <c r="AZ22" s="415" t="n">
        <v>0.00453761332427742</v>
      </c>
      <c r="BA22" s="415" t="n">
        <v>0</v>
      </c>
      <c r="BB22" s="415" t="n">
        <v>1.10396451412669E-006</v>
      </c>
      <c r="BC22" s="415" t="n">
        <v>6.18326918263508E-006</v>
      </c>
      <c r="BD22" s="415" t="n">
        <v>0</v>
      </c>
      <c r="BE22" s="415" t="n">
        <v>0</v>
      </c>
      <c r="BG22" s="80" t="n">
        <f aca="false">SUM(AE22:AM22)</f>
        <v>0.532428410879922</v>
      </c>
      <c r="BH22" s="80" t="n">
        <f aca="false">SUM(AW22:BE22)</f>
        <v>0.552135555305928</v>
      </c>
    </row>
    <row r="23" customFormat="false" ht="14.5" hidden="false" customHeight="false" outlineLevel="0" collapsed="false">
      <c r="B23" s="422" t="s">
        <v>824</v>
      </c>
      <c r="C23" s="393" t="s">
        <v>808</v>
      </c>
      <c r="D23" s="419" t="n">
        <v>0.01618400000326</v>
      </c>
      <c r="E23" s="419" t="n">
        <v>0.00023120000002</v>
      </c>
      <c r="F23" s="419" t="n">
        <v>0.0007883920000992</v>
      </c>
      <c r="G23" s="419" t="n">
        <v>0.00183380866414785</v>
      </c>
      <c r="H23" s="420" t="n">
        <v>0</v>
      </c>
      <c r="I23" s="420" t="n">
        <v>0</v>
      </c>
      <c r="J23" s="420" t="n">
        <v>0</v>
      </c>
      <c r="K23" s="420" t="n">
        <v>0</v>
      </c>
      <c r="L23" s="420" t="n">
        <v>0</v>
      </c>
      <c r="M23" s="420" t="n">
        <v>0.0211084266690573</v>
      </c>
      <c r="N23" s="420" t="n">
        <v>0.000272426666681333</v>
      </c>
      <c r="O23" s="420" t="n">
        <v>0.000962950933406078</v>
      </c>
      <c r="P23" s="420" t="n">
        <v>0.00240756966073906</v>
      </c>
      <c r="Q23" s="420" t="n">
        <v>0</v>
      </c>
      <c r="R23" s="420" t="n">
        <v>0</v>
      </c>
      <c r="S23" s="420" t="n">
        <v>0</v>
      </c>
      <c r="T23" s="420" t="n">
        <v>0</v>
      </c>
      <c r="U23" s="420" t="n">
        <v>0</v>
      </c>
      <c r="V23" s="419" t="n">
        <v>0.032662</v>
      </c>
      <c r="W23" s="419" t="n">
        <v>0.0003736</v>
      </c>
      <c r="X23" s="419" t="n">
        <v>0.001382476</v>
      </c>
      <c r="Y23" s="419" t="n">
        <v>0.00394834287212054</v>
      </c>
      <c r="Z23" s="420" t="n">
        <v>0</v>
      </c>
      <c r="AA23" s="420" t="n">
        <v>0</v>
      </c>
      <c r="AB23" s="420" t="n">
        <v>0</v>
      </c>
      <c r="AC23" s="420" t="n">
        <v>0</v>
      </c>
      <c r="AD23" s="420" t="n">
        <v>0</v>
      </c>
      <c r="AE23" s="419" t="n">
        <v>0.0156926</v>
      </c>
      <c r="AF23" s="419" t="n">
        <v>0.00022418</v>
      </c>
      <c r="AG23" s="419" t="n">
        <v>0.0007644538</v>
      </c>
      <c r="AH23" s="419" t="n">
        <v>0.00198596058911995</v>
      </c>
      <c r="AI23" s="420" t="n">
        <v>0</v>
      </c>
      <c r="AJ23" s="420" t="n">
        <v>0</v>
      </c>
      <c r="AK23" s="420" t="n">
        <v>0</v>
      </c>
      <c r="AL23" s="420" t="n">
        <v>0</v>
      </c>
      <c r="AM23" s="420" t="n">
        <v>0</v>
      </c>
      <c r="AN23" s="419" t="n">
        <v>0.0154</v>
      </c>
      <c r="AO23" s="419" t="n">
        <v>0.00022</v>
      </c>
      <c r="AP23" s="419" t="n">
        <v>0.0007502</v>
      </c>
      <c r="AQ23" s="419" t="n">
        <v>0.0017419156107612</v>
      </c>
      <c r="AR23" s="420" t="n">
        <v>0</v>
      </c>
      <c r="AS23" s="420" t="n">
        <v>0</v>
      </c>
      <c r="AT23" s="420" t="n">
        <v>0</v>
      </c>
      <c r="AU23" s="420" t="n">
        <v>0</v>
      </c>
      <c r="AV23" s="420" t="n">
        <v>0</v>
      </c>
      <c r="AW23" s="419" t="n">
        <v>0.0154</v>
      </c>
      <c r="AX23" s="419" t="n">
        <v>0.00022</v>
      </c>
      <c r="AY23" s="419" t="n">
        <v>0.0007502</v>
      </c>
      <c r="AZ23" s="419" t="n">
        <v>0.00161056486156895</v>
      </c>
      <c r="BA23" s="420" t="n">
        <v>0</v>
      </c>
      <c r="BB23" s="420" t="n">
        <v>0</v>
      </c>
      <c r="BC23" s="420" t="n">
        <v>0</v>
      </c>
      <c r="BD23" s="420" t="n">
        <v>0</v>
      </c>
      <c r="BE23" s="420" t="n">
        <v>0</v>
      </c>
    </row>
    <row r="24" customFormat="false" ht="14.5" hidden="false" customHeight="false" outlineLevel="0" collapsed="false">
      <c r="B24" s="423" t="s">
        <v>825</v>
      </c>
      <c r="C24" s="393" t="s">
        <v>808</v>
      </c>
      <c r="D24" s="419" t="n">
        <v>0.000512085</v>
      </c>
      <c r="E24" s="419" t="n">
        <v>0.000591475</v>
      </c>
      <c r="F24" s="419" t="n">
        <v>0.00057078</v>
      </c>
      <c r="G24" s="419" t="n">
        <v>6.96870883948354E-006</v>
      </c>
      <c r="H24" s="420" t="n">
        <v>0</v>
      </c>
      <c r="I24" s="420" t="n">
        <v>0</v>
      </c>
      <c r="J24" s="420" t="n">
        <v>0</v>
      </c>
      <c r="K24" s="420" t="n">
        <v>0</v>
      </c>
      <c r="L24" s="420" t="n">
        <v>0</v>
      </c>
      <c r="M24" s="420" t="n">
        <v>0.0115149778833333</v>
      </c>
      <c r="N24" s="420" t="n">
        <v>0.0119673289166667</v>
      </c>
      <c r="O24" s="420" t="n">
        <v>0.0104076983333333</v>
      </c>
      <c r="P24" s="420" t="n">
        <v>0.000162130933164114</v>
      </c>
      <c r="Q24" s="420" t="n">
        <v>0</v>
      </c>
      <c r="R24" s="420" t="n">
        <v>0</v>
      </c>
      <c r="S24" s="420" t="n">
        <v>0</v>
      </c>
      <c r="T24" s="420" t="n">
        <v>0</v>
      </c>
      <c r="U24" s="420" t="n">
        <v>0</v>
      </c>
      <c r="V24" s="419" t="n">
        <v>0.068368635</v>
      </c>
      <c r="W24" s="419" t="n">
        <v>0.063719325</v>
      </c>
      <c r="X24" s="419" t="n">
        <v>0.0484371</v>
      </c>
      <c r="Y24" s="419" t="n">
        <v>0.00104449322935964</v>
      </c>
      <c r="Z24" s="420" t="n">
        <v>0</v>
      </c>
      <c r="AA24" s="420" t="n">
        <v>0</v>
      </c>
      <c r="AB24" s="420" t="n">
        <v>0</v>
      </c>
      <c r="AC24" s="420" t="n">
        <v>0</v>
      </c>
      <c r="AD24" s="420" t="n">
        <v>0</v>
      </c>
      <c r="AE24" s="419" t="n">
        <v>0.1731633062375</v>
      </c>
      <c r="AF24" s="419" t="n">
        <v>0.1801154850625</v>
      </c>
      <c r="AG24" s="419" t="n">
        <v>0.156784505</v>
      </c>
      <c r="AH24" s="419" t="n">
        <v>0.00272303794830703</v>
      </c>
      <c r="AI24" s="420" t="n">
        <v>0</v>
      </c>
      <c r="AJ24" s="420" t="n">
        <v>0</v>
      </c>
      <c r="AK24" s="420" t="n">
        <v>0</v>
      </c>
      <c r="AL24" s="420" t="n">
        <v>0</v>
      </c>
      <c r="AM24" s="420" t="n">
        <v>0</v>
      </c>
      <c r="AN24" s="419" t="n">
        <v>0.1794352</v>
      </c>
      <c r="AO24" s="419" t="n">
        <v>0.187504</v>
      </c>
      <c r="AP24" s="419" t="n">
        <v>0.164038</v>
      </c>
      <c r="AQ24" s="419" t="n">
        <v>0.00251840799263514</v>
      </c>
      <c r="AR24" s="420" t="n">
        <v>0</v>
      </c>
      <c r="AS24" s="420" t="n">
        <v>0</v>
      </c>
      <c r="AT24" s="420" t="n">
        <v>0</v>
      </c>
      <c r="AU24" s="420" t="n">
        <v>0</v>
      </c>
      <c r="AV24" s="420" t="n">
        <v>0</v>
      </c>
      <c r="AW24" s="419" t="n">
        <v>0.1794352</v>
      </c>
      <c r="AX24" s="419" t="n">
        <v>0.187504</v>
      </c>
      <c r="AY24" s="419" t="n">
        <v>0.164038</v>
      </c>
      <c r="AZ24" s="419" t="n">
        <v>0.00232850512101449</v>
      </c>
      <c r="BA24" s="420" t="n">
        <v>0</v>
      </c>
      <c r="BB24" s="420" t="n">
        <v>0</v>
      </c>
      <c r="BC24" s="420" t="n">
        <v>0</v>
      </c>
      <c r="BD24" s="420" t="n">
        <v>0</v>
      </c>
      <c r="BE24" s="420" t="n">
        <v>0</v>
      </c>
    </row>
    <row r="25" customFormat="false" ht="14.5" hidden="false" customHeight="false" outlineLevel="0" collapsed="false">
      <c r="B25" s="423" t="s">
        <v>826</v>
      </c>
      <c r="C25" s="393" t="s">
        <v>808</v>
      </c>
      <c r="D25" s="419" t="n">
        <v>0.000453906555397148</v>
      </c>
      <c r="E25" s="419" t="n">
        <v>3.96200956416511E-008</v>
      </c>
      <c r="F25" s="419" t="n">
        <v>0</v>
      </c>
      <c r="G25" s="419" t="n">
        <v>0.00119949051642157</v>
      </c>
      <c r="H25" s="420" t="n">
        <v>0</v>
      </c>
      <c r="I25" s="420" t="n">
        <v>3.00463404336333E-006</v>
      </c>
      <c r="J25" s="420" t="n">
        <v>1.3748762325047E-005</v>
      </c>
      <c r="K25" s="420" t="n">
        <v>0</v>
      </c>
      <c r="L25" s="420" t="n">
        <v>0</v>
      </c>
      <c r="M25" s="420" t="n">
        <v>0.000453906555397148</v>
      </c>
      <c r="N25" s="420" t="n">
        <v>3.96200956416511E-008</v>
      </c>
      <c r="O25" s="420" t="n">
        <v>0</v>
      </c>
      <c r="P25" s="420" t="n">
        <v>0.00119922319069403</v>
      </c>
      <c r="Q25" s="420" t="n">
        <v>0</v>
      </c>
      <c r="R25" s="420" t="n">
        <v>2.8130931972484E-006</v>
      </c>
      <c r="S25" s="420" t="n">
        <v>1.33499663401418E-005</v>
      </c>
      <c r="T25" s="420" t="n">
        <v>0</v>
      </c>
      <c r="U25" s="420" t="n">
        <v>0</v>
      </c>
      <c r="V25" s="419" t="n">
        <v>0.000453906555397148</v>
      </c>
      <c r="W25" s="419" t="n">
        <v>3.96200956416511E-008</v>
      </c>
      <c r="X25" s="419" t="n">
        <v>0</v>
      </c>
      <c r="Y25" s="419" t="n">
        <v>0.00126178869574089</v>
      </c>
      <c r="Z25" s="420" t="n">
        <v>0</v>
      </c>
      <c r="AA25" s="420" t="n">
        <v>2.67886145412675E-006</v>
      </c>
      <c r="AB25" s="420" t="n">
        <v>1.30043302411082E-005</v>
      </c>
      <c r="AC25" s="420" t="n">
        <v>0</v>
      </c>
      <c r="AD25" s="420" t="n">
        <v>0</v>
      </c>
      <c r="AE25" s="419" t="n">
        <v>0.000243246505210592</v>
      </c>
      <c r="AF25" s="419" t="n">
        <v>8.24274336283186E-009</v>
      </c>
      <c r="AG25" s="419" t="n">
        <v>0</v>
      </c>
      <c r="AH25" s="419" t="n">
        <v>0.000724292229787475</v>
      </c>
      <c r="AI25" s="420" t="n">
        <v>0</v>
      </c>
      <c r="AJ25" s="420" t="n">
        <v>1.11736979751251E-006</v>
      </c>
      <c r="AK25" s="420" t="n">
        <v>6.21789495577609E-006</v>
      </c>
      <c r="AL25" s="420" t="n">
        <v>0</v>
      </c>
      <c r="AM25" s="420" t="n">
        <v>0</v>
      </c>
      <c r="AN25" s="419" t="n">
        <v>0.000243246505210592</v>
      </c>
      <c r="AO25" s="419" t="n">
        <v>8.24274336283186E-009</v>
      </c>
      <c r="AP25" s="419" t="n">
        <v>0</v>
      </c>
      <c r="AQ25" s="419" t="n">
        <v>0.000647357964582834</v>
      </c>
      <c r="AR25" s="420" t="n">
        <v>0</v>
      </c>
      <c r="AS25" s="420" t="n">
        <v>1.10396451412669E-006</v>
      </c>
      <c r="AT25" s="420" t="n">
        <v>6.18326918263508E-006</v>
      </c>
      <c r="AU25" s="420" t="n">
        <v>0</v>
      </c>
      <c r="AV25" s="420" t="n">
        <v>0</v>
      </c>
      <c r="AW25" s="419" t="n">
        <v>0.000243246505210592</v>
      </c>
      <c r="AX25" s="419" t="n">
        <v>8.24274336283186E-009</v>
      </c>
      <c r="AY25" s="419" t="n">
        <v>0</v>
      </c>
      <c r="AZ25" s="419" t="n">
        <v>0.000598543341693974</v>
      </c>
      <c r="BA25" s="420" t="n">
        <v>0</v>
      </c>
      <c r="BB25" s="420" t="n">
        <v>1.10396451412669E-006</v>
      </c>
      <c r="BC25" s="420" t="n">
        <v>6.18326918263508E-006</v>
      </c>
      <c r="BD25" s="420" t="n">
        <v>0</v>
      </c>
      <c r="BE25" s="420" t="n">
        <v>0</v>
      </c>
    </row>
    <row r="26" customFormat="false" ht="14.5" hidden="false" customHeight="false" outlineLevel="0" collapsed="false">
      <c r="B26" s="424" t="s">
        <v>827</v>
      </c>
      <c r="C26" s="393" t="s">
        <v>808</v>
      </c>
      <c r="D26" s="425" t="n">
        <v>0</v>
      </c>
      <c r="E26" s="425" t="n">
        <v>0</v>
      </c>
      <c r="F26" s="425" t="n">
        <v>0</v>
      </c>
      <c r="G26" s="425" t="n">
        <v>0</v>
      </c>
      <c r="H26" s="425" t="n">
        <v>1.24221428571429</v>
      </c>
      <c r="I26" s="425" t="n">
        <v>0.258166125409441</v>
      </c>
      <c r="J26" s="425" t="n">
        <v>0.23584</v>
      </c>
      <c r="K26" s="425" t="n">
        <v>0</v>
      </c>
      <c r="L26" s="425" t="n">
        <v>0</v>
      </c>
      <c r="M26" s="425" t="n">
        <v>0</v>
      </c>
      <c r="N26" s="425" t="n">
        <v>0</v>
      </c>
      <c r="O26" s="425" t="n">
        <v>0</v>
      </c>
      <c r="P26" s="425" t="n">
        <v>0</v>
      </c>
      <c r="Q26" s="425" t="n">
        <v>1.17042059563855</v>
      </c>
      <c r="R26" s="425" t="n">
        <v>0.26012220719702</v>
      </c>
      <c r="S26" s="425" t="n">
        <v>0.237981418070503</v>
      </c>
      <c r="T26" s="425" t="n">
        <v>0</v>
      </c>
      <c r="U26" s="425" t="n">
        <v>0</v>
      </c>
      <c r="V26" s="425" t="n">
        <v>0</v>
      </c>
      <c r="W26" s="425" t="n">
        <v>0</v>
      </c>
      <c r="X26" s="425" t="n">
        <v>0</v>
      </c>
      <c r="Y26" s="425" t="n">
        <v>0</v>
      </c>
      <c r="Z26" s="425" t="n">
        <v>1.12831853050057</v>
      </c>
      <c r="AA26" s="425" t="n">
        <v>0.264864723924925</v>
      </c>
      <c r="AB26" s="425" t="n">
        <v>0.242965888376633</v>
      </c>
      <c r="AC26" s="425" t="n">
        <v>0</v>
      </c>
      <c r="AD26" s="425" t="n">
        <v>0</v>
      </c>
      <c r="AE26" s="425" t="n">
        <v>0</v>
      </c>
      <c r="AF26" s="425" t="n">
        <v>0</v>
      </c>
      <c r="AG26" s="425" t="n">
        <v>0</v>
      </c>
      <c r="AH26" s="425" t="n">
        <v>0</v>
      </c>
      <c r="AI26" s="425" t="n">
        <v>0.959265108633042</v>
      </c>
      <c r="AJ26" s="425" t="n">
        <v>0.269194218552352</v>
      </c>
      <c r="AK26" s="425" t="n">
        <v>0.248883733602177</v>
      </c>
      <c r="AL26" s="425" t="n">
        <v>0</v>
      </c>
      <c r="AM26" s="425" t="n">
        <v>0</v>
      </c>
      <c r="AN26" s="425" t="n">
        <v>0</v>
      </c>
      <c r="AO26" s="425" t="n">
        <v>0</v>
      </c>
      <c r="AP26" s="425" t="n">
        <v>0</v>
      </c>
      <c r="AQ26" s="425" t="n">
        <v>0</v>
      </c>
      <c r="AR26" s="425" t="n">
        <v>0.949964541998086</v>
      </c>
      <c r="AS26" s="425" t="n">
        <v>0.26940878455462</v>
      </c>
      <c r="AT26" s="425" t="n">
        <v>0.249187248879278</v>
      </c>
      <c r="AU26" s="425" t="n">
        <v>0</v>
      </c>
      <c r="AV26" s="425" t="n">
        <v>0</v>
      </c>
      <c r="AW26" s="425" t="n">
        <v>0</v>
      </c>
      <c r="AX26" s="425" t="n">
        <v>0</v>
      </c>
      <c r="AY26" s="425" t="n">
        <v>0</v>
      </c>
      <c r="AZ26" s="425" t="n">
        <v>0</v>
      </c>
      <c r="BA26" s="426" t="n">
        <v>0.93</v>
      </c>
      <c r="BB26" s="425" t="n">
        <v>0.26940878455462</v>
      </c>
      <c r="BC26" s="425" t="n">
        <v>0.249187248879278</v>
      </c>
      <c r="BD26" s="425" t="n">
        <v>0</v>
      </c>
      <c r="BE26" s="425" t="n">
        <v>0</v>
      </c>
      <c r="BG26" s="80" t="n">
        <f aca="false">SUM(AE26:AM26)</f>
        <v>1.47734306078757</v>
      </c>
      <c r="BH26" s="80" t="n">
        <f aca="false">SUM(AW26:BE26)</f>
        <v>1.4485960334339</v>
      </c>
    </row>
    <row r="27" customFormat="false" ht="14.5" hidden="false" customHeight="false" outlineLevel="0" collapsed="false">
      <c r="B27" s="427" t="s">
        <v>828</v>
      </c>
      <c r="C27" s="393" t="s">
        <v>808</v>
      </c>
      <c r="D27" s="428" t="n">
        <v>0</v>
      </c>
      <c r="E27" s="428" t="n">
        <v>0</v>
      </c>
      <c r="F27" s="428" t="n">
        <v>0</v>
      </c>
      <c r="G27" s="428" t="n">
        <v>0</v>
      </c>
      <c r="H27" s="429" t="n">
        <v>1.24221428571429</v>
      </c>
      <c r="I27" s="429" t="n">
        <v>0</v>
      </c>
      <c r="J27" s="429" t="n">
        <v>0</v>
      </c>
      <c r="K27" s="429" t="n">
        <v>0</v>
      </c>
      <c r="L27" s="429" t="n">
        <v>0</v>
      </c>
      <c r="M27" s="429" t="n">
        <v>0</v>
      </c>
      <c r="N27" s="429" t="n">
        <v>0</v>
      </c>
      <c r="O27" s="429" t="n">
        <v>0</v>
      </c>
      <c r="P27" s="429" t="n">
        <v>0</v>
      </c>
      <c r="Q27" s="429" t="n">
        <v>1.17042059563855</v>
      </c>
      <c r="R27" s="429" t="n">
        <v>0</v>
      </c>
      <c r="S27" s="429" t="n">
        <v>0</v>
      </c>
      <c r="T27" s="429" t="n">
        <v>0</v>
      </c>
      <c r="U27" s="429" t="n">
        <v>0</v>
      </c>
      <c r="V27" s="428" t="n">
        <v>0</v>
      </c>
      <c r="W27" s="428" t="n">
        <v>0</v>
      </c>
      <c r="X27" s="428" t="n">
        <v>0</v>
      </c>
      <c r="Y27" s="428" t="n">
        <v>0</v>
      </c>
      <c r="Z27" s="429" t="n">
        <v>1.12831853050057</v>
      </c>
      <c r="AA27" s="429" t="n">
        <v>0</v>
      </c>
      <c r="AB27" s="429" t="n">
        <v>0</v>
      </c>
      <c r="AC27" s="429" t="n">
        <v>0</v>
      </c>
      <c r="AD27" s="429" t="n">
        <v>0</v>
      </c>
      <c r="AE27" s="428" t="n">
        <v>0</v>
      </c>
      <c r="AF27" s="428" t="n">
        <v>0</v>
      </c>
      <c r="AG27" s="428" t="n">
        <v>0</v>
      </c>
      <c r="AH27" s="428" t="n">
        <v>0</v>
      </c>
      <c r="AI27" s="429" t="n">
        <v>0.959265108633042</v>
      </c>
      <c r="AJ27" s="429" t="n">
        <v>0</v>
      </c>
      <c r="AK27" s="429" t="n">
        <v>0</v>
      </c>
      <c r="AL27" s="429" t="n">
        <v>0</v>
      </c>
      <c r="AM27" s="429" t="n">
        <v>0</v>
      </c>
      <c r="AN27" s="428" t="n">
        <v>0</v>
      </c>
      <c r="AO27" s="428" t="n">
        <v>0</v>
      </c>
      <c r="AP27" s="428" t="n">
        <v>0</v>
      </c>
      <c r="AQ27" s="428" t="n">
        <v>0</v>
      </c>
      <c r="AR27" s="429" t="n">
        <v>0.949964541998086</v>
      </c>
      <c r="AS27" s="429" t="n">
        <v>0</v>
      </c>
      <c r="AT27" s="429" t="n">
        <v>0</v>
      </c>
      <c r="AU27" s="429" t="n">
        <v>0</v>
      </c>
      <c r="AV27" s="429" t="n">
        <v>0</v>
      </c>
      <c r="AW27" s="428" t="n">
        <v>0</v>
      </c>
      <c r="AX27" s="428" t="n">
        <v>0</v>
      </c>
      <c r="AY27" s="428" t="n">
        <v>0</v>
      </c>
      <c r="AZ27" s="428" t="n">
        <v>0</v>
      </c>
      <c r="BA27" s="430" t="n">
        <v>0.93</v>
      </c>
      <c r="BB27" s="429" t="n">
        <v>0</v>
      </c>
      <c r="BC27" s="429" t="n">
        <v>0</v>
      </c>
      <c r="BD27" s="429" t="n">
        <v>0</v>
      </c>
      <c r="BE27" s="429" t="n">
        <v>0</v>
      </c>
    </row>
    <row r="28" customFormat="false" ht="14.5" hidden="false" customHeight="false" outlineLevel="0" collapsed="false">
      <c r="B28" s="427" t="s">
        <v>829</v>
      </c>
      <c r="C28" s="393" t="s">
        <v>808</v>
      </c>
      <c r="D28" s="428" t="n">
        <v>0</v>
      </c>
      <c r="E28" s="428" t="n">
        <v>0</v>
      </c>
      <c r="F28" s="428" t="n">
        <v>0</v>
      </c>
      <c r="G28" s="428" t="n">
        <v>0</v>
      </c>
      <c r="H28" s="429" t="n">
        <v>0</v>
      </c>
      <c r="I28" s="429" t="n">
        <v>0</v>
      </c>
      <c r="J28" s="429" t="n">
        <v>0</v>
      </c>
      <c r="K28" s="429" t="n">
        <v>0</v>
      </c>
      <c r="L28" s="429" t="n">
        <v>0</v>
      </c>
      <c r="M28" s="429" t="n">
        <v>0</v>
      </c>
      <c r="N28" s="429" t="n">
        <v>0</v>
      </c>
      <c r="O28" s="429" t="n">
        <v>0</v>
      </c>
      <c r="P28" s="429" t="n">
        <v>0</v>
      </c>
      <c r="Q28" s="429" t="n">
        <v>0</v>
      </c>
      <c r="R28" s="429" t="n">
        <v>0</v>
      </c>
      <c r="S28" s="429" t="n">
        <v>0</v>
      </c>
      <c r="T28" s="429" t="n">
        <v>0</v>
      </c>
      <c r="U28" s="429" t="n">
        <v>0</v>
      </c>
      <c r="V28" s="428" t="n">
        <v>0</v>
      </c>
      <c r="W28" s="428" t="n">
        <v>0</v>
      </c>
      <c r="X28" s="428" t="n">
        <v>0</v>
      </c>
      <c r="Y28" s="428" t="n">
        <v>0</v>
      </c>
      <c r="Z28" s="429" t="n">
        <v>0</v>
      </c>
      <c r="AA28" s="429" t="n">
        <v>0</v>
      </c>
      <c r="AB28" s="429" t="n">
        <v>0</v>
      </c>
      <c r="AC28" s="429" t="n">
        <v>0</v>
      </c>
      <c r="AD28" s="429" t="n">
        <v>0</v>
      </c>
      <c r="AE28" s="428" t="n">
        <v>0</v>
      </c>
      <c r="AF28" s="428" t="n">
        <v>0</v>
      </c>
      <c r="AG28" s="428" t="n">
        <v>0</v>
      </c>
      <c r="AH28" s="428" t="n">
        <v>0</v>
      </c>
      <c r="AI28" s="429" t="n">
        <v>0</v>
      </c>
      <c r="AJ28" s="429" t="n">
        <v>0</v>
      </c>
      <c r="AK28" s="429" t="n">
        <v>0</v>
      </c>
      <c r="AL28" s="429" t="n">
        <v>0</v>
      </c>
      <c r="AM28" s="429" t="n">
        <v>0</v>
      </c>
      <c r="AN28" s="428" t="n">
        <v>0</v>
      </c>
      <c r="AO28" s="428" t="n">
        <v>0</v>
      </c>
      <c r="AP28" s="428" t="n">
        <v>0</v>
      </c>
      <c r="AQ28" s="428" t="n">
        <v>0</v>
      </c>
      <c r="AR28" s="429" t="n">
        <v>0</v>
      </c>
      <c r="AS28" s="429" t="n">
        <v>0</v>
      </c>
      <c r="AT28" s="429" t="n">
        <v>0</v>
      </c>
      <c r="AU28" s="429" t="n">
        <v>0</v>
      </c>
      <c r="AV28" s="429" t="n">
        <v>0</v>
      </c>
      <c r="AW28" s="428" t="n">
        <v>0</v>
      </c>
      <c r="AX28" s="428" t="n">
        <v>0</v>
      </c>
      <c r="AY28" s="428" t="n">
        <v>0</v>
      </c>
      <c r="AZ28" s="428" t="n">
        <v>0</v>
      </c>
      <c r="BA28" s="429" t="n">
        <v>0</v>
      </c>
      <c r="BB28" s="429" t="n">
        <v>0</v>
      </c>
      <c r="BC28" s="429" t="n">
        <v>0</v>
      </c>
      <c r="BD28" s="429" t="n">
        <v>0</v>
      </c>
      <c r="BE28" s="429" t="n">
        <v>0</v>
      </c>
    </row>
    <row r="29" customFormat="false" ht="14.5" hidden="false" customHeight="false" outlineLevel="0" collapsed="false">
      <c r="B29" s="431" t="s">
        <v>830</v>
      </c>
      <c r="C29" s="393" t="s">
        <v>808</v>
      </c>
      <c r="D29" s="428" t="n">
        <v>0</v>
      </c>
      <c r="E29" s="428" t="n">
        <v>0</v>
      </c>
      <c r="F29" s="428" t="n">
        <v>0</v>
      </c>
      <c r="G29" s="428" t="n">
        <v>0</v>
      </c>
      <c r="H29" s="429" t="n">
        <v>0</v>
      </c>
      <c r="I29" s="429" t="n">
        <v>0.0298698464760243</v>
      </c>
      <c r="J29" s="429" t="n">
        <v>0.018425</v>
      </c>
      <c r="K29" s="429" t="n">
        <v>0</v>
      </c>
      <c r="L29" s="429" t="n">
        <v>0</v>
      </c>
      <c r="M29" s="429" t="n">
        <v>0</v>
      </c>
      <c r="N29" s="429" t="n">
        <v>0</v>
      </c>
      <c r="O29" s="429" t="n">
        <v>0</v>
      </c>
      <c r="P29" s="429" t="n">
        <v>0</v>
      </c>
      <c r="Q29" s="429" t="n">
        <v>0</v>
      </c>
      <c r="R29" s="429" t="n">
        <v>0.0291002830078423</v>
      </c>
      <c r="S29" s="429" t="n">
        <v>0.0179503003087032</v>
      </c>
      <c r="T29" s="429" t="n">
        <v>0</v>
      </c>
      <c r="U29" s="429" t="n">
        <v>0</v>
      </c>
      <c r="V29" s="428" t="n">
        <v>0</v>
      </c>
      <c r="W29" s="428" t="n">
        <v>0</v>
      </c>
      <c r="X29" s="428" t="n">
        <v>0</v>
      </c>
      <c r="Y29" s="428" t="n">
        <v>0</v>
      </c>
      <c r="Z29" s="429" t="n">
        <v>0</v>
      </c>
      <c r="AA29" s="429" t="n">
        <v>0.0278440052799749</v>
      </c>
      <c r="AB29" s="429" t="n">
        <v>0.0171753744263577</v>
      </c>
      <c r="AC29" s="429" t="n">
        <v>0</v>
      </c>
      <c r="AD29" s="429" t="n">
        <v>0</v>
      </c>
      <c r="AE29" s="428" t="n">
        <v>0</v>
      </c>
      <c r="AF29" s="428" t="n">
        <v>0</v>
      </c>
      <c r="AG29" s="428" t="n">
        <v>0</v>
      </c>
      <c r="AH29" s="428" t="n">
        <v>0</v>
      </c>
      <c r="AI29" s="429" t="n">
        <v>0</v>
      </c>
      <c r="AJ29" s="429" t="n">
        <v>0.0227485149199284</v>
      </c>
      <c r="AK29" s="429" t="n">
        <v>0.0140322578402308</v>
      </c>
      <c r="AL29" s="429" t="n">
        <v>0</v>
      </c>
      <c r="AM29" s="429" t="n">
        <v>0</v>
      </c>
      <c r="AN29" s="428" t="n">
        <v>0</v>
      </c>
      <c r="AO29" s="428" t="n">
        <v>0</v>
      </c>
      <c r="AP29" s="428" t="n">
        <v>0</v>
      </c>
      <c r="AQ29" s="428" t="n">
        <v>0</v>
      </c>
      <c r="AR29" s="429" t="n">
        <v>0</v>
      </c>
      <c r="AS29" s="429" t="n">
        <v>0.0224667840520973</v>
      </c>
      <c r="AT29" s="429" t="n">
        <v>0.0138584741803798</v>
      </c>
      <c r="AU29" s="429" t="n">
        <v>0</v>
      </c>
      <c r="AV29" s="429" t="n">
        <v>0</v>
      </c>
      <c r="AW29" s="428" t="n">
        <v>0</v>
      </c>
      <c r="AX29" s="428" t="n">
        <v>0</v>
      </c>
      <c r="AY29" s="428" t="n">
        <v>0</v>
      </c>
      <c r="AZ29" s="428" t="n">
        <v>0</v>
      </c>
      <c r="BA29" s="429" t="n">
        <v>0</v>
      </c>
      <c r="BB29" s="429" t="n">
        <v>0.0224667840520973</v>
      </c>
      <c r="BC29" s="429" t="n">
        <v>0.0138584741803798</v>
      </c>
      <c r="BD29" s="429" t="n">
        <v>0</v>
      </c>
      <c r="BE29" s="429" t="n">
        <v>0</v>
      </c>
    </row>
    <row r="30" customFormat="false" ht="14.5" hidden="false" customHeight="false" outlineLevel="0" collapsed="false">
      <c r="B30" s="431" t="s">
        <v>831</v>
      </c>
      <c r="C30" s="393" t="s">
        <v>808</v>
      </c>
      <c r="D30" s="428" t="n">
        <v>0</v>
      </c>
      <c r="E30" s="428" t="n">
        <v>0</v>
      </c>
      <c r="F30" s="428" t="n">
        <v>0</v>
      </c>
      <c r="G30" s="428" t="n">
        <v>0</v>
      </c>
      <c r="H30" s="429" t="n">
        <v>0</v>
      </c>
      <c r="I30" s="429" t="n">
        <v>0.168556585981368</v>
      </c>
      <c r="J30" s="429" t="n">
        <v>0.08107</v>
      </c>
      <c r="K30" s="429" t="n">
        <v>0</v>
      </c>
      <c r="L30" s="429" t="n">
        <v>0</v>
      </c>
      <c r="M30" s="429" t="n">
        <v>0</v>
      </c>
      <c r="N30" s="429" t="n">
        <v>0</v>
      </c>
      <c r="O30" s="429" t="n">
        <v>0</v>
      </c>
      <c r="P30" s="429" t="n">
        <v>0</v>
      </c>
      <c r="Q30" s="429" t="n">
        <v>0</v>
      </c>
      <c r="R30" s="429" t="n">
        <v>0.170566539228038</v>
      </c>
      <c r="S30" s="429" t="n">
        <v>0.0820367193290538</v>
      </c>
      <c r="T30" s="429" t="n">
        <v>0</v>
      </c>
      <c r="U30" s="429" t="n">
        <v>0</v>
      </c>
      <c r="V30" s="428" t="n">
        <v>0</v>
      </c>
      <c r="W30" s="428" t="n">
        <v>0</v>
      </c>
      <c r="X30" s="428" t="n">
        <v>0</v>
      </c>
      <c r="Y30" s="428" t="n">
        <v>0</v>
      </c>
      <c r="Z30" s="429" t="n">
        <v>0</v>
      </c>
      <c r="AA30" s="429" t="n">
        <v>0.17498998798455</v>
      </c>
      <c r="AB30" s="429" t="n">
        <v>0.0841642481265939</v>
      </c>
      <c r="AC30" s="429" t="n">
        <v>0</v>
      </c>
      <c r="AD30" s="429" t="n">
        <v>0</v>
      </c>
      <c r="AE30" s="428" t="n">
        <v>0</v>
      </c>
      <c r="AF30" s="428" t="n">
        <v>0</v>
      </c>
      <c r="AG30" s="428" t="n">
        <v>0</v>
      </c>
      <c r="AH30" s="428" t="n">
        <v>0</v>
      </c>
      <c r="AI30" s="429" t="n">
        <v>0</v>
      </c>
      <c r="AJ30" s="429" t="n">
        <v>0.181938415669235</v>
      </c>
      <c r="AK30" s="429" t="n">
        <v>0.0875062061350439</v>
      </c>
      <c r="AL30" s="429" t="n">
        <v>0</v>
      </c>
      <c r="AM30" s="429" t="n">
        <v>0</v>
      </c>
      <c r="AN30" s="428" t="n">
        <v>0</v>
      </c>
      <c r="AO30" s="428" t="n">
        <v>0</v>
      </c>
      <c r="AP30" s="428" t="n">
        <v>0</v>
      </c>
      <c r="AQ30" s="428" t="n">
        <v>0</v>
      </c>
      <c r="AR30" s="429" t="n">
        <v>0</v>
      </c>
      <c r="AS30" s="429" t="n">
        <v>0.182304282476623</v>
      </c>
      <c r="AT30" s="429" t="n">
        <v>0.0876821756582892</v>
      </c>
      <c r="AU30" s="429" t="n">
        <v>0</v>
      </c>
      <c r="AV30" s="429" t="n">
        <v>0</v>
      </c>
      <c r="AW30" s="428" t="n">
        <v>0</v>
      </c>
      <c r="AX30" s="428" t="n">
        <v>0</v>
      </c>
      <c r="AY30" s="428" t="n">
        <v>0</v>
      </c>
      <c r="AZ30" s="428" t="n">
        <v>0</v>
      </c>
      <c r="BA30" s="429" t="n">
        <v>0</v>
      </c>
      <c r="BB30" s="429" t="n">
        <v>0.182304282476623</v>
      </c>
      <c r="BC30" s="429" t="n">
        <v>0.0876821756582892</v>
      </c>
      <c r="BD30" s="429" t="n">
        <v>0</v>
      </c>
      <c r="BE30" s="429" t="n">
        <v>0</v>
      </c>
    </row>
    <row r="31" customFormat="false" ht="14.5" hidden="false" customHeight="false" outlineLevel="0" collapsed="false">
      <c r="B31" s="431" t="s">
        <v>832</v>
      </c>
      <c r="C31" s="393" t="s">
        <v>808</v>
      </c>
      <c r="D31" s="428" t="n">
        <v>0</v>
      </c>
      <c r="E31" s="428" t="n">
        <v>0</v>
      </c>
      <c r="F31" s="428" t="n">
        <v>0</v>
      </c>
      <c r="G31" s="428" t="n">
        <v>0</v>
      </c>
      <c r="H31" s="429" t="n">
        <v>0</v>
      </c>
      <c r="I31" s="429" t="n">
        <v>0.0298698464760243</v>
      </c>
      <c r="J31" s="429" t="n">
        <v>0.099495</v>
      </c>
      <c r="K31" s="429" t="n">
        <v>0</v>
      </c>
      <c r="L31" s="429" t="n">
        <v>0</v>
      </c>
      <c r="M31" s="429" t="n">
        <v>0</v>
      </c>
      <c r="N31" s="429" t="n">
        <v>0</v>
      </c>
      <c r="O31" s="429" t="n">
        <v>0</v>
      </c>
      <c r="P31" s="429" t="n">
        <v>0</v>
      </c>
      <c r="Q31" s="429" t="n">
        <v>0</v>
      </c>
      <c r="R31" s="429" t="n">
        <v>0.0302353030556222</v>
      </c>
      <c r="S31" s="429" t="n">
        <v>0.100712318020576</v>
      </c>
      <c r="T31" s="429" t="n">
        <v>0</v>
      </c>
      <c r="U31" s="429" t="n">
        <v>0</v>
      </c>
      <c r="V31" s="428" t="n">
        <v>0</v>
      </c>
      <c r="W31" s="428" t="n">
        <v>0</v>
      </c>
      <c r="X31" s="428" t="n">
        <v>0</v>
      </c>
      <c r="Y31" s="428" t="n">
        <v>0</v>
      </c>
      <c r="Z31" s="429" t="n">
        <v>0</v>
      </c>
      <c r="AA31" s="429" t="n">
        <v>0.0310403446769926</v>
      </c>
      <c r="AB31" s="429" t="n">
        <v>0.103393872349371</v>
      </c>
      <c r="AC31" s="429" t="n">
        <v>0</v>
      </c>
      <c r="AD31" s="429" t="n">
        <v>0</v>
      </c>
      <c r="AE31" s="428" t="n">
        <v>0</v>
      </c>
      <c r="AF31" s="428" t="n">
        <v>0</v>
      </c>
      <c r="AG31" s="428" t="n">
        <v>0</v>
      </c>
      <c r="AH31" s="428" t="n">
        <v>0</v>
      </c>
      <c r="AI31" s="429" t="n">
        <v>0</v>
      </c>
      <c r="AJ31" s="429" t="n">
        <v>0.0323104321379275</v>
      </c>
      <c r="AK31" s="429" t="n">
        <v>0.107624471660524</v>
      </c>
      <c r="AL31" s="429" t="n">
        <v>0</v>
      </c>
      <c r="AM31" s="429" t="n">
        <v>0</v>
      </c>
      <c r="AN31" s="428" t="n">
        <v>0</v>
      </c>
      <c r="AO31" s="428" t="n">
        <v>0</v>
      </c>
      <c r="AP31" s="428" t="n">
        <v>0</v>
      </c>
      <c r="AQ31" s="428" t="n">
        <v>0</v>
      </c>
      <c r="AR31" s="429" t="n">
        <v>0</v>
      </c>
      <c r="AS31" s="429" t="n">
        <v>0.032377385853551</v>
      </c>
      <c r="AT31" s="429" t="n">
        <v>0.107847491217766</v>
      </c>
      <c r="AU31" s="429" t="n">
        <v>0</v>
      </c>
      <c r="AV31" s="429" t="n">
        <v>0</v>
      </c>
      <c r="AW31" s="428" t="n">
        <v>0</v>
      </c>
      <c r="AX31" s="428" t="n">
        <v>0</v>
      </c>
      <c r="AY31" s="428" t="n">
        <v>0</v>
      </c>
      <c r="AZ31" s="428" t="n">
        <v>0</v>
      </c>
      <c r="BA31" s="429" t="n">
        <v>0</v>
      </c>
      <c r="BB31" s="429" t="n">
        <v>0.032377385853551</v>
      </c>
      <c r="BC31" s="429" t="n">
        <v>0.107847491217766</v>
      </c>
      <c r="BD31" s="429" t="n">
        <v>0</v>
      </c>
      <c r="BE31" s="429" t="n">
        <v>0</v>
      </c>
    </row>
    <row r="32" customFormat="false" ht="14.5" hidden="false" customHeight="false" outlineLevel="0" collapsed="false">
      <c r="B32" s="432" t="s">
        <v>833</v>
      </c>
      <c r="C32" s="393" t="s">
        <v>808</v>
      </c>
      <c r="D32" s="428" t="n">
        <v>0</v>
      </c>
      <c r="E32" s="428" t="n">
        <v>0</v>
      </c>
      <c r="F32" s="428" t="n">
        <v>0</v>
      </c>
      <c r="G32" s="428" t="n">
        <v>0</v>
      </c>
      <c r="H32" s="429" t="n">
        <v>0</v>
      </c>
      <c r="I32" s="429" t="n">
        <v>0.0298698464760243</v>
      </c>
      <c r="J32" s="429" t="n">
        <v>0.03685</v>
      </c>
      <c r="K32" s="429" t="n">
        <v>0</v>
      </c>
      <c r="L32" s="429" t="n">
        <v>0</v>
      </c>
      <c r="M32" s="429" t="n">
        <v>0</v>
      </c>
      <c r="N32" s="429" t="n">
        <v>0</v>
      </c>
      <c r="O32" s="429" t="n">
        <v>0</v>
      </c>
      <c r="P32" s="429" t="n">
        <v>0</v>
      </c>
      <c r="Q32" s="429" t="n">
        <v>0</v>
      </c>
      <c r="R32" s="429" t="n">
        <v>0.0302200819055174</v>
      </c>
      <c r="S32" s="429" t="n">
        <v>0.0372820804121702</v>
      </c>
      <c r="T32" s="429" t="n">
        <v>0</v>
      </c>
      <c r="U32" s="429" t="n">
        <v>0</v>
      </c>
      <c r="V32" s="428" t="n">
        <v>0</v>
      </c>
      <c r="W32" s="428" t="n">
        <v>0</v>
      </c>
      <c r="X32" s="428" t="n">
        <v>0</v>
      </c>
      <c r="Y32" s="428" t="n">
        <v>0</v>
      </c>
      <c r="Z32" s="429" t="n">
        <v>0</v>
      </c>
      <c r="AA32" s="429" t="n">
        <v>0.0309903859834085</v>
      </c>
      <c r="AB32" s="429" t="n">
        <v>0.0382323934743103</v>
      </c>
      <c r="AC32" s="429" t="n">
        <v>0</v>
      </c>
      <c r="AD32" s="429" t="n">
        <v>0</v>
      </c>
      <c r="AE32" s="428" t="n">
        <v>0</v>
      </c>
      <c r="AF32" s="428" t="n">
        <v>0</v>
      </c>
      <c r="AG32" s="428" t="n">
        <v>0</v>
      </c>
      <c r="AH32" s="428" t="n">
        <v>0</v>
      </c>
      <c r="AI32" s="429" t="n">
        <v>0</v>
      </c>
      <c r="AJ32" s="429" t="n">
        <v>0.0321968558252618</v>
      </c>
      <c r="AK32" s="429" t="n">
        <v>0.0397207979663783</v>
      </c>
      <c r="AL32" s="429" t="n">
        <v>0</v>
      </c>
      <c r="AM32" s="429" t="n">
        <v>0</v>
      </c>
      <c r="AN32" s="428" t="n">
        <v>0</v>
      </c>
      <c r="AO32" s="428" t="n">
        <v>0</v>
      </c>
      <c r="AP32" s="428" t="n">
        <v>0</v>
      </c>
      <c r="AQ32" s="428" t="n">
        <v>0</v>
      </c>
      <c r="AR32" s="429" t="n">
        <v>0</v>
      </c>
      <c r="AS32" s="429" t="n">
        <v>0.0322603321723487</v>
      </c>
      <c r="AT32" s="429" t="n">
        <v>0.0397991078228427</v>
      </c>
      <c r="AU32" s="429" t="n">
        <v>0</v>
      </c>
      <c r="AV32" s="429" t="n">
        <v>0</v>
      </c>
      <c r="AW32" s="428" t="n">
        <v>0</v>
      </c>
      <c r="AX32" s="428" t="n">
        <v>0</v>
      </c>
      <c r="AY32" s="428" t="n">
        <v>0</v>
      </c>
      <c r="AZ32" s="428" t="n">
        <v>0</v>
      </c>
      <c r="BA32" s="429" t="n">
        <v>0</v>
      </c>
      <c r="BB32" s="429" t="n">
        <v>0.0322603321723487</v>
      </c>
      <c r="BC32" s="429" t="n">
        <v>0.0397991078228427</v>
      </c>
      <c r="BD32" s="429" t="n">
        <v>0</v>
      </c>
      <c r="BE32" s="429" t="n">
        <v>0</v>
      </c>
    </row>
    <row r="33" customFormat="false" ht="14.5" hidden="false" customHeight="false" outlineLevel="0" collapsed="false">
      <c r="B33" s="433" t="s">
        <v>834</v>
      </c>
      <c r="C33" s="393" t="s">
        <v>808</v>
      </c>
      <c r="D33" s="434" t="n">
        <v>0</v>
      </c>
      <c r="E33" s="434" t="n">
        <v>0</v>
      </c>
      <c r="F33" s="434" t="n">
        <v>0</v>
      </c>
      <c r="G33" s="434" t="n">
        <v>0</v>
      </c>
      <c r="H33" s="434" t="n">
        <v>0</v>
      </c>
      <c r="I33" s="434" t="n">
        <v>0</v>
      </c>
      <c r="J33" s="434" t="n">
        <v>0</v>
      </c>
      <c r="K33" s="434" t="n">
        <v>3.623</v>
      </c>
      <c r="L33" s="434" t="n">
        <v>0</v>
      </c>
      <c r="M33" s="434" t="n">
        <v>0</v>
      </c>
      <c r="N33" s="434" t="n">
        <v>0</v>
      </c>
      <c r="O33" s="434" t="n">
        <v>0</v>
      </c>
      <c r="P33" s="434" t="n">
        <v>0</v>
      </c>
      <c r="Q33" s="434" t="n">
        <v>0</v>
      </c>
      <c r="R33" s="434" t="n">
        <v>0</v>
      </c>
      <c r="S33" s="434" t="n">
        <v>0</v>
      </c>
      <c r="T33" s="434" t="n">
        <v>3.66906735653313</v>
      </c>
      <c r="U33" s="434" t="n">
        <v>0</v>
      </c>
      <c r="V33" s="434" t="n">
        <v>0</v>
      </c>
      <c r="W33" s="434" t="n">
        <v>0</v>
      </c>
      <c r="X33" s="434" t="n">
        <v>0</v>
      </c>
      <c r="Y33" s="434" t="n">
        <v>0</v>
      </c>
      <c r="Z33" s="434" t="n">
        <v>0</v>
      </c>
      <c r="AA33" s="434" t="n">
        <v>0</v>
      </c>
      <c r="AB33" s="434" t="n">
        <v>0</v>
      </c>
      <c r="AC33" s="434" t="n">
        <v>3.84642448134344</v>
      </c>
      <c r="AD33" s="434" t="n">
        <v>0</v>
      </c>
      <c r="AE33" s="434" t="n">
        <v>0</v>
      </c>
      <c r="AF33" s="434" t="n">
        <v>0</v>
      </c>
      <c r="AG33" s="434" t="n">
        <v>0</v>
      </c>
      <c r="AH33" s="434" t="n">
        <v>0</v>
      </c>
      <c r="AI33" s="434" t="n">
        <v>0</v>
      </c>
      <c r="AJ33" s="434" t="n">
        <v>0</v>
      </c>
      <c r="AK33" s="434" t="n">
        <v>0</v>
      </c>
      <c r="AL33" s="434" t="n">
        <v>4.2331290574027</v>
      </c>
      <c r="AM33" s="434" t="n">
        <v>0</v>
      </c>
      <c r="AN33" s="434" t="n">
        <v>0</v>
      </c>
      <c r="AO33" s="434" t="n">
        <v>0</v>
      </c>
      <c r="AP33" s="434" t="n">
        <v>0</v>
      </c>
      <c r="AQ33" s="434" t="n">
        <v>0</v>
      </c>
      <c r="AR33" s="434" t="n">
        <v>0</v>
      </c>
      <c r="AS33" s="434" t="n">
        <v>0</v>
      </c>
      <c r="AT33" s="434" t="n">
        <v>0</v>
      </c>
      <c r="AU33" s="434" t="n">
        <v>4.25394736101086</v>
      </c>
      <c r="AV33" s="434" t="n">
        <v>0</v>
      </c>
      <c r="AW33" s="434" t="n">
        <v>0</v>
      </c>
      <c r="AX33" s="434" t="n">
        <v>0</v>
      </c>
      <c r="AY33" s="434" t="n">
        <v>0</v>
      </c>
      <c r="AZ33" s="434" t="n">
        <v>0</v>
      </c>
      <c r="BA33" s="434" t="n">
        <v>0</v>
      </c>
      <c r="BB33" s="434" t="n">
        <v>0</v>
      </c>
      <c r="BC33" s="434" t="n">
        <v>0</v>
      </c>
      <c r="BD33" s="434" t="n">
        <v>4.25394736101086</v>
      </c>
      <c r="BE33" s="434" t="n">
        <v>0</v>
      </c>
      <c r="BG33" s="80" t="n">
        <f aca="false">SUM(AE33:AM33)</f>
        <v>4.2331290574027</v>
      </c>
      <c r="BH33" s="80" t="n">
        <f aca="false">SUM(AW33:BE33)</f>
        <v>4.25394736101086</v>
      </c>
    </row>
    <row r="34" customFormat="false" ht="14.5" hidden="false" customHeight="false" outlineLevel="0" collapsed="false">
      <c r="B34" s="435" t="s">
        <v>835</v>
      </c>
      <c r="C34" s="393" t="s">
        <v>808</v>
      </c>
      <c r="D34" s="436" t="n">
        <v>0</v>
      </c>
      <c r="E34" s="436" t="n">
        <v>0</v>
      </c>
      <c r="F34" s="436" t="n">
        <v>0</v>
      </c>
      <c r="G34" s="436" t="n">
        <v>0</v>
      </c>
      <c r="H34" s="437" t="n">
        <v>0</v>
      </c>
      <c r="I34" s="437" t="n">
        <v>0</v>
      </c>
      <c r="J34" s="437" t="n">
        <v>0</v>
      </c>
      <c r="K34" s="437" t="n">
        <v>0.776</v>
      </c>
      <c r="L34" s="437" t="n">
        <v>0</v>
      </c>
      <c r="M34" s="437" t="n">
        <v>0</v>
      </c>
      <c r="N34" s="437" t="n">
        <v>0</v>
      </c>
      <c r="O34" s="437" t="n">
        <v>0</v>
      </c>
      <c r="P34" s="437" t="n">
        <v>0</v>
      </c>
      <c r="Q34" s="437" t="n">
        <v>0</v>
      </c>
      <c r="R34" s="437" t="n">
        <v>0</v>
      </c>
      <c r="S34" s="437" t="n">
        <v>0</v>
      </c>
      <c r="T34" s="437" t="n">
        <v>0.762308799080475</v>
      </c>
      <c r="U34" s="437" t="n">
        <v>0</v>
      </c>
      <c r="V34" s="436" t="n">
        <v>0</v>
      </c>
      <c r="W34" s="436" t="n">
        <v>0</v>
      </c>
      <c r="X34" s="436" t="n">
        <v>0</v>
      </c>
      <c r="Y34" s="436" t="n">
        <v>0</v>
      </c>
      <c r="Z34" s="437" t="n">
        <v>0</v>
      </c>
      <c r="AA34" s="437" t="n">
        <v>0</v>
      </c>
      <c r="AB34" s="437" t="n">
        <v>0</v>
      </c>
      <c r="AC34" s="437" t="n">
        <v>0.696586595016499</v>
      </c>
      <c r="AD34" s="437" t="n">
        <v>0</v>
      </c>
      <c r="AE34" s="436" t="n">
        <v>0</v>
      </c>
      <c r="AF34" s="436" t="n">
        <v>0</v>
      </c>
      <c r="AG34" s="436" t="n">
        <v>0</v>
      </c>
      <c r="AH34" s="436" t="n">
        <v>0</v>
      </c>
      <c r="AI34" s="437" t="n">
        <v>0</v>
      </c>
      <c r="AJ34" s="437" t="n">
        <v>0</v>
      </c>
      <c r="AK34" s="437" t="n">
        <v>0</v>
      </c>
      <c r="AL34" s="437" t="n">
        <v>0.551619687452256</v>
      </c>
      <c r="AM34" s="437" t="n">
        <v>0</v>
      </c>
      <c r="AN34" s="436" t="n">
        <v>0</v>
      </c>
      <c r="AO34" s="436" t="n">
        <v>0</v>
      </c>
      <c r="AP34" s="436" t="n">
        <v>0</v>
      </c>
      <c r="AQ34" s="436" t="n">
        <v>0</v>
      </c>
      <c r="AR34" s="437" t="n">
        <v>0</v>
      </c>
      <c r="AS34" s="437" t="n">
        <v>0</v>
      </c>
      <c r="AT34" s="437" t="n">
        <v>0</v>
      </c>
      <c r="AU34" s="437" t="n">
        <v>0.543642602956098</v>
      </c>
      <c r="AV34" s="437" t="n">
        <v>0</v>
      </c>
      <c r="AW34" s="436" t="n">
        <v>0</v>
      </c>
      <c r="AX34" s="436" t="n">
        <v>0</v>
      </c>
      <c r="AY34" s="436" t="n">
        <v>0</v>
      </c>
      <c r="AZ34" s="436" t="n">
        <v>0</v>
      </c>
      <c r="BA34" s="437" t="n">
        <v>0</v>
      </c>
      <c r="BB34" s="437" t="n">
        <v>0</v>
      </c>
      <c r="BC34" s="437" t="n">
        <v>0</v>
      </c>
      <c r="BD34" s="437" t="n">
        <v>0.543642602956098</v>
      </c>
      <c r="BE34" s="437" t="n">
        <v>0</v>
      </c>
    </row>
    <row r="35" customFormat="false" ht="14.5" hidden="false" customHeight="false" outlineLevel="0" collapsed="false">
      <c r="B35" s="435" t="s">
        <v>836</v>
      </c>
      <c r="C35" s="393" t="s">
        <v>808</v>
      </c>
      <c r="D35" s="436" t="n">
        <v>0</v>
      </c>
      <c r="E35" s="436" t="n">
        <v>0</v>
      </c>
      <c r="F35" s="436" t="n">
        <v>0</v>
      </c>
      <c r="G35" s="436" t="n">
        <v>0</v>
      </c>
      <c r="H35" s="437" t="n">
        <v>0</v>
      </c>
      <c r="I35" s="437" t="n">
        <v>0</v>
      </c>
      <c r="J35" s="437" t="n">
        <v>0</v>
      </c>
      <c r="K35" s="437" t="n">
        <v>2.449</v>
      </c>
      <c r="L35" s="437" t="n">
        <v>0</v>
      </c>
      <c r="M35" s="437" t="n">
        <v>0</v>
      </c>
      <c r="N35" s="437" t="n">
        <v>0</v>
      </c>
      <c r="O35" s="437" t="n">
        <v>0</v>
      </c>
      <c r="P35" s="437" t="n">
        <v>0</v>
      </c>
      <c r="Q35" s="437" t="n">
        <v>0</v>
      </c>
      <c r="R35" s="437" t="n">
        <v>0</v>
      </c>
      <c r="S35" s="437" t="n">
        <v>0</v>
      </c>
      <c r="T35" s="437" t="n">
        <v>2.51564778096904</v>
      </c>
      <c r="U35" s="437" t="n">
        <v>0</v>
      </c>
      <c r="V35" s="436" t="n">
        <v>0</v>
      </c>
      <c r="W35" s="436" t="n">
        <v>0</v>
      </c>
      <c r="X35" s="436" t="n">
        <v>0</v>
      </c>
      <c r="Y35" s="436" t="n">
        <v>0</v>
      </c>
      <c r="Z35" s="437" t="n">
        <v>0</v>
      </c>
      <c r="AA35" s="437" t="n">
        <v>0</v>
      </c>
      <c r="AB35" s="437" t="n">
        <v>0</v>
      </c>
      <c r="AC35" s="437" t="n">
        <v>2.79217928740317</v>
      </c>
      <c r="AD35" s="437" t="n">
        <v>0</v>
      </c>
      <c r="AE35" s="436" t="n">
        <v>0</v>
      </c>
      <c r="AF35" s="436" t="n">
        <v>0</v>
      </c>
      <c r="AG35" s="436" t="n">
        <v>0</v>
      </c>
      <c r="AH35" s="436" t="n">
        <v>0</v>
      </c>
      <c r="AI35" s="437" t="n">
        <v>0</v>
      </c>
      <c r="AJ35" s="437" t="n">
        <v>0</v>
      </c>
      <c r="AK35" s="437" t="n">
        <v>0</v>
      </c>
      <c r="AL35" s="437" t="n">
        <v>3.39791679226792</v>
      </c>
      <c r="AM35" s="437" t="n">
        <v>0</v>
      </c>
      <c r="AN35" s="436" t="n">
        <v>0</v>
      </c>
      <c r="AO35" s="436" t="n">
        <v>0</v>
      </c>
      <c r="AP35" s="436" t="n">
        <v>0</v>
      </c>
      <c r="AQ35" s="436" t="n">
        <v>0</v>
      </c>
      <c r="AR35" s="437" t="n">
        <v>0</v>
      </c>
      <c r="AS35" s="437" t="n">
        <v>0</v>
      </c>
      <c r="AT35" s="437" t="n">
        <v>0</v>
      </c>
      <c r="AU35" s="437" t="n">
        <v>3.43079423402857</v>
      </c>
      <c r="AV35" s="437" t="n">
        <v>0</v>
      </c>
      <c r="AW35" s="436" t="n">
        <v>0</v>
      </c>
      <c r="AX35" s="436" t="n">
        <v>0</v>
      </c>
      <c r="AY35" s="436" t="n">
        <v>0</v>
      </c>
      <c r="AZ35" s="436" t="n">
        <v>0</v>
      </c>
      <c r="BA35" s="437" t="n">
        <v>0</v>
      </c>
      <c r="BB35" s="437" t="n">
        <v>0</v>
      </c>
      <c r="BC35" s="437" t="n">
        <v>0</v>
      </c>
      <c r="BD35" s="437" t="n">
        <v>3.43079423402857</v>
      </c>
      <c r="BE35" s="437" t="n">
        <v>0</v>
      </c>
    </row>
    <row r="36" customFormat="false" ht="14.5" hidden="false" customHeight="false" outlineLevel="0" collapsed="false">
      <c r="B36" s="435" t="s">
        <v>837</v>
      </c>
      <c r="C36" s="393" t="s">
        <v>808</v>
      </c>
      <c r="D36" s="436" t="n">
        <v>0</v>
      </c>
      <c r="E36" s="436" t="n">
        <v>0</v>
      </c>
      <c r="F36" s="436" t="n">
        <v>0</v>
      </c>
      <c r="G36" s="436" t="n">
        <v>0</v>
      </c>
      <c r="H36" s="437" t="n">
        <v>0</v>
      </c>
      <c r="I36" s="437" t="n">
        <v>0</v>
      </c>
      <c r="J36" s="437" t="n">
        <v>0</v>
      </c>
      <c r="K36" s="437" t="n">
        <v>0.398</v>
      </c>
      <c r="L36" s="437" t="n">
        <v>0</v>
      </c>
      <c r="M36" s="437" t="n">
        <v>0</v>
      </c>
      <c r="N36" s="437" t="n">
        <v>0</v>
      </c>
      <c r="O36" s="437" t="n">
        <v>0</v>
      </c>
      <c r="P36" s="437" t="n">
        <v>0</v>
      </c>
      <c r="Q36" s="437" t="n">
        <v>0</v>
      </c>
      <c r="R36" s="437" t="n">
        <v>0</v>
      </c>
      <c r="S36" s="437" t="n">
        <v>0</v>
      </c>
      <c r="T36" s="437" t="n">
        <v>0.391110776483615</v>
      </c>
      <c r="U36" s="437" t="n">
        <v>0</v>
      </c>
      <c r="V36" s="436" t="n">
        <v>0</v>
      </c>
      <c r="W36" s="436" t="n">
        <v>0</v>
      </c>
      <c r="X36" s="436" t="n">
        <v>0</v>
      </c>
      <c r="Y36" s="436" t="n">
        <v>0</v>
      </c>
      <c r="Z36" s="437" t="n">
        <v>0</v>
      </c>
      <c r="AA36" s="437" t="n">
        <v>0</v>
      </c>
      <c r="AB36" s="437" t="n">
        <v>0</v>
      </c>
      <c r="AC36" s="437" t="n">
        <v>0.357658598923767</v>
      </c>
      <c r="AD36" s="437" t="n">
        <v>0</v>
      </c>
      <c r="AE36" s="436" t="n">
        <v>0</v>
      </c>
      <c r="AF36" s="436" t="n">
        <v>0</v>
      </c>
      <c r="AG36" s="436" t="n">
        <v>0</v>
      </c>
      <c r="AH36" s="436" t="n">
        <v>0</v>
      </c>
      <c r="AI36" s="437" t="n">
        <v>0</v>
      </c>
      <c r="AJ36" s="437" t="n">
        <v>0</v>
      </c>
      <c r="AK36" s="437" t="n">
        <v>0</v>
      </c>
      <c r="AL36" s="437" t="n">
        <v>0.28359257768253</v>
      </c>
      <c r="AM36" s="437" t="n">
        <v>0</v>
      </c>
      <c r="AN36" s="436" t="n">
        <v>0</v>
      </c>
      <c r="AO36" s="436" t="n">
        <v>0</v>
      </c>
      <c r="AP36" s="436" t="n">
        <v>0</v>
      </c>
      <c r="AQ36" s="436" t="n">
        <v>0</v>
      </c>
      <c r="AR36" s="437" t="n">
        <v>0</v>
      </c>
      <c r="AS36" s="437" t="n">
        <v>0</v>
      </c>
      <c r="AT36" s="437" t="n">
        <v>0</v>
      </c>
      <c r="AU36" s="437" t="n">
        <v>0.27951052402619</v>
      </c>
      <c r="AV36" s="437" t="n">
        <v>0</v>
      </c>
      <c r="AW36" s="436" t="n">
        <v>0</v>
      </c>
      <c r="AX36" s="436" t="n">
        <v>0</v>
      </c>
      <c r="AY36" s="436" t="n">
        <v>0</v>
      </c>
      <c r="AZ36" s="436" t="n">
        <v>0</v>
      </c>
      <c r="BA36" s="437" t="n">
        <v>0</v>
      </c>
      <c r="BB36" s="437" t="n">
        <v>0</v>
      </c>
      <c r="BC36" s="437" t="n">
        <v>0</v>
      </c>
      <c r="BD36" s="437" t="n">
        <v>0.27951052402619</v>
      </c>
      <c r="BE36" s="437" t="n">
        <v>0</v>
      </c>
    </row>
    <row r="37" customFormat="false" ht="14.5" hidden="false" customHeight="false" outlineLevel="0" collapsed="false">
      <c r="B37" s="433" t="s">
        <v>838</v>
      </c>
      <c r="C37" s="393" t="s">
        <v>808</v>
      </c>
      <c r="D37" s="434" t="n">
        <v>0</v>
      </c>
      <c r="E37" s="434" t="n">
        <v>0</v>
      </c>
      <c r="F37" s="434" t="n">
        <v>0</v>
      </c>
      <c r="G37" s="434" t="n">
        <v>0</v>
      </c>
      <c r="H37" s="434" t="n">
        <v>0</v>
      </c>
      <c r="I37" s="434" t="n">
        <v>0</v>
      </c>
      <c r="J37" s="434" t="n">
        <v>0</v>
      </c>
      <c r="K37" s="434" t="n">
        <v>0</v>
      </c>
      <c r="L37" s="434" t="n">
        <v>1.914</v>
      </c>
      <c r="M37" s="434" t="n">
        <v>0</v>
      </c>
      <c r="N37" s="434" t="n">
        <v>0</v>
      </c>
      <c r="O37" s="434" t="n">
        <v>0</v>
      </c>
      <c r="P37" s="434" t="n">
        <v>0</v>
      </c>
      <c r="Q37" s="434" t="n">
        <v>0</v>
      </c>
      <c r="R37" s="434" t="n">
        <v>0</v>
      </c>
      <c r="S37" s="434" t="n">
        <v>0</v>
      </c>
      <c r="T37" s="434" t="n">
        <v>0</v>
      </c>
      <c r="U37" s="434" t="n">
        <v>1.91313191308594</v>
      </c>
      <c r="V37" s="434" t="n">
        <v>0</v>
      </c>
      <c r="W37" s="434" t="n">
        <v>0</v>
      </c>
      <c r="X37" s="434" t="n">
        <v>0</v>
      </c>
      <c r="Y37" s="434" t="n">
        <v>0</v>
      </c>
      <c r="Z37" s="434" t="n">
        <v>0</v>
      </c>
      <c r="AA37" s="434" t="n">
        <v>0</v>
      </c>
      <c r="AB37" s="434" t="n">
        <v>0</v>
      </c>
      <c r="AC37" s="434" t="n">
        <v>0</v>
      </c>
      <c r="AD37" s="434" t="n">
        <v>1.9863492</v>
      </c>
      <c r="AE37" s="434" t="n">
        <v>0</v>
      </c>
      <c r="AF37" s="434" t="n">
        <v>0</v>
      </c>
      <c r="AG37" s="434" t="n">
        <v>0</v>
      </c>
      <c r="AH37" s="434" t="n">
        <v>0</v>
      </c>
      <c r="AI37" s="434" t="n">
        <v>0</v>
      </c>
      <c r="AJ37" s="434" t="n">
        <v>0</v>
      </c>
      <c r="AK37" s="434" t="n">
        <v>0</v>
      </c>
      <c r="AL37" s="434" t="n">
        <v>0</v>
      </c>
      <c r="AM37" s="434" t="n">
        <v>2.06435427</v>
      </c>
      <c r="AN37" s="434" t="n">
        <v>0</v>
      </c>
      <c r="AO37" s="434" t="n">
        <v>0</v>
      </c>
      <c r="AP37" s="434" t="n">
        <v>0</v>
      </c>
      <c r="AQ37" s="434" t="n">
        <v>0</v>
      </c>
      <c r="AR37" s="434" t="n">
        <v>0</v>
      </c>
      <c r="AS37" s="434" t="n">
        <v>0</v>
      </c>
      <c r="AT37" s="434" t="n">
        <v>0</v>
      </c>
      <c r="AU37" s="434" t="n">
        <v>0</v>
      </c>
      <c r="AV37" s="434" t="n">
        <v>2.0684598</v>
      </c>
      <c r="AW37" s="434" t="n">
        <v>0</v>
      </c>
      <c r="AX37" s="434" t="n">
        <v>0</v>
      </c>
      <c r="AY37" s="434" t="n">
        <v>0</v>
      </c>
      <c r="AZ37" s="434" t="n">
        <v>0</v>
      </c>
      <c r="BA37" s="434" t="n">
        <v>0</v>
      </c>
      <c r="BB37" s="434" t="n">
        <v>0</v>
      </c>
      <c r="BC37" s="434" t="n">
        <v>0</v>
      </c>
      <c r="BD37" s="434" t="n">
        <v>0</v>
      </c>
      <c r="BE37" s="434" t="n">
        <v>2.0684598</v>
      </c>
      <c r="BG37" s="80" t="n">
        <f aca="false">SUM(AE37:AM37)</f>
        <v>2.06435427</v>
      </c>
      <c r="BH37" s="80" t="n">
        <f aca="false">SUM(AW37:BE37)</f>
        <v>2.0684598</v>
      </c>
    </row>
    <row r="38" customFormat="false" ht="14.5" hidden="false" customHeight="false" outlineLevel="0" collapsed="false">
      <c r="B38" s="435" t="s">
        <v>839</v>
      </c>
      <c r="C38" s="393" t="s">
        <v>808</v>
      </c>
      <c r="D38" s="436" t="n">
        <v>0</v>
      </c>
      <c r="E38" s="436" t="n">
        <v>0</v>
      </c>
      <c r="F38" s="436" t="n">
        <v>0</v>
      </c>
      <c r="G38" s="436" t="n">
        <v>0</v>
      </c>
      <c r="H38" s="437" t="n">
        <v>0</v>
      </c>
      <c r="I38" s="437" t="n">
        <v>0</v>
      </c>
      <c r="J38" s="437" t="n">
        <v>0</v>
      </c>
      <c r="K38" s="437" t="n">
        <v>0</v>
      </c>
      <c r="L38" s="437" t="n">
        <v>1.914</v>
      </c>
      <c r="M38" s="437" t="n">
        <v>0</v>
      </c>
      <c r="N38" s="437" t="n">
        <v>0</v>
      </c>
      <c r="O38" s="437" t="n">
        <v>0</v>
      </c>
      <c r="P38" s="437" t="n">
        <v>0</v>
      </c>
      <c r="Q38" s="437" t="n">
        <v>0</v>
      </c>
      <c r="R38" s="437" t="n">
        <v>0</v>
      </c>
      <c r="S38" s="437" t="n">
        <v>0</v>
      </c>
      <c r="T38" s="437" t="n">
        <v>0</v>
      </c>
      <c r="U38" s="437" t="n">
        <v>1.91313191308594</v>
      </c>
      <c r="V38" s="436" t="n">
        <v>0</v>
      </c>
      <c r="W38" s="436" t="n">
        <v>0</v>
      </c>
      <c r="X38" s="436" t="n">
        <v>0</v>
      </c>
      <c r="Y38" s="436" t="n">
        <v>0</v>
      </c>
      <c r="Z38" s="437" t="n">
        <v>0</v>
      </c>
      <c r="AA38" s="437" t="n">
        <v>0</v>
      </c>
      <c r="AB38" s="437" t="n">
        <v>0</v>
      </c>
      <c r="AC38" s="437" t="n">
        <v>0</v>
      </c>
      <c r="AD38" s="437" t="n">
        <v>1.9863492</v>
      </c>
      <c r="AE38" s="436" t="n">
        <v>0</v>
      </c>
      <c r="AF38" s="436" t="n">
        <v>0</v>
      </c>
      <c r="AG38" s="436" t="n">
        <v>0</v>
      </c>
      <c r="AH38" s="436" t="n">
        <v>0</v>
      </c>
      <c r="AI38" s="437" t="n">
        <v>0</v>
      </c>
      <c r="AJ38" s="437" t="n">
        <v>0</v>
      </c>
      <c r="AK38" s="437" t="n">
        <v>0</v>
      </c>
      <c r="AL38" s="437" t="n">
        <v>0</v>
      </c>
      <c r="AM38" s="437" t="n">
        <v>2.06435427</v>
      </c>
      <c r="AN38" s="436" t="n">
        <v>0</v>
      </c>
      <c r="AO38" s="436" t="n">
        <v>0</v>
      </c>
      <c r="AP38" s="436" t="n">
        <v>0</v>
      </c>
      <c r="AQ38" s="436" t="n">
        <v>0</v>
      </c>
      <c r="AR38" s="437" t="n">
        <v>0</v>
      </c>
      <c r="AS38" s="437" t="n">
        <v>0</v>
      </c>
      <c r="AT38" s="437" t="n">
        <v>0</v>
      </c>
      <c r="AU38" s="437" t="n">
        <v>0</v>
      </c>
      <c r="AV38" s="437" t="n">
        <v>2.0684598</v>
      </c>
      <c r="AW38" s="436" t="n">
        <v>0</v>
      </c>
      <c r="AX38" s="436" t="n">
        <v>0</v>
      </c>
      <c r="AY38" s="436" t="n">
        <v>0</v>
      </c>
      <c r="AZ38" s="436" t="n">
        <v>0</v>
      </c>
      <c r="BA38" s="437" t="n">
        <v>0</v>
      </c>
      <c r="BB38" s="437" t="n">
        <v>0</v>
      </c>
      <c r="BC38" s="437" t="n">
        <v>0</v>
      </c>
      <c r="BD38" s="437" t="n">
        <v>0</v>
      </c>
      <c r="BE38" s="437" t="n">
        <v>2.0684598</v>
      </c>
    </row>
    <row r="39" customFormat="false" ht="14.5" hidden="false" customHeight="false" outlineLevel="0" collapsed="false">
      <c r="B39" s="438" t="s">
        <v>840</v>
      </c>
      <c r="C39" s="393" t="s">
        <v>808</v>
      </c>
      <c r="D39" s="439" t="n">
        <v>0</v>
      </c>
      <c r="E39" s="439" t="n">
        <v>0</v>
      </c>
      <c r="F39" s="439" t="n">
        <v>0</v>
      </c>
      <c r="G39" s="439" t="n">
        <v>0</v>
      </c>
      <c r="H39" s="439" t="n">
        <v>0.0675361763445246</v>
      </c>
      <c r="I39" s="439" t="n">
        <v>0.148793856446338</v>
      </c>
      <c r="J39" s="439" t="n">
        <v>0.369198282681999</v>
      </c>
      <c r="K39" s="439" t="n">
        <v>1.073</v>
      </c>
      <c r="L39" s="439" t="n">
        <v>1.84576923076923</v>
      </c>
      <c r="M39" s="439" t="n">
        <v>0</v>
      </c>
      <c r="N39" s="439" t="n">
        <v>0</v>
      </c>
      <c r="O39" s="439" t="n">
        <v>0</v>
      </c>
      <c r="P39" s="439" t="n">
        <v>0</v>
      </c>
      <c r="Q39" s="439" t="n">
        <v>0.0624960048496502</v>
      </c>
      <c r="R39" s="439" t="n">
        <v>0.147477019546717</v>
      </c>
      <c r="S39" s="439" t="n">
        <v>0.379956855686438</v>
      </c>
      <c r="T39" s="439" t="n">
        <v>1.14451073231212</v>
      </c>
      <c r="U39" s="439" t="n">
        <v>1.8583902928745</v>
      </c>
      <c r="V39" s="439" t="n">
        <v>0</v>
      </c>
      <c r="W39" s="439" t="n">
        <v>0</v>
      </c>
      <c r="X39" s="439" t="n">
        <v>0</v>
      </c>
      <c r="Y39" s="439" t="n">
        <v>0</v>
      </c>
      <c r="Z39" s="439" t="n">
        <v>0.0589317808376607</v>
      </c>
      <c r="AA39" s="439" t="n">
        <v>0.140688397445515</v>
      </c>
      <c r="AB39" s="439" t="n">
        <v>0.337741094700831</v>
      </c>
      <c r="AC39" s="439" t="n">
        <v>1.2816952828184</v>
      </c>
      <c r="AD39" s="439" t="n">
        <v>1.89570715140168</v>
      </c>
      <c r="AE39" s="439" t="n">
        <v>0</v>
      </c>
      <c r="AF39" s="439" t="n">
        <v>0</v>
      </c>
      <c r="AG39" s="439" t="n">
        <v>0</v>
      </c>
      <c r="AH39" s="439" t="n">
        <v>0</v>
      </c>
      <c r="AI39" s="439" t="n">
        <v>0.0462731746648659</v>
      </c>
      <c r="AJ39" s="439" t="n">
        <v>0.128294692272221</v>
      </c>
      <c r="AK39" s="439" t="n">
        <v>0.275648861364032</v>
      </c>
      <c r="AL39" s="439" t="n">
        <v>1.61452489333203</v>
      </c>
      <c r="AM39" s="439" t="n">
        <v>1.94448987714758</v>
      </c>
      <c r="AN39" s="439" t="n">
        <v>0</v>
      </c>
      <c r="AO39" s="439" t="n">
        <v>0</v>
      </c>
      <c r="AP39" s="439" t="n">
        <v>0</v>
      </c>
      <c r="AQ39" s="439" t="n">
        <v>0</v>
      </c>
      <c r="AR39" s="439" t="n">
        <v>0.0455664103247762</v>
      </c>
      <c r="AS39" s="439" t="n">
        <v>0.135235156515814</v>
      </c>
      <c r="AT39" s="439" t="n">
        <v>0.27448163391697</v>
      </c>
      <c r="AU39" s="439" t="n">
        <v>1.34582586899679</v>
      </c>
      <c r="AV39" s="439" t="n">
        <v>1.94703465127256</v>
      </c>
      <c r="AW39" s="439" t="n">
        <v>0</v>
      </c>
      <c r="AX39" s="439" t="n">
        <v>0</v>
      </c>
      <c r="AY39" s="439" t="n">
        <v>0</v>
      </c>
      <c r="AZ39" s="439" t="n">
        <v>0</v>
      </c>
      <c r="BA39" s="439" t="n">
        <v>0.0365559116110205</v>
      </c>
      <c r="BB39" s="439" t="n">
        <v>0.135235156515814</v>
      </c>
      <c r="BC39" s="439" t="n">
        <v>0.27448163391697</v>
      </c>
      <c r="BD39" s="440" t="n">
        <v>1.62</v>
      </c>
      <c r="BE39" s="439" t="n">
        <v>1.94703465127256</v>
      </c>
      <c r="BG39" s="80" t="n">
        <f aca="false">SUM(AE39:AM39)</f>
        <v>4.00923149878073</v>
      </c>
      <c r="BH39" s="80" t="n">
        <f aca="false">SUM(AW39:BE39)</f>
        <v>4.01330735331636</v>
      </c>
    </row>
    <row r="40" customFormat="false" ht="14.5" hidden="false" customHeight="false" outlineLevel="0" collapsed="false">
      <c r="B40" s="441" t="s">
        <v>125</v>
      </c>
      <c r="C40" s="393" t="s">
        <v>808</v>
      </c>
      <c r="D40" s="442" t="n">
        <v>0</v>
      </c>
      <c r="E40" s="442" t="n">
        <v>0</v>
      </c>
      <c r="F40" s="442" t="n">
        <v>0</v>
      </c>
      <c r="G40" s="442" t="n">
        <v>0</v>
      </c>
      <c r="H40" s="443" t="n">
        <v>0</v>
      </c>
      <c r="I40" s="443" t="n">
        <v>0</v>
      </c>
      <c r="J40" s="443" t="n">
        <v>0</v>
      </c>
      <c r="K40" s="443" t="n">
        <v>0</v>
      </c>
      <c r="L40" s="443" t="n">
        <v>0</v>
      </c>
      <c r="M40" s="443" t="n">
        <v>0</v>
      </c>
      <c r="N40" s="443" t="n">
        <v>0</v>
      </c>
      <c r="O40" s="443" t="n">
        <v>0</v>
      </c>
      <c r="P40" s="443" t="n">
        <v>0</v>
      </c>
      <c r="Q40" s="443" t="n">
        <v>0</v>
      </c>
      <c r="R40" s="443" t="n">
        <v>0</v>
      </c>
      <c r="S40" s="443" t="n">
        <v>0</v>
      </c>
      <c r="T40" s="443" t="n">
        <v>0</v>
      </c>
      <c r="U40" s="443" t="n">
        <v>0</v>
      </c>
      <c r="V40" s="442" t="n">
        <v>0</v>
      </c>
      <c r="W40" s="442" t="n">
        <v>0</v>
      </c>
      <c r="X40" s="442" t="n">
        <v>0</v>
      </c>
      <c r="Y40" s="442" t="n">
        <v>0</v>
      </c>
      <c r="Z40" s="443" t="n">
        <v>0</v>
      </c>
      <c r="AA40" s="443" t="n">
        <v>0</v>
      </c>
      <c r="AB40" s="443" t="n">
        <v>0</v>
      </c>
      <c r="AC40" s="443" t="n">
        <v>0</v>
      </c>
      <c r="AD40" s="443" t="n">
        <v>0</v>
      </c>
      <c r="AE40" s="442" t="n">
        <v>0</v>
      </c>
      <c r="AF40" s="442" t="n">
        <v>0</v>
      </c>
      <c r="AG40" s="442" t="n">
        <v>0</v>
      </c>
      <c r="AH40" s="442" t="n">
        <v>0</v>
      </c>
      <c r="AI40" s="443" t="n">
        <v>0</v>
      </c>
      <c r="AJ40" s="443" t="n">
        <v>0</v>
      </c>
      <c r="AK40" s="443" t="n">
        <v>0</v>
      </c>
      <c r="AL40" s="443" t="n">
        <v>0</v>
      </c>
      <c r="AM40" s="443" t="n">
        <v>0</v>
      </c>
      <c r="AN40" s="442" t="n">
        <v>0</v>
      </c>
      <c r="AO40" s="442" t="n">
        <v>0</v>
      </c>
      <c r="AP40" s="442" t="n">
        <v>0</v>
      </c>
      <c r="AQ40" s="442" t="n">
        <v>0</v>
      </c>
      <c r="AR40" s="443" t="n">
        <v>0</v>
      </c>
      <c r="AS40" s="443" t="n">
        <v>0</v>
      </c>
      <c r="AT40" s="443" t="n">
        <v>0</v>
      </c>
      <c r="AU40" s="443" t="n">
        <v>0</v>
      </c>
      <c r="AV40" s="443" t="n">
        <v>0</v>
      </c>
      <c r="AW40" s="442" t="n">
        <v>0</v>
      </c>
      <c r="AX40" s="442" t="n">
        <v>0</v>
      </c>
      <c r="AY40" s="442" t="n">
        <v>0</v>
      </c>
      <c r="AZ40" s="442" t="n">
        <v>0</v>
      </c>
      <c r="BA40" s="443" t="n">
        <v>0</v>
      </c>
      <c r="BB40" s="443" t="n">
        <v>0</v>
      </c>
      <c r="BC40" s="443" t="n">
        <v>0</v>
      </c>
      <c r="BD40" s="443" t="n">
        <v>0</v>
      </c>
      <c r="BE40" s="443" t="n">
        <v>0</v>
      </c>
    </row>
    <row r="41" customFormat="false" ht="14.5" hidden="false" customHeight="false" outlineLevel="0" collapsed="false">
      <c r="B41" s="441" t="s">
        <v>51</v>
      </c>
      <c r="C41" s="393" t="s">
        <v>808</v>
      </c>
      <c r="D41" s="442" t="n">
        <v>0</v>
      </c>
      <c r="E41" s="442" t="n">
        <v>0</v>
      </c>
      <c r="F41" s="442" t="n">
        <v>0</v>
      </c>
      <c r="G41" s="442" t="n">
        <v>0</v>
      </c>
      <c r="H41" s="443" t="n">
        <v>0</v>
      </c>
      <c r="I41" s="443" t="n">
        <v>0</v>
      </c>
      <c r="J41" s="443" t="n">
        <v>0.03685</v>
      </c>
      <c r="K41" s="443" t="n">
        <v>0</v>
      </c>
      <c r="L41" s="443" t="n">
        <v>0</v>
      </c>
      <c r="M41" s="443" t="n">
        <v>0</v>
      </c>
      <c r="N41" s="443" t="n">
        <v>0</v>
      </c>
      <c r="O41" s="443" t="n">
        <v>0</v>
      </c>
      <c r="P41" s="443" t="n">
        <v>0</v>
      </c>
      <c r="Q41" s="443" t="n">
        <v>0</v>
      </c>
      <c r="R41" s="443" t="n">
        <v>0</v>
      </c>
      <c r="S41" s="443" t="n">
        <v>0.0364645101661773</v>
      </c>
      <c r="T41" s="443" t="n">
        <v>0</v>
      </c>
      <c r="U41" s="443" t="n">
        <v>0</v>
      </c>
      <c r="V41" s="442" t="n">
        <v>0</v>
      </c>
      <c r="W41" s="442" t="n">
        <v>0</v>
      </c>
      <c r="X41" s="442" t="n">
        <v>0</v>
      </c>
      <c r="Y41" s="442" t="n">
        <v>0</v>
      </c>
      <c r="Z41" s="443" t="n">
        <v>0</v>
      </c>
      <c r="AA41" s="443" t="n">
        <v>0</v>
      </c>
      <c r="AB41" s="443" t="n">
        <v>0.0400669068722823</v>
      </c>
      <c r="AC41" s="443" t="n">
        <v>0</v>
      </c>
      <c r="AD41" s="443" t="n">
        <v>0</v>
      </c>
      <c r="AE41" s="442" t="n">
        <v>0</v>
      </c>
      <c r="AF41" s="442" t="n">
        <v>0</v>
      </c>
      <c r="AG41" s="442" t="n">
        <v>0</v>
      </c>
      <c r="AH41" s="442" t="n">
        <v>0</v>
      </c>
      <c r="AI41" s="443" t="n">
        <v>0</v>
      </c>
      <c r="AJ41" s="443" t="n">
        <v>0</v>
      </c>
      <c r="AK41" s="443" t="n">
        <v>0.0459580379087224</v>
      </c>
      <c r="AL41" s="443" t="n">
        <v>0</v>
      </c>
      <c r="AM41" s="443" t="n">
        <v>0</v>
      </c>
      <c r="AN41" s="442" t="n">
        <v>0</v>
      </c>
      <c r="AO41" s="442" t="n">
        <v>0</v>
      </c>
      <c r="AP41" s="442" t="n">
        <v>0</v>
      </c>
      <c r="AQ41" s="442" t="n">
        <v>0</v>
      </c>
      <c r="AR41" s="443" t="n">
        <v>0</v>
      </c>
      <c r="AS41" s="443" t="n">
        <v>0</v>
      </c>
      <c r="AT41" s="443" t="n">
        <v>0.0432182334324289</v>
      </c>
      <c r="AU41" s="443" t="n">
        <v>0</v>
      </c>
      <c r="AV41" s="443" t="n">
        <v>0</v>
      </c>
      <c r="AW41" s="442" t="n">
        <v>0</v>
      </c>
      <c r="AX41" s="442" t="n">
        <v>0</v>
      </c>
      <c r="AY41" s="442" t="n">
        <v>0</v>
      </c>
      <c r="AZ41" s="442" t="n">
        <v>0</v>
      </c>
      <c r="BA41" s="443" t="n">
        <v>0</v>
      </c>
      <c r="BB41" s="443" t="n">
        <v>0</v>
      </c>
      <c r="BC41" s="443" t="n">
        <v>0.0432182334324289</v>
      </c>
      <c r="BD41" s="443" t="n">
        <v>0</v>
      </c>
      <c r="BE41" s="443" t="n">
        <v>0</v>
      </c>
    </row>
    <row r="42" customFormat="false" ht="14.5" hidden="false" customHeight="false" outlineLevel="0" collapsed="false">
      <c r="B42" s="444" t="s">
        <v>723</v>
      </c>
      <c r="C42" s="393" t="s">
        <v>808</v>
      </c>
      <c r="D42" s="442" t="n">
        <v>0</v>
      </c>
      <c r="E42" s="442" t="n">
        <v>0</v>
      </c>
      <c r="F42" s="442" t="n">
        <v>0</v>
      </c>
      <c r="G42" s="442" t="n">
        <v>0</v>
      </c>
      <c r="H42" s="443" t="n">
        <v>0</v>
      </c>
      <c r="I42" s="443" t="n">
        <v>0</v>
      </c>
      <c r="J42" s="443" t="n">
        <v>0</v>
      </c>
      <c r="K42" s="443" t="n">
        <v>0</v>
      </c>
      <c r="L42" s="443" t="n">
        <v>0</v>
      </c>
      <c r="M42" s="443" t="n">
        <v>0</v>
      </c>
      <c r="N42" s="443" t="n">
        <v>0</v>
      </c>
      <c r="O42" s="443" t="n">
        <v>0</v>
      </c>
      <c r="P42" s="443" t="n">
        <v>0</v>
      </c>
      <c r="Q42" s="443" t="n">
        <v>0</v>
      </c>
      <c r="R42" s="443" t="n">
        <v>0</v>
      </c>
      <c r="S42" s="443" t="n">
        <v>0</v>
      </c>
      <c r="T42" s="443" t="n">
        <v>0</v>
      </c>
      <c r="U42" s="443" t="n">
        <v>0</v>
      </c>
      <c r="V42" s="442" t="n">
        <v>0</v>
      </c>
      <c r="W42" s="442" t="n">
        <v>0</v>
      </c>
      <c r="X42" s="442" t="n">
        <v>0</v>
      </c>
      <c r="Y42" s="442" t="n">
        <v>0</v>
      </c>
      <c r="Z42" s="443" t="n">
        <v>0</v>
      </c>
      <c r="AA42" s="443" t="n">
        <v>0</v>
      </c>
      <c r="AB42" s="443" t="n">
        <v>0</v>
      </c>
      <c r="AC42" s="443" t="n">
        <v>0</v>
      </c>
      <c r="AD42" s="443" t="n">
        <v>0</v>
      </c>
      <c r="AE42" s="442" t="n">
        <v>0</v>
      </c>
      <c r="AF42" s="442" t="n">
        <v>0</v>
      </c>
      <c r="AG42" s="442" t="n">
        <v>0</v>
      </c>
      <c r="AH42" s="442" t="n">
        <v>0</v>
      </c>
      <c r="AI42" s="443" t="n">
        <v>0</v>
      </c>
      <c r="AJ42" s="443" t="n">
        <v>0</v>
      </c>
      <c r="AK42" s="443" t="n">
        <v>0</v>
      </c>
      <c r="AL42" s="443" t="n">
        <v>0</v>
      </c>
      <c r="AM42" s="443" t="n">
        <v>0</v>
      </c>
      <c r="AN42" s="442" t="n">
        <v>0</v>
      </c>
      <c r="AO42" s="442" t="n">
        <v>0</v>
      </c>
      <c r="AP42" s="442" t="n">
        <v>0</v>
      </c>
      <c r="AQ42" s="442" t="n">
        <v>0</v>
      </c>
      <c r="AR42" s="443" t="n">
        <v>0</v>
      </c>
      <c r="AS42" s="443" t="n">
        <v>0</v>
      </c>
      <c r="AT42" s="443" t="n">
        <v>0</v>
      </c>
      <c r="AU42" s="443" t="n">
        <v>0</v>
      </c>
      <c r="AV42" s="443" t="n">
        <v>0</v>
      </c>
      <c r="AW42" s="442" t="n">
        <v>0</v>
      </c>
      <c r="AX42" s="442" t="n">
        <v>0</v>
      </c>
      <c r="AY42" s="442" t="n">
        <v>0</v>
      </c>
      <c r="AZ42" s="442" t="n">
        <v>0</v>
      </c>
      <c r="BA42" s="443" t="n">
        <v>0</v>
      </c>
      <c r="BB42" s="443" t="n">
        <v>0</v>
      </c>
      <c r="BC42" s="443" t="n">
        <v>0</v>
      </c>
      <c r="BD42" s="443" t="n">
        <v>0</v>
      </c>
      <c r="BE42" s="443" t="n">
        <v>0</v>
      </c>
    </row>
    <row r="43" customFormat="false" ht="14.5" hidden="false" customHeight="false" outlineLevel="0" collapsed="false">
      <c r="B43" s="444" t="s">
        <v>841</v>
      </c>
      <c r="C43" s="393" t="s">
        <v>808</v>
      </c>
      <c r="D43" s="442" t="n">
        <v>0</v>
      </c>
      <c r="E43" s="442" t="n">
        <v>0</v>
      </c>
      <c r="F43" s="442" t="n">
        <v>0</v>
      </c>
      <c r="G43" s="442" t="n">
        <v>0</v>
      </c>
      <c r="H43" s="443" t="n">
        <v>0</v>
      </c>
      <c r="I43" s="443" t="n">
        <v>0</v>
      </c>
      <c r="J43" s="443" t="n">
        <v>0</v>
      </c>
      <c r="K43" s="443" t="n">
        <v>0</v>
      </c>
      <c r="L43" s="443" t="n">
        <v>0</v>
      </c>
      <c r="M43" s="443" t="n">
        <v>0</v>
      </c>
      <c r="N43" s="443" t="n">
        <v>0</v>
      </c>
      <c r="O43" s="443" t="n">
        <v>0</v>
      </c>
      <c r="P43" s="443" t="n">
        <v>0</v>
      </c>
      <c r="Q43" s="443" t="n">
        <v>0</v>
      </c>
      <c r="R43" s="443" t="n">
        <v>0</v>
      </c>
      <c r="S43" s="443" t="n">
        <v>0</v>
      </c>
      <c r="T43" s="443" t="n">
        <v>0</v>
      </c>
      <c r="U43" s="443" t="n">
        <v>0</v>
      </c>
      <c r="V43" s="442" t="n">
        <v>0</v>
      </c>
      <c r="W43" s="442" t="n">
        <v>0</v>
      </c>
      <c r="X43" s="442" t="n">
        <v>0</v>
      </c>
      <c r="Y43" s="442" t="n">
        <v>0</v>
      </c>
      <c r="Z43" s="443" t="n">
        <v>0</v>
      </c>
      <c r="AA43" s="443" t="n">
        <v>0</v>
      </c>
      <c r="AB43" s="443" t="n">
        <v>0</v>
      </c>
      <c r="AC43" s="443" t="n">
        <v>0</v>
      </c>
      <c r="AD43" s="443" t="n">
        <v>0</v>
      </c>
      <c r="AE43" s="442" t="n">
        <v>0</v>
      </c>
      <c r="AF43" s="442" t="n">
        <v>0</v>
      </c>
      <c r="AG43" s="442" t="n">
        <v>0</v>
      </c>
      <c r="AH43" s="442" t="n">
        <v>0</v>
      </c>
      <c r="AI43" s="443" t="n">
        <v>0</v>
      </c>
      <c r="AJ43" s="443" t="n">
        <v>0</v>
      </c>
      <c r="AK43" s="443" t="n">
        <v>0</v>
      </c>
      <c r="AL43" s="443" t="n">
        <v>0</v>
      </c>
      <c r="AM43" s="443" t="n">
        <v>0</v>
      </c>
      <c r="AN43" s="442" t="n">
        <v>0</v>
      </c>
      <c r="AO43" s="442" t="n">
        <v>0</v>
      </c>
      <c r="AP43" s="442" t="n">
        <v>0</v>
      </c>
      <c r="AQ43" s="442" t="n">
        <v>0</v>
      </c>
      <c r="AR43" s="443" t="n">
        <v>0</v>
      </c>
      <c r="AS43" s="443" t="n">
        <v>0</v>
      </c>
      <c r="AT43" s="443" t="n">
        <v>0</v>
      </c>
      <c r="AU43" s="443" t="n">
        <v>0</v>
      </c>
      <c r="AV43" s="443" t="n">
        <v>0</v>
      </c>
      <c r="AW43" s="442" t="n">
        <v>0</v>
      </c>
      <c r="AX43" s="442" t="n">
        <v>0</v>
      </c>
      <c r="AY43" s="442" t="n">
        <v>0</v>
      </c>
      <c r="AZ43" s="442" t="n">
        <v>0</v>
      </c>
      <c r="BA43" s="443" t="n">
        <v>0</v>
      </c>
      <c r="BB43" s="443" t="n">
        <v>0</v>
      </c>
      <c r="BC43" s="443" t="n">
        <v>0</v>
      </c>
      <c r="BD43" s="443" t="n">
        <v>0</v>
      </c>
      <c r="BE43" s="443" t="n">
        <v>0</v>
      </c>
    </row>
    <row r="44" customFormat="false" ht="14.5" hidden="false" customHeight="false" outlineLevel="0" collapsed="false">
      <c r="B44" s="444" t="s">
        <v>16</v>
      </c>
      <c r="C44" s="393" t="s">
        <v>808</v>
      </c>
      <c r="D44" s="442" t="n">
        <v>0</v>
      </c>
      <c r="E44" s="442" t="n">
        <v>0</v>
      </c>
      <c r="F44" s="442" t="n">
        <v>0</v>
      </c>
      <c r="G44" s="442" t="n">
        <v>0</v>
      </c>
      <c r="H44" s="443" t="n">
        <v>0</v>
      </c>
      <c r="I44" s="443" t="n">
        <v>0</v>
      </c>
      <c r="J44" s="443" t="n">
        <v>0</v>
      </c>
      <c r="K44" s="443" t="n">
        <v>0</v>
      </c>
      <c r="L44" s="443" t="n">
        <v>0</v>
      </c>
      <c r="M44" s="443" t="n">
        <v>0</v>
      </c>
      <c r="N44" s="443" t="n">
        <v>0</v>
      </c>
      <c r="O44" s="443" t="n">
        <v>0</v>
      </c>
      <c r="P44" s="443" t="n">
        <v>0</v>
      </c>
      <c r="Q44" s="443" t="n">
        <v>0</v>
      </c>
      <c r="R44" s="443" t="n">
        <v>0</v>
      </c>
      <c r="S44" s="443" t="n">
        <v>0</v>
      </c>
      <c r="T44" s="443" t="n">
        <v>0</v>
      </c>
      <c r="U44" s="443" t="n">
        <v>0</v>
      </c>
      <c r="V44" s="442" t="n">
        <v>0</v>
      </c>
      <c r="W44" s="442" t="n">
        <v>0</v>
      </c>
      <c r="X44" s="442" t="n">
        <v>0</v>
      </c>
      <c r="Y44" s="442" t="n">
        <v>0</v>
      </c>
      <c r="Z44" s="443" t="n">
        <v>0</v>
      </c>
      <c r="AA44" s="443" t="n">
        <v>0</v>
      </c>
      <c r="AB44" s="443" t="n">
        <v>0</v>
      </c>
      <c r="AC44" s="443" t="n">
        <v>0</v>
      </c>
      <c r="AD44" s="443" t="n">
        <v>0</v>
      </c>
      <c r="AE44" s="442" t="n">
        <v>0</v>
      </c>
      <c r="AF44" s="442" t="n">
        <v>0</v>
      </c>
      <c r="AG44" s="442" t="n">
        <v>0</v>
      </c>
      <c r="AH44" s="442" t="n">
        <v>0</v>
      </c>
      <c r="AI44" s="443" t="n">
        <v>0</v>
      </c>
      <c r="AJ44" s="443" t="n">
        <v>0</v>
      </c>
      <c r="AK44" s="443" t="n">
        <v>0</v>
      </c>
      <c r="AL44" s="443" t="n">
        <v>0</v>
      </c>
      <c r="AM44" s="443" t="n">
        <v>0</v>
      </c>
      <c r="AN44" s="442" t="n">
        <v>0</v>
      </c>
      <c r="AO44" s="442" t="n">
        <v>0</v>
      </c>
      <c r="AP44" s="442" t="n">
        <v>0</v>
      </c>
      <c r="AQ44" s="442" t="n">
        <v>0</v>
      </c>
      <c r="AR44" s="443" t="n">
        <v>0</v>
      </c>
      <c r="AS44" s="443" t="n">
        <v>0</v>
      </c>
      <c r="AT44" s="443" t="n">
        <v>0</v>
      </c>
      <c r="AU44" s="443" t="n">
        <v>0</v>
      </c>
      <c r="AV44" s="443" t="n">
        <v>0</v>
      </c>
      <c r="AW44" s="442" t="n">
        <v>0</v>
      </c>
      <c r="AX44" s="442" t="n">
        <v>0</v>
      </c>
      <c r="AY44" s="442" t="n">
        <v>0</v>
      </c>
      <c r="AZ44" s="442" t="n">
        <v>0</v>
      </c>
      <c r="BA44" s="443" t="n">
        <v>0</v>
      </c>
      <c r="BB44" s="443" t="n">
        <v>0</v>
      </c>
      <c r="BC44" s="443" t="n">
        <v>0</v>
      </c>
      <c r="BD44" s="443" t="n">
        <v>0</v>
      </c>
      <c r="BE44" s="443" t="n">
        <v>0</v>
      </c>
    </row>
    <row r="45" customFormat="false" ht="14.5" hidden="false" customHeight="false" outlineLevel="0" collapsed="false">
      <c r="B45" s="432" t="s">
        <v>842</v>
      </c>
      <c r="C45" s="393" t="s">
        <v>808</v>
      </c>
      <c r="D45" s="442" t="n">
        <v>0</v>
      </c>
      <c r="E45" s="442" t="n">
        <v>0</v>
      </c>
      <c r="F45" s="442" t="n">
        <v>0</v>
      </c>
      <c r="G45" s="442" t="n">
        <v>0</v>
      </c>
      <c r="H45" s="443" t="n">
        <v>0</v>
      </c>
      <c r="I45" s="443" t="n">
        <v>0</v>
      </c>
      <c r="J45" s="443" t="n">
        <v>0</v>
      </c>
      <c r="K45" s="443" t="n">
        <v>0</v>
      </c>
      <c r="L45" s="443" t="n">
        <v>0</v>
      </c>
      <c r="M45" s="443" t="n">
        <v>0</v>
      </c>
      <c r="N45" s="443" t="n">
        <v>0</v>
      </c>
      <c r="O45" s="443" t="n">
        <v>0</v>
      </c>
      <c r="P45" s="443" t="n">
        <v>0</v>
      </c>
      <c r="Q45" s="443" t="n">
        <v>0</v>
      </c>
      <c r="R45" s="443" t="n">
        <v>0</v>
      </c>
      <c r="S45" s="443" t="n">
        <v>0</v>
      </c>
      <c r="T45" s="443" t="n">
        <v>0</v>
      </c>
      <c r="U45" s="443" t="n">
        <v>0</v>
      </c>
      <c r="V45" s="442" t="n">
        <v>0</v>
      </c>
      <c r="W45" s="442" t="n">
        <v>0</v>
      </c>
      <c r="X45" s="442" t="n">
        <v>0</v>
      </c>
      <c r="Y45" s="442" t="n">
        <v>0</v>
      </c>
      <c r="Z45" s="443" t="n">
        <v>0</v>
      </c>
      <c r="AA45" s="443" t="n">
        <v>0</v>
      </c>
      <c r="AB45" s="443" t="n">
        <v>0</v>
      </c>
      <c r="AC45" s="443" t="n">
        <v>0</v>
      </c>
      <c r="AD45" s="443" t="n">
        <v>0</v>
      </c>
      <c r="AE45" s="442" t="n">
        <v>0</v>
      </c>
      <c r="AF45" s="442" t="n">
        <v>0</v>
      </c>
      <c r="AG45" s="442" t="n">
        <v>0</v>
      </c>
      <c r="AH45" s="442" t="n">
        <v>0</v>
      </c>
      <c r="AI45" s="443" t="n">
        <v>0</v>
      </c>
      <c r="AJ45" s="443" t="n">
        <v>0</v>
      </c>
      <c r="AK45" s="443" t="n">
        <v>0</v>
      </c>
      <c r="AL45" s="443" t="n">
        <v>0</v>
      </c>
      <c r="AM45" s="443" t="n">
        <v>0</v>
      </c>
      <c r="AN45" s="442" t="n">
        <v>0</v>
      </c>
      <c r="AO45" s="442" t="n">
        <v>0</v>
      </c>
      <c r="AP45" s="442" t="n">
        <v>0</v>
      </c>
      <c r="AQ45" s="442" t="n">
        <v>0</v>
      </c>
      <c r="AR45" s="443" t="n">
        <v>0</v>
      </c>
      <c r="AS45" s="443" t="n">
        <v>0</v>
      </c>
      <c r="AT45" s="443" t="n">
        <v>0</v>
      </c>
      <c r="AU45" s="443" t="n">
        <v>0</v>
      </c>
      <c r="AV45" s="443" t="n">
        <v>0</v>
      </c>
      <c r="AW45" s="442" t="n">
        <v>0</v>
      </c>
      <c r="AX45" s="442" t="n">
        <v>0</v>
      </c>
      <c r="AY45" s="442" t="n">
        <v>0</v>
      </c>
      <c r="AZ45" s="442" t="n">
        <v>0</v>
      </c>
      <c r="BA45" s="443" t="n">
        <v>0</v>
      </c>
      <c r="BB45" s="443" t="n">
        <v>0</v>
      </c>
      <c r="BC45" s="443" t="n">
        <v>0</v>
      </c>
      <c r="BD45" s="443" t="n">
        <v>0</v>
      </c>
      <c r="BE45" s="443" t="n">
        <v>0</v>
      </c>
    </row>
    <row r="46" customFormat="false" ht="14.5" hidden="false" customHeight="false" outlineLevel="0" collapsed="false">
      <c r="B46" s="432" t="s">
        <v>25</v>
      </c>
      <c r="C46" s="393" t="s">
        <v>808</v>
      </c>
      <c r="D46" s="442" t="n">
        <v>0</v>
      </c>
      <c r="E46" s="442" t="n">
        <v>0</v>
      </c>
      <c r="F46" s="442" t="n">
        <v>0</v>
      </c>
      <c r="G46" s="442" t="n">
        <v>0</v>
      </c>
      <c r="H46" s="443" t="n">
        <v>0</v>
      </c>
      <c r="I46" s="443" t="n">
        <v>0.08355964</v>
      </c>
      <c r="J46" s="443" t="n">
        <v>0.040535</v>
      </c>
      <c r="K46" s="443" t="n">
        <v>0</v>
      </c>
      <c r="L46" s="443" t="n">
        <v>1.10401169590643</v>
      </c>
      <c r="M46" s="443" t="n">
        <v>0</v>
      </c>
      <c r="N46" s="443" t="n">
        <v>0</v>
      </c>
      <c r="O46" s="443" t="n">
        <v>0</v>
      </c>
      <c r="P46" s="443" t="n">
        <v>0</v>
      </c>
      <c r="Q46" s="443" t="n">
        <v>0</v>
      </c>
      <c r="R46" s="443" t="n">
        <v>0.0844219495919081</v>
      </c>
      <c r="S46" s="443" t="n">
        <v>0.0409533086392904</v>
      </c>
      <c r="T46" s="443" t="n">
        <v>0</v>
      </c>
      <c r="U46" s="443" t="n">
        <v>1.11540475450457</v>
      </c>
      <c r="V46" s="442" t="n">
        <v>0</v>
      </c>
      <c r="W46" s="442" t="n">
        <v>0</v>
      </c>
      <c r="X46" s="442" t="n">
        <v>0</v>
      </c>
      <c r="Y46" s="442" t="n">
        <v>0</v>
      </c>
      <c r="Z46" s="443" t="n">
        <v>0</v>
      </c>
      <c r="AA46" s="443" t="n">
        <v>0.0863722408824825</v>
      </c>
      <c r="AB46" s="443" t="n">
        <v>0.0418994000473366</v>
      </c>
      <c r="AC46" s="443" t="n">
        <v>0</v>
      </c>
      <c r="AD46" s="443" t="n">
        <v>1.14117251026822</v>
      </c>
      <c r="AE46" s="442" t="n">
        <v>0</v>
      </c>
      <c r="AF46" s="442" t="n">
        <v>0</v>
      </c>
      <c r="AG46" s="442" t="n">
        <v>0</v>
      </c>
      <c r="AH46" s="442" t="n">
        <v>0</v>
      </c>
      <c r="AI46" s="443" t="n">
        <v>0</v>
      </c>
      <c r="AJ46" s="443" t="n">
        <v>0.0890618162131088</v>
      </c>
      <c r="AK46" s="443" t="n">
        <v>0.0432041200775681</v>
      </c>
      <c r="AL46" s="443" t="n">
        <v>0</v>
      </c>
      <c r="AM46" s="443" t="n">
        <v>1.17670787904234</v>
      </c>
      <c r="AN46" s="442" t="n">
        <v>0</v>
      </c>
      <c r="AO46" s="442" t="n">
        <v>0</v>
      </c>
      <c r="AP46" s="442" t="n">
        <v>0</v>
      </c>
      <c r="AQ46" s="442" t="n">
        <v>0</v>
      </c>
      <c r="AR46" s="443" t="n">
        <v>0</v>
      </c>
      <c r="AS46" s="443" t="n">
        <v>0.0892018316640669</v>
      </c>
      <c r="AT46" s="443" t="n">
        <v>0.043272041939182</v>
      </c>
      <c r="AU46" s="443" t="n">
        <v>0</v>
      </c>
      <c r="AV46" s="443" t="n">
        <v>1.17855779959567</v>
      </c>
      <c r="AW46" s="442" t="n">
        <v>0</v>
      </c>
      <c r="AX46" s="442" t="n">
        <v>0</v>
      </c>
      <c r="AY46" s="442" t="n">
        <v>0</v>
      </c>
      <c r="AZ46" s="442" t="n">
        <v>0</v>
      </c>
      <c r="BA46" s="443" t="n">
        <v>0</v>
      </c>
      <c r="BB46" s="443" t="n">
        <v>0.0892018316640669</v>
      </c>
      <c r="BC46" s="443" t="n">
        <v>0.043272041939182</v>
      </c>
      <c r="BD46" s="443" t="n">
        <v>0</v>
      </c>
      <c r="BE46" s="443" t="n">
        <v>1.17855779959567</v>
      </c>
    </row>
    <row r="47" customFormat="false" ht="14.5" hidden="false" customHeight="false" outlineLevel="0" collapsed="false">
      <c r="B47" s="445" t="s">
        <v>677</v>
      </c>
      <c r="C47" s="393" t="s">
        <v>808</v>
      </c>
      <c r="D47" s="442" t="n">
        <v>0</v>
      </c>
      <c r="E47" s="442" t="n">
        <v>0</v>
      </c>
      <c r="F47" s="442" t="n">
        <v>0</v>
      </c>
      <c r="G47" s="442" t="n">
        <v>0</v>
      </c>
      <c r="H47" s="443" t="n">
        <v>0</v>
      </c>
      <c r="I47" s="443" t="n">
        <v>0.0742735801463711</v>
      </c>
      <c r="J47" s="443" t="n">
        <v>0.04422</v>
      </c>
      <c r="K47" s="443" t="n">
        <v>0</v>
      </c>
      <c r="L47" s="443" t="n">
        <v>0</v>
      </c>
      <c r="M47" s="443" t="n">
        <v>0</v>
      </c>
      <c r="N47" s="443" t="n">
        <v>0</v>
      </c>
      <c r="O47" s="443" t="n">
        <v>0</v>
      </c>
      <c r="P47" s="443" t="n">
        <v>0</v>
      </c>
      <c r="Q47" s="443" t="n">
        <v>0</v>
      </c>
      <c r="R47" s="443" t="n">
        <v>0.0721268028152463</v>
      </c>
      <c r="S47" s="443" t="n">
        <v>0.042941880736121</v>
      </c>
      <c r="T47" s="443" t="n">
        <v>0</v>
      </c>
      <c r="U47" s="443" t="n">
        <v>0</v>
      </c>
      <c r="V47" s="442" t="n">
        <v>0</v>
      </c>
      <c r="W47" s="442" t="n">
        <v>0</v>
      </c>
      <c r="X47" s="442" t="n">
        <v>0</v>
      </c>
      <c r="Y47" s="442" t="n">
        <v>0</v>
      </c>
      <c r="Z47" s="443" t="n">
        <v>0</v>
      </c>
      <c r="AA47" s="443" t="n">
        <v>0.0636808452246702</v>
      </c>
      <c r="AB47" s="443" t="n">
        <v>0.037913440691636</v>
      </c>
      <c r="AC47" s="443" t="n">
        <v>0</v>
      </c>
      <c r="AD47" s="443" t="n">
        <v>0</v>
      </c>
      <c r="AE47" s="442" t="n">
        <v>0</v>
      </c>
      <c r="AF47" s="442" t="n">
        <v>0</v>
      </c>
      <c r="AG47" s="442" t="n">
        <v>0</v>
      </c>
      <c r="AH47" s="442" t="n">
        <v>0</v>
      </c>
      <c r="AI47" s="443" t="n">
        <v>0</v>
      </c>
      <c r="AJ47" s="443" t="n">
        <v>0.0489954254535921</v>
      </c>
      <c r="AK47" s="443" t="n">
        <v>0.0291702340090267</v>
      </c>
      <c r="AL47" s="443" t="n">
        <v>0</v>
      </c>
      <c r="AM47" s="443" t="n">
        <v>0</v>
      </c>
      <c r="AN47" s="442" t="n">
        <v>0</v>
      </c>
      <c r="AO47" s="442" t="n">
        <v>0</v>
      </c>
      <c r="AP47" s="442" t="n">
        <v>0</v>
      </c>
      <c r="AQ47" s="442" t="n">
        <v>0</v>
      </c>
      <c r="AR47" s="443" t="n">
        <v>0</v>
      </c>
      <c r="AS47" s="443" t="n">
        <v>0.0558271757511092</v>
      </c>
      <c r="AT47" s="443" t="n">
        <v>0.0332376291387734</v>
      </c>
      <c r="AU47" s="443" t="n">
        <v>0</v>
      </c>
      <c r="AV47" s="443" t="n">
        <v>0</v>
      </c>
      <c r="AW47" s="442" t="n">
        <v>0</v>
      </c>
      <c r="AX47" s="442" t="n">
        <v>0</v>
      </c>
      <c r="AY47" s="442" t="n">
        <v>0</v>
      </c>
      <c r="AZ47" s="442" t="n">
        <v>0</v>
      </c>
      <c r="BA47" s="443" t="n">
        <v>0</v>
      </c>
      <c r="BB47" s="443" t="n">
        <v>0.0558271757511092</v>
      </c>
      <c r="BC47" s="443" t="n">
        <v>0.0332376291387734</v>
      </c>
      <c r="BD47" s="443" t="n">
        <v>0</v>
      </c>
      <c r="BE47" s="443" t="n">
        <v>0</v>
      </c>
    </row>
    <row r="48" customFormat="false" ht="14.5" hidden="false" customHeight="false" outlineLevel="0" collapsed="false">
      <c r="B48" s="446" t="s">
        <v>843</v>
      </c>
      <c r="C48" s="393" t="s">
        <v>808</v>
      </c>
      <c r="D48" s="442" t="n">
        <v>0</v>
      </c>
      <c r="E48" s="442" t="n">
        <v>0</v>
      </c>
      <c r="F48" s="442" t="n">
        <v>0</v>
      </c>
      <c r="G48" s="442" t="n">
        <v>0</v>
      </c>
      <c r="H48" s="443" t="n">
        <v>0</v>
      </c>
      <c r="I48" s="443" t="n">
        <v>0</v>
      </c>
      <c r="J48" s="443" t="n">
        <v>0</v>
      </c>
      <c r="K48" s="443" t="n">
        <v>0</v>
      </c>
      <c r="L48" s="443" t="n">
        <v>0.34892</v>
      </c>
      <c r="M48" s="443" t="n">
        <v>0</v>
      </c>
      <c r="N48" s="443" t="n">
        <v>0</v>
      </c>
      <c r="O48" s="443" t="n">
        <v>0</v>
      </c>
      <c r="P48" s="443" t="n">
        <v>0</v>
      </c>
      <c r="Q48" s="443" t="n">
        <v>0</v>
      </c>
      <c r="R48" s="443" t="n">
        <v>0</v>
      </c>
      <c r="S48" s="443" t="n">
        <v>0</v>
      </c>
      <c r="T48" s="443" t="n">
        <v>0</v>
      </c>
      <c r="U48" s="443" t="n">
        <v>0.34892</v>
      </c>
      <c r="V48" s="442" t="n">
        <v>0</v>
      </c>
      <c r="W48" s="442" t="n">
        <v>0</v>
      </c>
      <c r="X48" s="442" t="n">
        <v>0</v>
      </c>
      <c r="Y48" s="442" t="n">
        <v>0</v>
      </c>
      <c r="Z48" s="443" t="n">
        <v>0</v>
      </c>
      <c r="AA48" s="443" t="n">
        <v>0</v>
      </c>
      <c r="AB48" s="443" t="n">
        <v>0</v>
      </c>
      <c r="AC48" s="443" t="n">
        <v>0</v>
      </c>
      <c r="AD48" s="443" t="n">
        <v>0.34892</v>
      </c>
      <c r="AE48" s="442" t="n">
        <v>0</v>
      </c>
      <c r="AF48" s="442" t="n">
        <v>0</v>
      </c>
      <c r="AG48" s="442" t="n">
        <v>0</v>
      </c>
      <c r="AH48" s="442" t="n">
        <v>0</v>
      </c>
      <c r="AI48" s="443" t="n">
        <v>0</v>
      </c>
      <c r="AJ48" s="443" t="n">
        <v>0</v>
      </c>
      <c r="AK48" s="443" t="n">
        <v>0</v>
      </c>
      <c r="AL48" s="443" t="n">
        <v>0</v>
      </c>
      <c r="AM48" s="443" t="n">
        <v>0.34892</v>
      </c>
      <c r="AN48" s="442" t="n">
        <v>0</v>
      </c>
      <c r="AO48" s="442" t="n">
        <v>0</v>
      </c>
      <c r="AP48" s="442" t="n">
        <v>0</v>
      </c>
      <c r="AQ48" s="442" t="n">
        <v>0</v>
      </c>
      <c r="AR48" s="443" t="n">
        <v>0</v>
      </c>
      <c r="AS48" s="443" t="n">
        <v>0</v>
      </c>
      <c r="AT48" s="443" t="n">
        <v>0</v>
      </c>
      <c r="AU48" s="443" t="n">
        <v>0</v>
      </c>
      <c r="AV48" s="443" t="n">
        <v>0.34892</v>
      </c>
      <c r="AW48" s="442" t="n">
        <v>0</v>
      </c>
      <c r="AX48" s="442" t="n">
        <v>0</v>
      </c>
      <c r="AY48" s="442" t="n">
        <v>0</v>
      </c>
      <c r="AZ48" s="442" t="n">
        <v>0</v>
      </c>
      <c r="BA48" s="443" t="n">
        <v>0</v>
      </c>
      <c r="BB48" s="443" t="n">
        <v>0</v>
      </c>
      <c r="BC48" s="443" t="n">
        <v>0</v>
      </c>
      <c r="BD48" s="443" t="n">
        <v>0</v>
      </c>
      <c r="BE48" s="443" t="n">
        <v>0.34892</v>
      </c>
    </row>
    <row r="49" customFormat="false" ht="14.5" hidden="false" customHeight="false" outlineLevel="0" collapsed="false">
      <c r="B49" s="446" t="s">
        <v>844</v>
      </c>
      <c r="C49" s="393" t="s">
        <v>808</v>
      </c>
      <c r="D49" s="442" t="n">
        <v>0</v>
      </c>
      <c r="E49" s="442" t="n">
        <v>0</v>
      </c>
      <c r="F49" s="442" t="n">
        <v>0</v>
      </c>
      <c r="G49" s="442" t="n">
        <v>0</v>
      </c>
      <c r="H49" s="443" t="n">
        <v>0</v>
      </c>
      <c r="I49" s="443" t="n">
        <v>0</v>
      </c>
      <c r="J49" s="443" t="n">
        <v>0</v>
      </c>
      <c r="K49" s="443" t="n">
        <v>0</v>
      </c>
      <c r="L49" s="443" t="n">
        <v>0</v>
      </c>
      <c r="M49" s="443" t="n">
        <v>0</v>
      </c>
      <c r="N49" s="443" t="n">
        <v>0</v>
      </c>
      <c r="O49" s="443" t="n">
        <v>0</v>
      </c>
      <c r="P49" s="443" t="n">
        <v>0</v>
      </c>
      <c r="Q49" s="443" t="n">
        <v>0</v>
      </c>
      <c r="R49" s="443" t="n">
        <v>0</v>
      </c>
      <c r="S49" s="443" t="n">
        <v>0</v>
      </c>
      <c r="T49" s="443" t="n">
        <v>0</v>
      </c>
      <c r="U49" s="443" t="n">
        <v>0</v>
      </c>
      <c r="V49" s="442" t="n">
        <v>0</v>
      </c>
      <c r="W49" s="442" t="n">
        <v>0</v>
      </c>
      <c r="X49" s="442" t="n">
        <v>0</v>
      </c>
      <c r="Y49" s="442" t="n">
        <v>0</v>
      </c>
      <c r="Z49" s="443" t="n">
        <v>0</v>
      </c>
      <c r="AA49" s="443" t="n">
        <v>0</v>
      </c>
      <c r="AB49" s="443" t="n">
        <v>0</v>
      </c>
      <c r="AC49" s="443" t="n">
        <v>0</v>
      </c>
      <c r="AD49" s="443" t="n">
        <v>0</v>
      </c>
      <c r="AE49" s="442" t="n">
        <v>0</v>
      </c>
      <c r="AF49" s="442" t="n">
        <v>0</v>
      </c>
      <c r="AG49" s="442" t="n">
        <v>0</v>
      </c>
      <c r="AH49" s="442" t="n">
        <v>0</v>
      </c>
      <c r="AI49" s="443" t="n">
        <v>0</v>
      </c>
      <c r="AJ49" s="443" t="n">
        <v>0</v>
      </c>
      <c r="AK49" s="443" t="n">
        <v>0</v>
      </c>
      <c r="AL49" s="443" t="n">
        <v>0</v>
      </c>
      <c r="AM49" s="443" t="n">
        <v>0</v>
      </c>
      <c r="AN49" s="442" t="n">
        <v>0</v>
      </c>
      <c r="AO49" s="442" t="n">
        <v>0</v>
      </c>
      <c r="AP49" s="442" t="n">
        <v>0</v>
      </c>
      <c r="AQ49" s="442" t="n">
        <v>0</v>
      </c>
      <c r="AR49" s="443" t="n">
        <v>0</v>
      </c>
      <c r="AS49" s="443" t="n">
        <v>0</v>
      </c>
      <c r="AT49" s="443" t="n">
        <v>0</v>
      </c>
      <c r="AU49" s="443" t="n">
        <v>0</v>
      </c>
      <c r="AV49" s="443" t="n">
        <v>0</v>
      </c>
      <c r="AW49" s="442" t="n">
        <v>0</v>
      </c>
      <c r="AX49" s="442" t="n">
        <v>0</v>
      </c>
      <c r="AY49" s="442" t="n">
        <v>0</v>
      </c>
      <c r="AZ49" s="442" t="n">
        <v>0</v>
      </c>
      <c r="BA49" s="443" t="n">
        <v>0</v>
      </c>
      <c r="BB49" s="443" t="n">
        <v>0</v>
      </c>
      <c r="BC49" s="443" t="n">
        <v>0</v>
      </c>
      <c r="BD49" s="443" t="n">
        <v>0</v>
      </c>
      <c r="BE49" s="443" t="n">
        <v>0</v>
      </c>
    </row>
    <row r="50" customFormat="false" ht="14.5" hidden="false" customHeight="false" outlineLevel="0" collapsed="false">
      <c r="B50" s="446" t="s">
        <v>845</v>
      </c>
      <c r="C50" s="393" t="s">
        <v>808</v>
      </c>
      <c r="D50" s="442" t="n">
        <v>0</v>
      </c>
      <c r="E50" s="442" t="n">
        <v>0</v>
      </c>
      <c r="F50" s="442" t="n">
        <v>0</v>
      </c>
      <c r="G50" s="442" t="n">
        <v>0</v>
      </c>
      <c r="H50" s="443" t="n">
        <v>0.0675361763445246</v>
      </c>
      <c r="I50" s="443" t="n">
        <v>-0.00903936370003312</v>
      </c>
      <c r="J50" s="443" t="n">
        <v>0.247593282681999</v>
      </c>
      <c r="K50" s="443" t="n">
        <v>1.073</v>
      </c>
      <c r="L50" s="443" t="n">
        <v>0.392837534862798</v>
      </c>
      <c r="M50" s="443" t="n">
        <v>0</v>
      </c>
      <c r="N50" s="443" t="n">
        <v>0</v>
      </c>
      <c r="O50" s="443" t="n">
        <v>0</v>
      </c>
      <c r="P50" s="443" t="n">
        <v>0</v>
      </c>
      <c r="Q50" s="443" t="n">
        <v>0.0624960048496502</v>
      </c>
      <c r="R50" s="443" t="n">
        <v>-0.00907173286043743</v>
      </c>
      <c r="S50" s="443" t="n">
        <v>0.259597156144849</v>
      </c>
      <c r="T50" s="443" t="n">
        <v>1.14451073231212</v>
      </c>
      <c r="U50" s="443" t="n">
        <v>0.394065538369937</v>
      </c>
      <c r="V50" s="442" t="n">
        <v>0</v>
      </c>
      <c r="W50" s="442" t="n">
        <v>0</v>
      </c>
      <c r="X50" s="442" t="n">
        <v>0</v>
      </c>
      <c r="Y50" s="442" t="n">
        <v>0</v>
      </c>
      <c r="Z50" s="443" t="n">
        <v>0.0589317808376607</v>
      </c>
      <c r="AA50" s="443" t="n">
        <v>-0.00936468866163724</v>
      </c>
      <c r="AB50" s="443" t="n">
        <v>0.217861347089576</v>
      </c>
      <c r="AC50" s="443" t="n">
        <v>1.2816952828184</v>
      </c>
      <c r="AD50" s="443" t="n">
        <v>0.405614641133465</v>
      </c>
      <c r="AE50" s="442" t="n">
        <v>0</v>
      </c>
      <c r="AF50" s="442" t="n">
        <v>0</v>
      </c>
      <c r="AG50" s="442" t="n">
        <v>0</v>
      </c>
      <c r="AH50" s="442" t="n">
        <v>0</v>
      </c>
      <c r="AI50" s="443" t="n">
        <v>0.0462731746648659</v>
      </c>
      <c r="AJ50" s="443" t="n">
        <v>-0.0097625493944803</v>
      </c>
      <c r="AK50" s="443" t="n">
        <v>0.157316469368715</v>
      </c>
      <c r="AL50" s="443" t="n">
        <v>1.61452489333203</v>
      </c>
      <c r="AM50" s="443" t="n">
        <v>0.418861998105243</v>
      </c>
      <c r="AN50" s="442" t="n">
        <v>0</v>
      </c>
      <c r="AO50" s="442" t="n">
        <v>0</v>
      </c>
      <c r="AP50" s="442" t="n">
        <v>0</v>
      </c>
      <c r="AQ50" s="442" t="n">
        <v>0</v>
      </c>
      <c r="AR50" s="443" t="n">
        <v>0.0455664103247762</v>
      </c>
      <c r="AS50" s="443" t="n">
        <v>-0.00979385089936229</v>
      </c>
      <c r="AT50" s="443" t="n">
        <v>0.154753729406586</v>
      </c>
      <c r="AU50" s="443" t="n">
        <v>1.34582586899679</v>
      </c>
      <c r="AV50" s="443" t="n">
        <v>0.419556851676883</v>
      </c>
      <c r="AW50" s="442" t="n">
        <v>0</v>
      </c>
      <c r="AX50" s="442" t="n">
        <v>0</v>
      </c>
      <c r="AY50" s="442" t="n">
        <v>0</v>
      </c>
      <c r="AZ50" s="442" t="n">
        <v>0</v>
      </c>
      <c r="BA50" s="443" t="n">
        <v>0.0365559116110205</v>
      </c>
      <c r="BB50" s="443" t="n">
        <v>-0.00979385089936229</v>
      </c>
      <c r="BC50" s="443" t="n">
        <v>0.154753729406586</v>
      </c>
      <c r="BD50" s="447" t="n">
        <v>1.62</v>
      </c>
      <c r="BE50" s="443" t="n">
        <v>0.419556851676883</v>
      </c>
    </row>
    <row r="51" customFormat="false" ht="14.5" hidden="false" customHeight="false" outlineLevel="0" collapsed="false">
      <c r="C51" s="448"/>
      <c r="D51" s="448"/>
      <c r="E51" s="448"/>
      <c r="F51" s="448"/>
      <c r="G51" s="448"/>
      <c r="H51" s="448"/>
      <c r="I51" s="448"/>
      <c r="J51" s="448"/>
      <c r="K51" s="448"/>
      <c r="L51" s="80"/>
      <c r="M51" s="80"/>
      <c r="N51" s="80"/>
      <c r="O51" s="80"/>
      <c r="P51" s="80"/>
      <c r="Q51" s="80"/>
      <c r="R51" s="80"/>
      <c r="S51" s="80"/>
      <c r="T51" s="80"/>
      <c r="U51" s="80"/>
      <c r="V51" s="80"/>
      <c r="W51" s="80"/>
      <c r="X51" s="80"/>
      <c r="Y51" s="80"/>
      <c r="Z51" s="80"/>
      <c r="AA51" s="80"/>
      <c r="AB51" s="80"/>
      <c r="AC51" s="80"/>
      <c r="AE51" s="80"/>
      <c r="AF51" s="80"/>
      <c r="AG51" s="80"/>
      <c r="AH51" s="80"/>
      <c r="AI51" s="80"/>
      <c r="AJ51" s="80"/>
      <c r="AK51" s="80"/>
      <c r="AL51" s="80"/>
      <c r="AN51" s="80"/>
      <c r="AO51" s="80"/>
      <c r="AP51" s="80"/>
      <c r="AQ51" s="80"/>
      <c r="AR51" s="80"/>
      <c r="AS51" s="80"/>
      <c r="AT51" s="80"/>
      <c r="AU51" s="80"/>
      <c r="AW51" s="80"/>
      <c r="AX51" s="80"/>
      <c r="AY51" s="80"/>
      <c r="AZ51" s="80"/>
      <c r="BA51" s="80"/>
      <c r="BB51" s="80"/>
      <c r="BC51" s="80"/>
      <c r="BD51" s="80"/>
    </row>
    <row r="52" customFormat="false" ht="14.5" hidden="false" customHeight="false" outlineLevel="0" collapsed="false">
      <c r="B52" s="449" t="s">
        <v>52</v>
      </c>
      <c r="D52" s="80" t="n">
        <f aca="false">SUM(D39+D37+D33+D26+D22+D17+D14+D12+D6)</f>
        <v>12.4527173934811</v>
      </c>
      <c r="E52" s="80" t="n">
        <f aca="false">SUM(E39+E37+E33+E26+E22+E17+E14+E12+E6)</f>
        <v>1.36665209900678</v>
      </c>
      <c r="F52" s="80" t="n">
        <f aca="false">SUM(F39+F37+F33+F26+F22+F17+F14+F12+F6)</f>
        <v>4.930893985492</v>
      </c>
      <c r="G52" s="80" t="n">
        <f aca="false">SUM(G39+G37+G33+G26+G22+G17+G14+G12+G6)</f>
        <v>13.3075467951616</v>
      </c>
      <c r="H52" s="80" t="n">
        <f aca="false">SUM(H39+H37+H33+H26+H22+H17+H14+H12+H6)</f>
        <v>2.15476227413165</v>
      </c>
      <c r="I52" s="80" t="n">
        <f aca="false">SUM(I39+I37+I33+I26+I22+I17+I14+I12+I6)</f>
        <v>1.12758378603706</v>
      </c>
      <c r="J52" s="80" t="n">
        <f aca="false">SUM(J39+J37+J33+J26+J22+J17+J14+J12+J6)</f>
        <v>3.20181831480176</v>
      </c>
      <c r="K52" s="80" t="n">
        <f aca="false">SUM(K39+K37+K33+K26+K22+K17+K14+K12+K6)</f>
        <v>8.346785</v>
      </c>
      <c r="L52" s="80" t="n">
        <f aca="false">SUM(L39+L37+L33+L26+L22+L17+L14+L12+L6)</f>
        <v>3.75976923076923</v>
      </c>
      <c r="M52" s="80" t="n">
        <f aca="false">SUM(M39+M37+M33+M26+M22+M17+M14+M12+M6)</f>
        <v>12.2408839708569</v>
      </c>
      <c r="N52" s="80" t="n">
        <f aca="false">SUM(N39+N37+N33+N26+N22+N17+N14+N12+N6)</f>
        <v>1.44198859471018</v>
      </c>
      <c r="O52" s="80" t="n">
        <f aca="false">SUM(O39+O37+O33+O26+O22+O17+O14+O12+O6)</f>
        <v>4.87707639308892</v>
      </c>
      <c r="P52" s="80" t="n">
        <f aca="false">SUM(P39+P37+P33+P26+P22+P17+P14+P12+P6)</f>
        <v>12.3783057421263</v>
      </c>
      <c r="Q52" s="80" t="n">
        <f aca="false">SUM(Q39+Q37+Q33+Q26+Q22+Q17+Q14+Q12+Q6)</f>
        <v>2.09748049504575</v>
      </c>
      <c r="R52" s="80" t="n">
        <f aca="false">SUM(R39+R37+R33+R26+R22+R17+R14+R12+R6)</f>
        <v>1.10705175708877</v>
      </c>
      <c r="S52" s="80" t="n">
        <f aca="false">SUM(S39+S37+S33+S26+S22+S17+S14+S12+S6)</f>
        <v>3.1799100639803</v>
      </c>
      <c r="T52" s="80" t="n">
        <f aca="false">SUM(T39+T37+T33+T26+T22+T17+T14+T12+T6)</f>
        <v>8.70201444020688</v>
      </c>
      <c r="U52" s="80" t="n">
        <f aca="false">SUM(U39+U37+U33+U26+U22+U17+U14+U12+U6)</f>
        <v>3.77152220596044</v>
      </c>
      <c r="V52" s="80" t="n">
        <f aca="false">SUM(V39+V37+V33+V26+V22+V17+V14+V12+V6)</f>
        <v>12.2044491410871</v>
      </c>
      <c r="W52" s="80" t="n">
        <f aca="false">SUM(W39+W37+W33+W26+W22+W17+W14+W12+W6)</f>
        <v>1.66683448560948</v>
      </c>
      <c r="X52" s="80" t="n">
        <f aca="false">SUM(X39+X37+X33+X26+X22+X17+X14+X12+X6)</f>
        <v>4.84508187945277</v>
      </c>
      <c r="Y52" s="80" t="n">
        <f aca="false">SUM(Y39+Y37+Y33+Y26+Y22+Y17+Y14+Y12+Y6)</f>
        <v>11.5361680072023</v>
      </c>
      <c r="Z52" s="80" t="n">
        <f aca="false">SUM(Z39+Z37+Z33+Z26+Z22+Z17+Z14+Z12+Z6)</f>
        <v>2.10426748385997</v>
      </c>
      <c r="AA52" s="80" t="n">
        <f aca="false">SUM(AA39+AA37+AA33+AA26+AA22+AA17+AA14+AA12+AA6)</f>
        <v>1.09601591079652</v>
      </c>
      <c r="AB52" s="80" t="n">
        <f aca="false">SUM(AB39+AB37+AB33+AB26+AB22+AB17+AB14+AB12+AB6)</f>
        <v>2.65914483030662</v>
      </c>
      <c r="AC52" s="80" t="n">
        <f aca="false">SUM(AC39+AC37+AC33+AC26+AC22+AC17+AC14+AC12+AC6)</f>
        <v>9.69057548004334</v>
      </c>
      <c r="AD52" s="80" t="n">
        <f aca="false">SUM(AD39+AD37+AD33+AD26+AD22+AD17+AD14+AD12+AD6)</f>
        <v>3.88205635140168</v>
      </c>
      <c r="AE52" s="80" t="n">
        <f aca="false">SUM(AE39+AE37+AE33+AE26+AE22+AE17+AE14+AE12+AE6)</f>
        <v>12.8300796468782</v>
      </c>
      <c r="AF52" s="80" t="n">
        <f aca="false">SUM(AF39+AF37+AF33+AF26+AF22+AF17+AF14+AF12+AF6)</f>
        <v>2.17546638036441</v>
      </c>
      <c r="AG52" s="80" t="n">
        <f aca="false">SUM(AG39+AG37+AG33+AG26+AG22+AG17+AG14+AG12+AG6)</f>
        <v>4.2149945500939</v>
      </c>
      <c r="AH52" s="80" t="n">
        <f aca="false">SUM(AH39+AH37+AH33+AH26+AH22+AH17+AH14+AH12+AH6)</f>
        <v>9.04295694971836</v>
      </c>
      <c r="AI52" s="80" t="n">
        <f aca="false">SUM(AI39+AI37+AI33+AI26+AI22+AI17+AI14+AI12+AI6)</f>
        <v>2.02719770135226</v>
      </c>
      <c r="AJ52" s="80" t="n">
        <f aca="false">SUM(AJ39+AJ37+AJ33+AJ26+AJ22+AJ17+AJ14+AJ12+AJ6)</f>
        <v>1.03196539431882</v>
      </c>
      <c r="AK52" s="80" t="n">
        <f aca="false">SUM(AK39+AK37+AK33+AK26+AK22+AK17+AK14+AK12+AK6)</f>
        <v>1.80539366213277</v>
      </c>
      <c r="AL52" s="80" t="n">
        <f aca="false">SUM(AL39+AL37+AL33+AL26+AL22+AL17+AL14+AL12+AL6)</f>
        <v>11.8869397245083</v>
      </c>
      <c r="AM52" s="80" t="n">
        <f aca="false">SUM(AM39+AM37+AM33+AM26+AM22+AM17+AM14+AM12+AM6)</f>
        <v>4.00884414714758</v>
      </c>
      <c r="AN52" s="80" t="n">
        <f aca="false">SUM(AN39+AN37+AN33+AN26+AN22+AN17+AN14+AN12+AN6)</f>
        <v>12.8736511463258</v>
      </c>
      <c r="AO52" s="80" t="n">
        <f aca="false">SUM(AO39+AO37+AO33+AO26+AO22+AO17+AO14+AO12+AO6)</f>
        <v>2.23731887037163</v>
      </c>
      <c r="AP52" s="80" t="n">
        <f aca="false">SUM(AP39+AP37+AP33+AP26+AP22+AP17+AP14+AP12+AP6)</f>
        <v>4.65272548015421</v>
      </c>
      <c r="AQ52" s="80" t="n">
        <f aca="false">SUM(AQ39+AQ37+AQ33+AQ26+AQ22+AQ17+AQ14+AQ12+AQ6)</f>
        <v>7.93182227345384</v>
      </c>
      <c r="AR52" s="80" t="n">
        <f aca="false">SUM(AR39+AR37+AR33+AR26+AR22+AR17+AR14+AR12+AR6)</f>
        <v>2.02350367449637</v>
      </c>
      <c r="AS52" s="80" t="n">
        <f aca="false">SUM(AS39+AS37+AS33+AS26+AS22+AS17+AS14+AS12+AS6)</f>
        <v>1.03723403419358</v>
      </c>
      <c r="AT52" s="80" t="n">
        <f aca="false">SUM(AT39+AT37+AT33+AT26+AT22+AT17+AT14+AT12+AT6)</f>
        <v>1.76735950232557</v>
      </c>
      <c r="AU52" s="80" t="n">
        <f aca="false">SUM(AU39+AU37+AU33+AU26+AU22+AU17+AU14+AU12+AU6)</f>
        <v>10.2567602693869</v>
      </c>
      <c r="AV52" s="80" t="n">
        <f aca="false">SUM(AV39+AV37+AV33+AV26+AV22+AV17+AV14+AV12+AV6)</f>
        <v>4.01549445127256</v>
      </c>
      <c r="AW52" s="80" t="n">
        <f aca="false">SUM(AW39+AW37+AW33+AW26+AW22+AW17+AW14+AW12+AW6)</f>
        <v>12.8736511463258</v>
      </c>
      <c r="AX52" s="80" t="n">
        <f aca="false">SUM(AX39+AX37+AX33+AX26+AX22+AX17+AX14+AX12+AX6)</f>
        <v>2.1982920991902</v>
      </c>
      <c r="AY52" s="80" t="n">
        <f aca="false">SUM(AY39+AY37+AY33+AY26+AY22+AY17+AY14+AY12+AY6)</f>
        <v>4.17107339889946</v>
      </c>
      <c r="AZ52" s="80" t="n">
        <f aca="false">SUM(AZ39+AZ37+AZ33+AZ26+AZ22+AZ17+AZ14+AZ12+AZ6)</f>
        <v>8.90453761332428</v>
      </c>
      <c r="BA52" s="80" t="n">
        <f aca="false">SUM(BA39+BA37+BA33+BA26+BA22+BA17+BA14+BA12+BA6)</f>
        <v>1.99452863378453</v>
      </c>
      <c r="BB52" s="80" t="n">
        <f aca="false">SUM(BB39+BB37+BB33+BB26+BB22+BB17+BB14+BB12+BB6)</f>
        <v>1.03723403419358</v>
      </c>
      <c r="BC52" s="80" t="n">
        <f aca="false">SUM(BC39+BC37+BC33+BC26+BC22+BC17+BC14+BC12+BC6)</f>
        <v>1.78352147372043</v>
      </c>
      <c r="BD52" s="80" t="n">
        <f aca="false">SUM(BD39+BD37+BD33+BD26+BD22+BD17+BD14+BD12+BD6)</f>
        <v>11.9739473610109</v>
      </c>
      <c r="BE52" s="80" t="n">
        <f aca="false">SUM(BE39+BE37+BE33+BE26+BE22+BE17+BE14+BE12+BE6)</f>
        <v>4.01549445127256</v>
      </c>
    </row>
    <row r="54" customFormat="false" ht="14.5" hidden="false" customHeight="false" outlineLevel="0" collapsed="false">
      <c r="D54" s="47" t="n">
        <v>2014</v>
      </c>
      <c r="E54" s="47" t="n">
        <v>2019</v>
      </c>
      <c r="F54" s="47" t="n">
        <v>2030</v>
      </c>
      <c r="G54" s="47" t="n">
        <v>2049</v>
      </c>
      <c r="H54" s="47" t="n">
        <v>2050</v>
      </c>
      <c r="AW54" s="80" t="n">
        <f aca="false">AW52-AE52</f>
        <v>0.0435714994476282</v>
      </c>
      <c r="AX54" s="80" t="n">
        <f aca="false">AX52-AF52</f>
        <v>0.0228257188257928</v>
      </c>
      <c r="AY54" s="80" t="n">
        <f aca="false">AY52-AG52</f>
        <v>-0.0439211511944446</v>
      </c>
      <c r="AZ54" s="80" t="n">
        <f aca="false">AZ52-AH52</f>
        <v>-0.138419336394078</v>
      </c>
      <c r="BA54" s="80" t="n">
        <f aca="false">BA52-AI52</f>
        <v>-0.0326690675677384</v>
      </c>
      <c r="BB54" s="80" t="n">
        <f aca="false">BB52-AJ52</f>
        <v>0.00526863987475723</v>
      </c>
      <c r="BC54" s="80" t="n">
        <f aca="false">BC52-AK52</f>
        <v>-0.0218721884123396</v>
      </c>
      <c r="BD54" s="80" t="n">
        <f aca="false">BD52-AL52</f>
        <v>0.0870076365025874</v>
      </c>
      <c r="BE54" s="80" t="n">
        <f aca="false">BE52-AM52</f>
        <v>0.00665030412497725</v>
      </c>
    </row>
    <row r="55" customFormat="false" ht="14.5" hidden="false" customHeight="false" outlineLevel="0" collapsed="false">
      <c r="D55" s="47" t="n">
        <v>2014</v>
      </c>
      <c r="E55" s="47" t="n">
        <v>2019</v>
      </c>
      <c r="F55" s="47" t="n">
        <v>2030</v>
      </c>
      <c r="G55" s="47" t="n">
        <v>2050</v>
      </c>
    </row>
  </sheetData>
  <mergeCells count="7">
    <mergeCell ref="B4:C5"/>
    <mergeCell ref="D4:L4"/>
    <mergeCell ref="M4:U4"/>
    <mergeCell ref="V4:AD4"/>
    <mergeCell ref="AE4:AM4"/>
    <mergeCell ref="AN4:AV4"/>
    <mergeCell ref="AW4:B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A5A5A5"/>
    <pageSetUpPr fitToPage="false"/>
  </sheetPr>
  <dimension ref="B2:BZ55"/>
  <sheetViews>
    <sheetView showFormulas="false" showGridLines="true" showRowColHeaders="true" showZeros="true" rightToLeft="false" tabSelected="false" showOutlineSymbols="true" defaultGridColor="true" view="normal" topLeftCell="N1" colorId="64" zoomScale="65" zoomScaleNormal="65" zoomScalePageLayoutView="100" workbookViewId="0">
      <selection pane="topLeft" activeCell="V54" activeCellId="0" sqref="V54"/>
    </sheetView>
  </sheetViews>
  <sheetFormatPr defaultRowHeight="14.5" zeroHeight="false" outlineLevelRow="0" outlineLevelCol="0"/>
  <cols>
    <col collapsed="false" customWidth="true" hidden="false" outlineLevel="0" max="1025" min="1" style="47" width="10.45"/>
  </cols>
  <sheetData>
    <row r="2" customFormat="false" ht="14.5" hidden="false" customHeight="false" outlineLevel="0" collapsed="false">
      <c r="B2" s="450" t="s">
        <v>846</v>
      </c>
    </row>
    <row r="4" customFormat="false" ht="14.5" hidden="false" customHeight="true" outlineLevel="0" collapsed="false">
      <c r="B4" s="388" t="s">
        <v>799</v>
      </c>
      <c r="C4" s="388"/>
      <c r="D4" s="389" t="s">
        <v>800</v>
      </c>
      <c r="E4" s="389"/>
      <c r="F4" s="389"/>
      <c r="G4" s="389"/>
      <c r="H4" s="389"/>
      <c r="I4" s="389"/>
      <c r="J4" s="389"/>
      <c r="K4" s="389"/>
      <c r="L4" s="389"/>
      <c r="M4" s="389" t="s">
        <v>847</v>
      </c>
      <c r="N4" s="389"/>
      <c r="O4" s="389"/>
      <c r="P4" s="389"/>
      <c r="Q4" s="389"/>
      <c r="R4" s="389"/>
      <c r="S4" s="389"/>
      <c r="T4" s="389"/>
      <c r="U4" s="389"/>
      <c r="V4" s="389" t="s">
        <v>848</v>
      </c>
      <c r="W4" s="389"/>
      <c r="X4" s="389"/>
      <c r="Y4" s="389"/>
      <c r="Z4" s="389"/>
      <c r="AA4" s="389"/>
      <c r="AB4" s="389"/>
      <c r="AC4" s="389"/>
      <c r="AD4" s="389"/>
      <c r="AE4" s="389" t="s">
        <v>849</v>
      </c>
      <c r="AF4" s="389"/>
      <c r="AG4" s="389"/>
      <c r="AH4" s="389"/>
      <c r="AI4" s="389"/>
      <c r="AJ4" s="389"/>
      <c r="AK4" s="389"/>
      <c r="AL4" s="389"/>
      <c r="AM4" s="389"/>
      <c r="AN4" s="389" t="s">
        <v>802</v>
      </c>
      <c r="AO4" s="389"/>
      <c r="AP4" s="389"/>
      <c r="AQ4" s="389"/>
      <c r="AR4" s="389"/>
      <c r="AS4" s="389"/>
      <c r="AT4" s="389"/>
      <c r="AU4" s="389"/>
      <c r="AV4" s="389"/>
      <c r="AW4" s="389" t="s">
        <v>803</v>
      </c>
      <c r="AX4" s="389"/>
      <c r="AY4" s="389"/>
      <c r="AZ4" s="389"/>
      <c r="BA4" s="389"/>
      <c r="BB4" s="389"/>
      <c r="BC4" s="389"/>
      <c r="BD4" s="389"/>
      <c r="BE4" s="389"/>
      <c r="BF4" s="389" t="s">
        <v>804</v>
      </c>
      <c r="BG4" s="389"/>
      <c r="BH4" s="389"/>
      <c r="BI4" s="389"/>
      <c r="BJ4" s="389"/>
      <c r="BK4" s="389"/>
      <c r="BL4" s="389"/>
      <c r="BM4" s="389"/>
      <c r="BN4" s="389"/>
      <c r="BO4" s="389" t="s">
        <v>805</v>
      </c>
      <c r="BP4" s="389"/>
      <c r="BQ4" s="389"/>
      <c r="BR4" s="389"/>
      <c r="BS4" s="389"/>
      <c r="BT4" s="389"/>
      <c r="BU4" s="389"/>
      <c r="BV4" s="389"/>
      <c r="BW4" s="389"/>
    </row>
    <row r="5" customFormat="false" ht="14.5" hidden="false" customHeight="false" outlineLevel="0" collapsed="false">
      <c r="B5" s="388"/>
      <c r="C5" s="388"/>
      <c r="D5" s="390" t="s">
        <v>6</v>
      </c>
      <c r="E5" s="390" t="s">
        <v>10</v>
      </c>
      <c r="F5" s="390" t="s">
        <v>16</v>
      </c>
      <c r="G5" s="390" t="s">
        <v>15</v>
      </c>
      <c r="H5" s="390" t="s">
        <v>14</v>
      </c>
      <c r="I5" s="390" t="s">
        <v>806</v>
      </c>
      <c r="J5" s="391" t="s">
        <v>12</v>
      </c>
      <c r="K5" s="391" t="s">
        <v>17</v>
      </c>
      <c r="L5" s="391" t="s">
        <v>18</v>
      </c>
      <c r="M5" s="390" t="s">
        <v>6</v>
      </c>
      <c r="N5" s="390" t="s">
        <v>10</v>
      </c>
      <c r="O5" s="390" t="s">
        <v>16</v>
      </c>
      <c r="P5" s="390" t="s">
        <v>15</v>
      </c>
      <c r="Q5" s="390" t="s">
        <v>14</v>
      </c>
      <c r="R5" s="390" t="s">
        <v>806</v>
      </c>
      <c r="S5" s="391" t="s">
        <v>12</v>
      </c>
      <c r="T5" s="391" t="s">
        <v>17</v>
      </c>
      <c r="U5" s="391" t="s">
        <v>18</v>
      </c>
      <c r="V5" s="390" t="s">
        <v>6</v>
      </c>
      <c r="W5" s="390" t="s">
        <v>10</v>
      </c>
      <c r="X5" s="390" t="s">
        <v>16</v>
      </c>
      <c r="Y5" s="390" t="s">
        <v>15</v>
      </c>
      <c r="Z5" s="390" t="s">
        <v>14</v>
      </c>
      <c r="AA5" s="390" t="s">
        <v>806</v>
      </c>
      <c r="AB5" s="391" t="s">
        <v>12</v>
      </c>
      <c r="AC5" s="391" t="s">
        <v>17</v>
      </c>
      <c r="AD5" s="391" t="s">
        <v>18</v>
      </c>
      <c r="AE5" s="390" t="s">
        <v>6</v>
      </c>
      <c r="AF5" s="390" t="s">
        <v>10</v>
      </c>
      <c r="AG5" s="390" t="s">
        <v>16</v>
      </c>
      <c r="AH5" s="390" t="s">
        <v>15</v>
      </c>
      <c r="AI5" s="390" t="s">
        <v>14</v>
      </c>
      <c r="AJ5" s="390" t="s">
        <v>806</v>
      </c>
      <c r="AK5" s="391" t="s">
        <v>12</v>
      </c>
      <c r="AL5" s="391" t="s">
        <v>17</v>
      </c>
      <c r="AM5" s="391" t="s">
        <v>18</v>
      </c>
      <c r="AN5" s="390" t="s">
        <v>6</v>
      </c>
      <c r="AO5" s="390" t="s">
        <v>10</v>
      </c>
      <c r="AP5" s="390" t="s">
        <v>16</v>
      </c>
      <c r="AQ5" s="390" t="s">
        <v>15</v>
      </c>
      <c r="AR5" s="390" t="s">
        <v>14</v>
      </c>
      <c r="AS5" s="390" t="s">
        <v>806</v>
      </c>
      <c r="AT5" s="391" t="s">
        <v>12</v>
      </c>
      <c r="AU5" s="391" t="s">
        <v>17</v>
      </c>
      <c r="AV5" s="391" t="s">
        <v>18</v>
      </c>
      <c r="AW5" s="390" t="s">
        <v>6</v>
      </c>
      <c r="AX5" s="390" t="s">
        <v>10</v>
      </c>
      <c r="AY5" s="390" t="s">
        <v>16</v>
      </c>
      <c r="AZ5" s="390" t="s">
        <v>15</v>
      </c>
      <c r="BA5" s="390" t="s">
        <v>14</v>
      </c>
      <c r="BB5" s="390" t="s">
        <v>806</v>
      </c>
      <c r="BC5" s="391" t="s">
        <v>12</v>
      </c>
      <c r="BD5" s="391" t="s">
        <v>17</v>
      </c>
      <c r="BE5" s="391" t="s">
        <v>18</v>
      </c>
      <c r="BF5" s="390" t="s">
        <v>6</v>
      </c>
      <c r="BG5" s="390" t="s">
        <v>10</v>
      </c>
      <c r="BH5" s="390" t="s">
        <v>16</v>
      </c>
      <c r="BI5" s="390" t="s">
        <v>15</v>
      </c>
      <c r="BJ5" s="390" t="s">
        <v>14</v>
      </c>
      <c r="BK5" s="390" t="s">
        <v>806</v>
      </c>
      <c r="BL5" s="391" t="s">
        <v>12</v>
      </c>
      <c r="BM5" s="391" t="s">
        <v>17</v>
      </c>
      <c r="BN5" s="391" t="s">
        <v>18</v>
      </c>
      <c r="BO5" s="390" t="s">
        <v>6</v>
      </c>
      <c r="BP5" s="390" t="s">
        <v>10</v>
      </c>
      <c r="BQ5" s="390" t="s">
        <v>16</v>
      </c>
      <c r="BR5" s="390" t="s">
        <v>15</v>
      </c>
      <c r="BS5" s="390" t="s">
        <v>14</v>
      </c>
      <c r="BT5" s="390" t="s">
        <v>806</v>
      </c>
      <c r="BU5" s="391" t="s">
        <v>12</v>
      </c>
      <c r="BV5" s="391" t="s">
        <v>17</v>
      </c>
      <c r="BW5" s="391" t="s">
        <v>18</v>
      </c>
    </row>
    <row r="6" customFormat="false" ht="14.5" hidden="false" customHeight="false" outlineLevel="0" collapsed="false">
      <c r="B6" s="392" t="s">
        <v>807</v>
      </c>
      <c r="C6" s="393" t="s">
        <v>808</v>
      </c>
      <c r="D6" s="394" t="n">
        <v>3.085546784</v>
      </c>
      <c r="E6" s="394" t="n">
        <v>0.45881</v>
      </c>
      <c r="F6" s="394" t="n">
        <v>0.522645</v>
      </c>
      <c r="G6" s="394" t="n">
        <v>0</v>
      </c>
      <c r="H6" s="394" t="n">
        <v>0.48256920961041</v>
      </c>
      <c r="I6" s="394" t="n">
        <v>0.271136676990071</v>
      </c>
      <c r="J6" s="394" t="n">
        <v>0.451028900407686</v>
      </c>
      <c r="K6" s="394" t="n">
        <v>0</v>
      </c>
      <c r="L6" s="394" t="n">
        <v>0</v>
      </c>
      <c r="M6" s="394" t="n">
        <v>3.12751636761621</v>
      </c>
      <c r="N6" s="394" t="n">
        <v>0.471555732593739</v>
      </c>
      <c r="O6" s="394" t="n">
        <v>0.528237767270009</v>
      </c>
      <c r="P6" s="394" t="n">
        <v>0</v>
      </c>
      <c r="Q6" s="394" t="n">
        <v>0.496054419302858</v>
      </c>
      <c r="R6" s="394" t="n">
        <v>0.276871530201668</v>
      </c>
      <c r="S6" s="394" t="n">
        <v>0.459013313976418</v>
      </c>
      <c r="T6" s="394" t="n">
        <v>0</v>
      </c>
      <c r="U6" s="394" t="n">
        <v>0</v>
      </c>
      <c r="V6" s="394" t="n">
        <v>3.04052827877767</v>
      </c>
      <c r="W6" s="394" t="n">
        <v>0.458640906022767</v>
      </c>
      <c r="X6" s="394" t="n">
        <v>0.528237767270009</v>
      </c>
      <c r="Y6" s="394" t="n">
        <v>0</v>
      </c>
      <c r="Z6" s="394" t="n">
        <v>0.490921224764433</v>
      </c>
      <c r="AA6" s="394" t="n">
        <v>0.270213032488197</v>
      </c>
      <c r="AB6" s="394" t="n">
        <v>0.4323643495006</v>
      </c>
      <c r="AC6" s="394" t="n">
        <v>0</v>
      </c>
      <c r="AD6" s="394" t="n">
        <v>0</v>
      </c>
      <c r="AE6" s="394" t="n">
        <f aca="false">(V6+M6)/2</f>
        <v>3.08402232319694</v>
      </c>
      <c r="AF6" s="394" t="n">
        <f aca="false">(W6+N6)/2</f>
        <v>0.465098319308253</v>
      </c>
      <c r="AG6" s="394" t="n">
        <f aca="false">(X6+O6)/2</f>
        <v>0.528237767270009</v>
      </c>
      <c r="AH6" s="394" t="n">
        <f aca="false">(Y6+P6)/2</f>
        <v>0</v>
      </c>
      <c r="AI6" s="394" t="n">
        <f aca="false">(Z6+Q6)/2</f>
        <v>0.493487822033645</v>
      </c>
      <c r="AJ6" s="394" t="n">
        <f aca="false">(AA6+R6)/2</f>
        <v>0.273542281344932</v>
      </c>
      <c r="AK6" s="394" t="n">
        <f aca="false">(AB6+S6)/2</f>
        <v>0.445688831738509</v>
      </c>
      <c r="AL6" s="394" t="n">
        <f aca="false">(AC6+T6)/2</f>
        <v>0</v>
      </c>
      <c r="AM6" s="394" t="n">
        <f aca="false">(AD6+U6)/2</f>
        <v>0</v>
      </c>
      <c r="AN6" s="394" t="n">
        <v>2.93509603045838</v>
      </c>
      <c r="AO6" s="394" t="n">
        <v>0.457853600513809</v>
      </c>
      <c r="AP6" s="394" t="n">
        <v>0.540494105280645</v>
      </c>
      <c r="AQ6" s="394" t="n">
        <v>0</v>
      </c>
      <c r="AR6" s="394" t="n">
        <v>0.509407392576201</v>
      </c>
      <c r="AS6" s="394" t="n">
        <v>0.265146308764397</v>
      </c>
      <c r="AT6" s="394" t="n">
        <v>0.372784699540738</v>
      </c>
      <c r="AU6" s="394" t="n">
        <v>0</v>
      </c>
      <c r="AV6" s="394" t="n">
        <v>0</v>
      </c>
      <c r="AW6" s="394" t="n">
        <v>2.61687907763234</v>
      </c>
      <c r="AX6" s="394" t="n">
        <v>0.450618818304772</v>
      </c>
      <c r="AY6" s="394" t="n">
        <v>0.559366278368134</v>
      </c>
      <c r="AZ6" s="394" t="n">
        <v>0</v>
      </c>
      <c r="BA6" s="394" t="n">
        <v>0.392559213736982</v>
      </c>
      <c r="BB6" s="394" t="n">
        <v>0.192667185640519</v>
      </c>
      <c r="BC6" s="394" t="n">
        <v>0.255791350135757</v>
      </c>
      <c r="BD6" s="394" t="n">
        <v>0</v>
      </c>
      <c r="BE6" s="394" t="n">
        <v>0</v>
      </c>
      <c r="BF6" s="394" t="n">
        <v>2.59927626469525</v>
      </c>
      <c r="BG6" s="394" t="n">
        <v>0.450193371394629</v>
      </c>
      <c r="BH6" s="394" t="n">
        <v>0.560354624050309</v>
      </c>
      <c r="BI6" s="394" t="n">
        <v>0</v>
      </c>
      <c r="BJ6" s="394" t="n">
        <v>0.385814785611527</v>
      </c>
      <c r="BK6" s="394" t="n">
        <v>0.188544759287372</v>
      </c>
      <c r="BL6" s="394" t="n">
        <v>0.24906190798263</v>
      </c>
      <c r="BM6" s="394" t="n">
        <v>0</v>
      </c>
      <c r="BN6" s="394" t="n">
        <v>0</v>
      </c>
      <c r="BO6" s="394" t="n">
        <v>2.59927626469525</v>
      </c>
      <c r="BP6" s="394" t="n">
        <v>0.450193371394629</v>
      </c>
      <c r="BQ6" s="394" t="n">
        <v>0.560354624050309</v>
      </c>
      <c r="BR6" s="394" t="n">
        <v>0</v>
      </c>
      <c r="BS6" s="394" t="n">
        <v>0.385814785611527</v>
      </c>
      <c r="BT6" s="394" t="n">
        <v>0.188544759287372</v>
      </c>
      <c r="BU6" s="394" t="n">
        <v>0.24906190798263</v>
      </c>
      <c r="BV6" s="394" t="n">
        <v>0</v>
      </c>
      <c r="BW6" s="394" t="n">
        <v>0</v>
      </c>
      <c r="BY6" s="80" t="n">
        <f aca="false">SUM(AW6:BE6)</f>
        <v>4.4678819238185</v>
      </c>
      <c r="BZ6" s="80" t="n">
        <f aca="false">SUM(BO6:BW6)</f>
        <v>4.43324571302172</v>
      </c>
    </row>
    <row r="7" customFormat="false" ht="14.5" hidden="false" customHeight="false" outlineLevel="0" collapsed="false">
      <c r="B7" s="395" t="s">
        <v>809</v>
      </c>
      <c r="C7" s="393" t="s">
        <v>808</v>
      </c>
      <c r="D7" s="396" t="n">
        <v>2.70546976</v>
      </c>
      <c r="E7" s="396" t="n">
        <v>0.26743</v>
      </c>
      <c r="F7" s="396" t="n">
        <v>0</v>
      </c>
      <c r="G7" s="396" t="n">
        <v>0</v>
      </c>
      <c r="H7" s="397" t="n">
        <v>0</v>
      </c>
      <c r="I7" s="397" t="n">
        <v>0</v>
      </c>
      <c r="J7" s="397" t="n">
        <v>0</v>
      </c>
      <c r="K7" s="397" t="n">
        <v>0</v>
      </c>
      <c r="L7" s="397" t="n">
        <v>0</v>
      </c>
      <c r="M7" s="397" t="n">
        <v>2.70657049891399</v>
      </c>
      <c r="N7" s="397" t="n">
        <v>0.267538805728351</v>
      </c>
      <c r="O7" s="397" t="n">
        <v>0</v>
      </c>
      <c r="P7" s="397" t="n">
        <v>0</v>
      </c>
      <c r="Q7" s="397" t="n">
        <v>0</v>
      </c>
      <c r="R7" s="397" t="n">
        <v>0</v>
      </c>
      <c r="S7" s="397" t="n">
        <v>0</v>
      </c>
      <c r="T7" s="397" t="n">
        <v>0</v>
      </c>
      <c r="U7" s="397" t="n">
        <v>0</v>
      </c>
      <c r="V7" s="397" t="n">
        <v>2.64243375723356</v>
      </c>
      <c r="W7" s="397" t="n">
        <v>0.261199023602087</v>
      </c>
      <c r="X7" s="397" t="n">
        <v>0</v>
      </c>
      <c r="Y7" s="397" t="n">
        <v>0</v>
      </c>
      <c r="Z7" s="397" t="n">
        <v>0</v>
      </c>
      <c r="AA7" s="397" t="n">
        <v>0</v>
      </c>
      <c r="AB7" s="397" t="n">
        <v>0</v>
      </c>
      <c r="AC7" s="397" t="n">
        <v>0</v>
      </c>
      <c r="AD7" s="397" t="n">
        <v>0</v>
      </c>
      <c r="AE7" s="397" t="n">
        <f aca="false">(V7+M7)/2</f>
        <v>2.67450212807378</v>
      </c>
      <c r="AF7" s="397" t="n">
        <f aca="false">(W7+N7)/2</f>
        <v>0.264368914665219</v>
      </c>
      <c r="AG7" s="397" t="n">
        <f aca="false">(X7+O7)/2</f>
        <v>0</v>
      </c>
      <c r="AH7" s="397" t="n">
        <f aca="false">(Y7+P7)/2</f>
        <v>0</v>
      </c>
      <c r="AI7" s="397" t="n">
        <f aca="false">(Z7+Q7)/2</f>
        <v>0</v>
      </c>
      <c r="AJ7" s="397" t="n">
        <f aca="false">(AA7+R7)/2</f>
        <v>0</v>
      </c>
      <c r="AK7" s="397" t="n">
        <f aca="false">(AB7+S7)/2</f>
        <v>0</v>
      </c>
      <c r="AL7" s="397" t="n">
        <f aca="false">(AC7+T7)/2</f>
        <v>0</v>
      </c>
      <c r="AM7" s="397" t="n">
        <f aca="false">(AD7+U7)/2</f>
        <v>0</v>
      </c>
      <c r="AN7" s="396" t="n">
        <v>2.49617717732327</v>
      </c>
      <c r="AO7" s="396" t="n">
        <v>0.246741868048661</v>
      </c>
      <c r="AP7" s="396" t="n">
        <v>0</v>
      </c>
      <c r="AQ7" s="396" t="n">
        <v>0</v>
      </c>
      <c r="AR7" s="397" t="n">
        <v>0</v>
      </c>
      <c r="AS7" s="397" t="n">
        <v>0</v>
      </c>
      <c r="AT7" s="397" t="n">
        <v>0</v>
      </c>
      <c r="AU7" s="397" t="n">
        <v>0</v>
      </c>
      <c r="AV7" s="397" t="n">
        <v>0</v>
      </c>
      <c r="AW7" s="396" t="n">
        <v>2.06541114133777</v>
      </c>
      <c r="AX7" s="396" t="n">
        <v>0.204161550683146</v>
      </c>
      <c r="AY7" s="396" t="n">
        <v>0</v>
      </c>
      <c r="AZ7" s="396" t="n">
        <v>0</v>
      </c>
      <c r="BA7" s="397" t="n">
        <v>0</v>
      </c>
      <c r="BB7" s="397" t="n">
        <v>0</v>
      </c>
      <c r="BC7" s="397" t="n">
        <v>0</v>
      </c>
      <c r="BD7" s="397" t="n">
        <v>0</v>
      </c>
      <c r="BE7" s="397" t="n">
        <v>0</v>
      </c>
      <c r="BF7" s="396" t="n">
        <v>2.04166987754325</v>
      </c>
      <c r="BG7" s="396" t="n">
        <v>0.201814776651353</v>
      </c>
      <c r="BH7" s="396" t="n">
        <v>0</v>
      </c>
      <c r="BI7" s="396" t="n">
        <v>0</v>
      </c>
      <c r="BJ7" s="397" t="n">
        <v>0</v>
      </c>
      <c r="BK7" s="397" t="n">
        <v>0</v>
      </c>
      <c r="BL7" s="397" t="n">
        <v>0</v>
      </c>
      <c r="BM7" s="397" t="n">
        <v>0</v>
      </c>
      <c r="BN7" s="397" t="n">
        <v>0</v>
      </c>
      <c r="BO7" s="396" t="n">
        <v>2.04166987754325</v>
      </c>
      <c r="BP7" s="396" t="n">
        <v>0.201814776651353</v>
      </c>
      <c r="BQ7" s="396" t="n">
        <v>0</v>
      </c>
      <c r="BR7" s="396" t="n">
        <v>0</v>
      </c>
      <c r="BS7" s="397" t="n">
        <v>0</v>
      </c>
      <c r="BT7" s="397" t="n">
        <v>0</v>
      </c>
      <c r="BU7" s="397" t="n">
        <v>0</v>
      </c>
      <c r="BV7" s="397" t="n">
        <v>0</v>
      </c>
      <c r="BW7" s="397" t="n">
        <v>0</v>
      </c>
    </row>
    <row r="8" customFormat="false" ht="14.5" hidden="false" customHeight="false" outlineLevel="0" collapsed="false">
      <c r="B8" s="395" t="s">
        <v>572</v>
      </c>
      <c r="C8" s="393" t="s">
        <v>808</v>
      </c>
      <c r="D8" s="396" t="n">
        <v>0.380077024</v>
      </c>
      <c r="E8" s="396" t="n">
        <v>0.10936</v>
      </c>
      <c r="F8" s="396" t="n">
        <v>0</v>
      </c>
      <c r="G8" s="396" t="n">
        <v>0</v>
      </c>
      <c r="H8" s="397" t="n">
        <v>0.0853535543506169</v>
      </c>
      <c r="I8" s="397" t="n">
        <v>0.03746889010121</v>
      </c>
      <c r="J8" s="397" t="n">
        <v>0.0707154819856248</v>
      </c>
      <c r="K8" s="397" t="n">
        <v>0</v>
      </c>
      <c r="L8" s="397" t="n">
        <v>0</v>
      </c>
      <c r="M8" s="397" t="n">
        <v>0.420945868702224</v>
      </c>
      <c r="N8" s="397" t="n">
        <v>0.121119239770924</v>
      </c>
      <c r="O8" s="397" t="n">
        <v>0</v>
      </c>
      <c r="P8" s="397" t="n">
        <v>0</v>
      </c>
      <c r="Q8" s="397" t="n">
        <v>0.0945588467604545</v>
      </c>
      <c r="R8" s="397" t="n">
        <v>0.0414315702566988</v>
      </c>
      <c r="S8" s="397" t="n">
        <v>0.0776276806772057</v>
      </c>
      <c r="T8" s="397" t="n">
        <v>0</v>
      </c>
      <c r="U8" s="397" t="n">
        <v>0</v>
      </c>
      <c r="V8" s="397" t="n">
        <v>0.398094521544103</v>
      </c>
      <c r="W8" s="397" t="n">
        <v>0.114544195326217</v>
      </c>
      <c r="X8" s="397" t="n">
        <v>0</v>
      </c>
      <c r="Y8" s="397" t="n">
        <v>0</v>
      </c>
      <c r="Z8" s="397" t="n">
        <v>0.0894256522220298</v>
      </c>
      <c r="AA8" s="397" t="n">
        <v>0.0388330596984015</v>
      </c>
      <c r="AB8" s="397" t="n">
        <v>0.0685340403669033</v>
      </c>
      <c r="AC8" s="397" t="n">
        <v>0</v>
      </c>
      <c r="AD8" s="397" t="n">
        <v>0</v>
      </c>
      <c r="AE8" s="397" t="n">
        <f aca="false">(V8+M8)/2</f>
        <v>0.409520195123164</v>
      </c>
      <c r="AF8" s="397" t="n">
        <f aca="false">(W8+N8)/2</f>
        <v>0.11783171754857</v>
      </c>
      <c r="AG8" s="397" t="n">
        <f aca="false">(X8+O8)/2</f>
        <v>0</v>
      </c>
      <c r="AH8" s="397" t="n">
        <f aca="false">(Y8+P8)/2</f>
        <v>0</v>
      </c>
      <c r="AI8" s="397" t="n">
        <f aca="false">(Z8+Q8)/2</f>
        <v>0.0919922494912421</v>
      </c>
      <c r="AJ8" s="397" t="n">
        <f aca="false">(AA8+R8)/2</f>
        <v>0.0401323149775501</v>
      </c>
      <c r="AK8" s="397" t="n">
        <f aca="false">(AB8+S8)/2</f>
        <v>0.0730808605220545</v>
      </c>
      <c r="AL8" s="397" t="n">
        <f aca="false">(AC8+T8)/2</f>
        <v>0</v>
      </c>
      <c r="AM8" s="397" t="n">
        <f aca="false">(AD8+U8)/2</f>
        <v>0</v>
      </c>
      <c r="AN8" s="396" t="n">
        <v>0.438918853135112</v>
      </c>
      <c r="AO8" s="396" t="n">
        <v>0.126290627288367</v>
      </c>
      <c r="AP8" s="396" t="n">
        <v>0</v>
      </c>
      <c r="AQ8" s="396" t="n">
        <v>0</v>
      </c>
      <c r="AR8" s="397" t="n">
        <v>0.0985961940945833</v>
      </c>
      <c r="AS8" s="397" t="n">
        <v>0.041591941000799</v>
      </c>
      <c r="AT8" s="397" t="n">
        <v>0.0585067022437819</v>
      </c>
      <c r="AU8" s="397" t="n">
        <v>0</v>
      </c>
      <c r="AV8" s="397" t="n">
        <v>0</v>
      </c>
      <c r="AW8" s="396" t="n">
        <v>0.551467936294571</v>
      </c>
      <c r="AX8" s="396" t="n">
        <v>0.158674504652968</v>
      </c>
      <c r="AY8" s="396" t="n">
        <v>0</v>
      </c>
      <c r="AZ8" s="396" t="n">
        <v>0</v>
      </c>
      <c r="BA8" s="397" t="n">
        <v>0.0885731772428045</v>
      </c>
      <c r="BB8" s="397" t="n">
        <v>0.0363399590808243</v>
      </c>
      <c r="BC8" s="397" t="n">
        <v>0.0402862969944894</v>
      </c>
      <c r="BD8" s="397" t="n">
        <v>0</v>
      </c>
      <c r="BE8" s="397" t="n">
        <v>0</v>
      </c>
      <c r="BF8" s="396" t="n">
        <v>0.557606387152002</v>
      </c>
      <c r="BG8" s="396" t="n">
        <v>0.16044072819025</v>
      </c>
      <c r="BH8" s="396" t="n">
        <v>0</v>
      </c>
      <c r="BI8" s="396" t="n">
        <v>0</v>
      </c>
      <c r="BJ8" s="397" t="n">
        <v>0.087680232982305</v>
      </c>
      <c r="BK8" s="397" t="n">
        <v>0.0358973944680279</v>
      </c>
      <c r="BL8" s="397" t="n">
        <v>0.0389666912432005</v>
      </c>
      <c r="BM8" s="397" t="n">
        <v>0</v>
      </c>
      <c r="BN8" s="397" t="n">
        <v>0</v>
      </c>
      <c r="BO8" s="396" t="n">
        <v>0.557606387152002</v>
      </c>
      <c r="BP8" s="396" t="n">
        <v>0.16044072819025</v>
      </c>
      <c r="BQ8" s="396" t="n">
        <v>0</v>
      </c>
      <c r="BR8" s="396" t="n">
        <v>0</v>
      </c>
      <c r="BS8" s="397" t="n">
        <v>0.087680232982305</v>
      </c>
      <c r="BT8" s="397" t="n">
        <v>0.0358973944680279</v>
      </c>
      <c r="BU8" s="397" t="n">
        <v>0.0389666912432005</v>
      </c>
      <c r="BV8" s="397" t="n">
        <v>0</v>
      </c>
      <c r="BW8" s="397" t="n">
        <v>0</v>
      </c>
    </row>
    <row r="9" customFormat="false" ht="14.5" hidden="false" customHeight="false" outlineLevel="0" collapsed="false">
      <c r="B9" s="395" t="s">
        <v>810</v>
      </c>
      <c r="C9" s="393" t="s">
        <v>808</v>
      </c>
      <c r="D9" s="396" t="n">
        <v>0</v>
      </c>
      <c r="E9" s="396" t="n">
        <v>0</v>
      </c>
      <c r="F9" s="396" t="n">
        <v>0</v>
      </c>
      <c r="G9" s="396" t="n">
        <v>0</v>
      </c>
      <c r="H9" s="397" t="n">
        <v>0</v>
      </c>
      <c r="I9" s="397" t="n">
        <v>0</v>
      </c>
      <c r="J9" s="397" t="n">
        <v>0</v>
      </c>
      <c r="K9" s="397" t="n">
        <v>0</v>
      </c>
      <c r="L9" s="397" t="n">
        <v>0</v>
      </c>
      <c r="M9" s="397" t="n">
        <v>0</v>
      </c>
      <c r="N9" s="397" t="n">
        <v>0</v>
      </c>
      <c r="O9" s="397" t="n">
        <v>0</v>
      </c>
      <c r="P9" s="397" t="n">
        <v>0</v>
      </c>
      <c r="Q9" s="397" t="n">
        <v>0</v>
      </c>
      <c r="R9" s="397" t="n">
        <v>0</v>
      </c>
      <c r="S9" s="397" t="n">
        <v>0</v>
      </c>
      <c r="T9" s="397" t="n">
        <v>0</v>
      </c>
      <c r="U9" s="397" t="n">
        <v>0</v>
      </c>
      <c r="V9" s="397" t="n">
        <v>0</v>
      </c>
      <c r="W9" s="397" t="n">
        <v>0</v>
      </c>
      <c r="X9" s="397" t="n">
        <v>0</v>
      </c>
      <c r="Y9" s="397" t="n">
        <v>0</v>
      </c>
      <c r="Z9" s="397" t="n">
        <v>0</v>
      </c>
      <c r="AA9" s="397" t="n">
        <v>0</v>
      </c>
      <c r="AB9" s="397" t="n">
        <v>0</v>
      </c>
      <c r="AC9" s="397" t="n">
        <v>0</v>
      </c>
      <c r="AD9" s="397" t="n">
        <v>0</v>
      </c>
      <c r="AE9" s="397" t="n">
        <f aca="false">(V9+M9)/2</f>
        <v>0</v>
      </c>
      <c r="AF9" s="397" t="n">
        <f aca="false">(W9+N9)/2</f>
        <v>0</v>
      </c>
      <c r="AG9" s="397" t="n">
        <f aca="false">(X9+O9)/2</f>
        <v>0</v>
      </c>
      <c r="AH9" s="397" t="n">
        <f aca="false">(Y9+P9)/2</f>
        <v>0</v>
      </c>
      <c r="AI9" s="397" t="n">
        <f aca="false">(Z9+Q9)/2</f>
        <v>0</v>
      </c>
      <c r="AJ9" s="397" t="n">
        <f aca="false">(AA9+R9)/2</f>
        <v>0</v>
      </c>
      <c r="AK9" s="397" t="n">
        <f aca="false">(AB9+S9)/2</f>
        <v>0</v>
      </c>
      <c r="AL9" s="397" t="n">
        <f aca="false">(AC9+T9)/2</f>
        <v>0</v>
      </c>
      <c r="AM9" s="397" t="n">
        <f aca="false">(AD9+U9)/2</f>
        <v>0</v>
      </c>
      <c r="AN9" s="396" t="n">
        <v>0</v>
      </c>
      <c r="AO9" s="396" t="n">
        <v>0</v>
      </c>
      <c r="AP9" s="396" t="n">
        <v>0</v>
      </c>
      <c r="AQ9" s="396" t="n">
        <v>0</v>
      </c>
      <c r="AR9" s="397" t="n">
        <v>0</v>
      </c>
      <c r="AS9" s="397" t="n">
        <v>0</v>
      </c>
      <c r="AT9" s="397" t="n">
        <v>0</v>
      </c>
      <c r="AU9" s="397" t="n">
        <v>0</v>
      </c>
      <c r="AV9" s="397" t="n">
        <v>0</v>
      </c>
      <c r="AW9" s="396" t="n">
        <v>0</v>
      </c>
      <c r="AX9" s="396" t="n">
        <v>0</v>
      </c>
      <c r="AY9" s="396" t="n">
        <v>0</v>
      </c>
      <c r="AZ9" s="396" t="n">
        <v>0</v>
      </c>
      <c r="BA9" s="397" t="n">
        <v>0</v>
      </c>
      <c r="BB9" s="397" t="n">
        <v>0</v>
      </c>
      <c r="BC9" s="397" t="n">
        <v>0</v>
      </c>
      <c r="BD9" s="397" t="n">
        <v>0</v>
      </c>
      <c r="BE9" s="397" t="n">
        <v>0</v>
      </c>
      <c r="BF9" s="396" t="n">
        <v>0</v>
      </c>
      <c r="BG9" s="396" t="n">
        <v>0</v>
      </c>
      <c r="BH9" s="396" t="n">
        <v>0</v>
      </c>
      <c r="BI9" s="396" t="n">
        <v>0</v>
      </c>
      <c r="BJ9" s="397" t="n">
        <v>0</v>
      </c>
      <c r="BK9" s="397" t="n">
        <v>0</v>
      </c>
      <c r="BL9" s="397" t="n">
        <v>0</v>
      </c>
      <c r="BM9" s="397" t="n">
        <v>0</v>
      </c>
      <c r="BN9" s="397" t="n">
        <v>0</v>
      </c>
      <c r="BO9" s="396" t="n">
        <v>0</v>
      </c>
      <c r="BP9" s="396" t="n">
        <v>0</v>
      </c>
      <c r="BQ9" s="396" t="n">
        <v>0</v>
      </c>
      <c r="BR9" s="396" t="n">
        <v>0</v>
      </c>
      <c r="BS9" s="397" t="n">
        <v>0</v>
      </c>
      <c r="BT9" s="397" t="n">
        <v>0</v>
      </c>
      <c r="BU9" s="397" t="n">
        <v>0</v>
      </c>
      <c r="BV9" s="397" t="n">
        <v>0</v>
      </c>
      <c r="BW9" s="397" t="n">
        <v>0</v>
      </c>
    </row>
    <row r="10" customFormat="false" ht="14.5" hidden="false" customHeight="false" outlineLevel="0" collapsed="false">
      <c r="B10" s="395" t="s">
        <v>811</v>
      </c>
      <c r="C10" s="393" t="s">
        <v>808</v>
      </c>
      <c r="D10" s="396" t="n">
        <v>0</v>
      </c>
      <c r="E10" s="396" t="n">
        <v>0</v>
      </c>
      <c r="F10" s="396" t="n">
        <v>0</v>
      </c>
      <c r="G10" s="396" t="n">
        <v>0</v>
      </c>
      <c r="H10" s="397" t="n">
        <v>0</v>
      </c>
      <c r="I10" s="397" t="n">
        <v>0</v>
      </c>
      <c r="J10" s="397" t="n">
        <v>0.0737</v>
      </c>
      <c r="K10" s="397" t="n">
        <v>0</v>
      </c>
      <c r="L10" s="397" t="n">
        <v>0</v>
      </c>
      <c r="M10" s="397" t="n">
        <v>0</v>
      </c>
      <c r="N10" s="397" t="n">
        <v>0</v>
      </c>
      <c r="O10" s="397" t="n">
        <v>0</v>
      </c>
      <c r="P10" s="397" t="n">
        <v>0</v>
      </c>
      <c r="Q10" s="397" t="n">
        <v>0</v>
      </c>
      <c r="R10" s="397" t="n">
        <v>0</v>
      </c>
      <c r="S10" s="397" t="n">
        <v>0.0734299160029543</v>
      </c>
      <c r="T10" s="397" t="n">
        <v>0</v>
      </c>
      <c r="U10" s="397" t="n">
        <v>0</v>
      </c>
      <c r="V10" s="397" t="n">
        <v>0</v>
      </c>
      <c r="W10" s="397" t="n">
        <v>0</v>
      </c>
      <c r="X10" s="397" t="n">
        <v>0</v>
      </c>
      <c r="Y10" s="397" t="n">
        <v>0</v>
      </c>
      <c r="Z10" s="397" t="n">
        <v>0</v>
      </c>
      <c r="AA10" s="397" t="n">
        <v>0</v>
      </c>
      <c r="AB10" s="397" t="n">
        <v>0.0720312509362314</v>
      </c>
      <c r="AC10" s="397" t="n">
        <v>0</v>
      </c>
      <c r="AD10" s="397" t="n">
        <v>0</v>
      </c>
      <c r="AE10" s="397" t="n">
        <f aca="false">(V10+M10)/2</f>
        <v>0</v>
      </c>
      <c r="AF10" s="397" t="n">
        <f aca="false">(W10+N10)/2</f>
        <v>0</v>
      </c>
      <c r="AG10" s="397" t="n">
        <f aca="false">(X10+O10)/2</f>
        <v>0</v>
      </c>
      <c r="AH10" s="397" t="n">
        <f aca="false">(Y10+P10)/2</f>
        <v>0</v>
      </c>
      <c r="AI10" s="397" t="n">
        <f aca="false">(Z10+Q10)/2</f>
        <v>0</v>
      </c>
      <c r="AJ10" s="397" t="n">
        <f aca="false">(AA10+R10)/2</f>
        <v>0</v>
      </c>
      <c r="AK10" s="397" t="n">
        <f aca="false">(AB10+S10)/2</f>
        <v>0.0727305834695929</v>
      </c>
      <c r="AL10" s="397" t="n">
        <f aca="false">(AC10+T10)/2</f>
        <v>0</v>
      </c>
      <c r="AM10" s="397" t="n">
        <f aca="false">(AD10+U10)/2</f>
        <v>0</v>
      </c>
      <c r="AN10" s="396" t="n">
        <v>0</v>
      </c>
      <c r="AO10" s="396" t="n">
        <v>0</v>
      </c>
      <c r="AP10" s="396" t="n">
        <v>0</v>
      </c>
      <c r="AQ10" s="396" t="n">
        <v>0</v>
      </c>
      <c r="AR10" s="397" t="n">
        <v>0</v>
      </c>
      <c r="AS10" s="397" t="n">
        <v>0</v>
      </c>
      <c r="AT10" s="397" t="n">
        <v>0.0681451197885409</v>
      </c>
      <c r="AU10" s="397" t="n">
        <v>0</v>
      </c>
      <c r="AV10" s="397" t="n">
        <v>0</v>
      </c>
      <c r="AW10" s="396" t="n">
        <v>0</v>
      </c>
      <c r="AX10" s="396" t="n">
        <v>0</v>
      </c>
      <c r="AY10" s="396" t="n">
        <v>0</v>
      </c>
      <c r="AZ10" s="396" t="n">
        <v>0</v>
      </c>
      <c r="BA10" s="397" t="n">
        <v>0</v>
      </c>
      <c r="BB10" s="397" t="n">
        <v>0</v>
      </c>
      <c r="BC10" s="397" t="n">
        <v>0.0565295676255101</v>
      </c>
      <c r="BD10" s="397" t="n">
        <v>0</v>
      </c>
      <c r="BE10" s="397" t="n">
        <v>0</v>
      </c>
      <c r="BF10" s="396" t="n">
        <v>0</v>
      </c>
      <c r="BG10" s="396" t="n">
        <v>0</v>
      </c>
      <c r="BH10" s="396" t="n">
        <v>0</v>
      </c>
      <c r="BI10" s="396" t="n">
        <v>0</v>
      </c>
      <c r="BJ10" s="397" t="n">
        <v>0</v>
      </c>
      <c r="BK10" s="397" t="n">
        <v>0</v>
      </c>
      <c r="BL10" s="397" t="n">
        <v>0.0558872938296899</v>
      </c>
      <c r="BM10" s="397" t="n">
        <v>0</v>
      </c>
      <c r="BN10" s="397" t="n">
        <v>0</v>
      </c>
      <c r="BO10" s="396" t="n">
        <v>0</v>
      </c>
      <c r="BP10" s="396" t="n">
        <v>0</v>
      </c>
      <c r="BQ10" s="396" t="n">
        <v>0</v>
      </c>
      <c r="BR10" s="396" t="n">
        <v>0</v>
      </c>
      <c r="BS10" s="397" t="n">
        <v>0</v>
      </c>
      <c r="BT10" s="397" t="n">
        <v>0</v>
      </c>
      <c r="BU10" s="397" t="n">
        <v>0.0558872938296899</v>
      </c>
      <c r="BV10" s="397" t="n">
        <v>0</v>
      </c>
      <c r="BW10" s="397" t="n">
        <v>0</v>
      </c>
    </row>
    <row r="11" customFormat="false" ht="14.5" hidden="false" customHeight="false" outlineLevel="0" collapsed="false">
      <c r="B11" s="398" t="s">
        <v>812</v>
      </c>
      <c r="C11" s="393" t="s">
        <v>808</v>
      </c>
      <c r="D11" s="396" t="n">
        <v>0</v>
      </c>
      <c r="E11" s="396" t="n">
        <v>0.08202</v>
      </c>
      <c r="F11" s="396" t="n">
        <v>0.522645</v>
      </c>
      <c r="G11" s="396" t="n">
        <v>0</v>
      </c>
      <c r="H11" s="397" t="n">
        <v>0.397215655259793</v>
      </c>
      <c r="I11" s="397" t="n">
        <v>0.233667786888861</v>
      </c>
      <c r="J11" s="397" t="n">
        <v>0.306613418422061</v>
      </c>
      <c r="K11" s="397" t="n">
        <v>0</v>
      </c>
      <c r="L11" s="397" t="n">
        <v>0</v>
      </c>
      <c r="M11" s="397" t="n">
        <v>0</v>
      </c>
      <c r="N11" s="397" t="n">
        <v>0.0828976870944641</v>
      </c>
      <c r="O11" s="397" t="n">
        <v>0.528237767270009</v>
      </c>
      <c r="P11" s="397" t="n">
        <v>0</v>
      </c>
      <c r="Q11" s="397" t="n">
        <v>0.401495572542403</v>
      </c>
      <c r="R11" s="397" t="n">
        <v>0.23543995994497</v>
      </c>
      <c r="S11" s="397" t="n">
        <v>0.307955717296258</v>
      </c>
      <c r="T11" s="397" t="n">
        <v>0</v>
      </c>
      <c r="U11" s="397" t="n">
        <v>0</v>
      </c>
      <c r="V11" s="397" t="n">
        <v>0</v>
      </c>
      <c r="W11" s="397" t="n">
        <v>0.0828976870944641</v>
      </c>
      <c r="X11" s="397" t="n">
        <v>0.528237767270009</v>
      </c>
      <c r="Y11" s="397" t="n">
        <v>0</v>
      </c>
      <c r="Z11" s="397" t="n">
        <v>0.401495572542403</v>
      </c>
      <c r="AA11" s="397" t="n">
        <v>0.231379972789795</v>
      </c>
      <c r="AB11" s="397" t="n">
        <v>0.291799058197465</v>
      </c>
      <c r="AC11" s="397" t="n">
        <v>0</v>
      </c>
      <c r="AD11" s="397" t="n">
        <v>0</v>
      </c>
      <c r="AE11" s="397" t="n">
        <f aca="false">(V11+M11)/2</f>
        <v>0</v>
      </c>
      <c r="AF11" s="397" t="n">
        <f aca="false">(W11+N11)/2</f>
        <v>0.0828976870944641</v>
      </c>
      <c r="AG11" s="397" t="n">
        <f aca="false">(X11+O11)/2</f>
        <v>0.528237767270009</v>
      </c>
      <c r="AH11" s="397" t="n">
        <f aca="false">(Y11+P11)/2</f>
        <v>0</v>
      </c>
      <c r="AI11" s="397" t="n">
        <f aca="false">(Z11+Q11)/2</f>
        <v>0.401495572542403</v>
      </c>
      <c r="AJ11" s="397" t="n">
        <f aca="false">(AA11+R11)/2</f>
        <v>0.233409966367382</v>
      </c>
      <c r="AK11" s="397" t="n">
        <f aca="false">(AB11+S11)/2</f>
        <v>0.299877387746862</v>
      </c>
      <c r="AL11" s="397" t="n">
        <f aca="false">(AC11+T11)/2</f>
        <v>0</v>
      </c>
      <c r="AM11" s="397" t="n">
        <f aca="false">(AD11+U11)/2</f>
        <v>0</v>
      </c>
      <c r="AN11" s="396" t="n">
        <v>0</v>
      </c>
      <c r="AO11" s="396" t="n">
        <v>0.0848211051767807</v>
      </c>
      <c r="AP11" s="396" t="n">
        <v>0.540494105280645</v>
      </c>
      <c r="AQ11" s="396" t="n">
        <v>0</v>
      </c>
      <c r="AR11" s="397" t="n">
        <v>0.410811198481618</v>
      </c>
      <c r="AS11" s="397" t="n">
        <v>0.223554367763598</v>
      </c>
      <c r="AT11" s="397" t="n">
        <v>0.246132877508415</v>
      </c>
      <c r="AU11" s="397" t="n">
        <v>0</v>
      </c>
      <c r="AV11" s="397" t="n">
        <v>0</v>
      </c>
      <c r="AW11" s="396" t="n">
        <v>0</v>
      </c>
      <c r="AX11" s="396" t="n">
        <v>0.0877827629686581</v>
      </c>
      <c r="AY11" s="396" t="n">
        <v>0.559366278368134</v>
      </c>
      <c r="AZ11" s="396" t="n">
        <v>0</v>
      </c>
      <c r="BA11" s="397" t="n">
        <v>0.303986036494177</v>
      </c>
      <c r="BB11" s="397" t="n">
        <v>0.156327226559694</v>
      </c>
      <c r="BC11" s="397" t="n">
        <v>0.158975485515757</v>
      </c>
      <c r="BD11" s="397" t="n">
        <v>0</v>
      </c>
      <c r="BE11" s="397" t="n">
        <v>0</v>
      </c>
      <c r="BF11" s="396" t="n">
        <v>0</v>
      </c>
      <c r="BG11" s="396" t="n">
        <v>0.0879378665530261</v>
      </c>
      <c r="BH11" s="396" t="n">
        <v>0.560354624050309</v>
      </c>
      <c r="BI11" s="396" t="n">
        <v>0</v>
      </c>
      <c r="BJ11" s="397" t="n">
        <v>0.298134552629222</v>
      </c>
      <c r="BK11" s="397" t="n">
        <v>0.152647364819344</v>
      </c>
      <c r="BL11" s="397" t="n">
        <v>0.15420792290974</v>
      </c>
      <c r="BM11" s="397" t="n">
        <v>0</v>
      </c>
      <c r="BN11" s="397" t="n">
        <v>0</v>
      </c>
      <c r="BO11" s="396" t="n">
        <v>0</v>
      </c>
      <c r="BP11" s="396" t="n">
        <v>0.0879378665530261</v>
      </c>
      <c r="BQ11" s="396" t="n">
        <v>0.560354624050309</v>
      </c>
      <c r="BR11" s="396" t="n">
        <v>0</v>
      </c>
      <c r="BS11" s="397" t="n">
        <v>0.298134552629222</v>
      </c>
      <c r="BT11" s="397" t="n">
        <v>0.152647364819344</v>
      </c>
      <c r="BU11" s="397" t="n">
        <v>0.15420792290974</v>
      </c>
      <c r="BV11" s="397" t="n">
        <v>0</v>
      </c>
      <c r="BW11" s="397" t="n">
        <v>0</v>
      </c>
    </row>
    <row r="12" customFormat="false" ht="14.5" hidden="false" customHeight="false" outlineLevel="0" collapsed="false">
      <c r="B12" s="399" t="s">
        <v>813</v>
      </c>
      <c r="C12" s="393" t="s">
        <v>808</v>
      </c>
      <c r="D12" s="400" t="n">
        <v>0.472</v>
      </c>
      <c r="E12" s="400" t="n">
        <v>0.129</v>
      </c>
      <c r="F12" s="400" t="n">
        <v>3.225</v>
      </c>
      <c r="G12" s="400" t="n">
        <v>0</v>
      </c>
      <c r="H12" s="400" t="n">
        <v>0.0050241974510259</v>
      </c>
      <c r="I12" s="400" t="n">
        <v>0.00979342156656565</v>
      </c>
      <c r="J12" s="400" t="n">
        <v>1.05746197421979</v>
      </c>
      <c r="K12" s="400" t="n">
        <v>3.650785</v>
      </c>
      <c r="L12" s="400" t="n">
        <v>0</v>
      </c>
      <c r="M12" s="400" t="n">
        <v>0.478770709310979</v>
      </c>
      <c r="N12" s="400" t="n">
        <v>0.122371461493037</v>
      </c>
      <c r="O12" s="400" t="n">
        <v>3.19951864629108</v>
      </c>
      <c r="P12" s="400" t="n">
        <v>0</v>
      </c>
      <c r="Q12" s="400" t="n">
        <v>0.00473922498460988</v>
      </c>
      <c r="R12" s="400" t="n">
        <v>0.00910198512942165</v>
      </c>
      <c r="S12" s="400" t="n">
        <v>1.1501740368482</v>
      </c>
      <c r="T12" s="400" t="n">
        <v>3.92514406526553</v>
      </c>
      <c r="U12" s="400" t="n">
        <v>0</v>
      </c>
      <c r="V12" s="400" t="n">
        <v>0.465828183892047</v>
      </c>
      <c r="W12" s="400" t="n">
        <v>0.120167031864568</v>
      </c>
      <c r="X12" s="400" t="n">
        <v>3.08771445860813</v>
      </c>
      <c r="Y12" s="400" t="n">
        <v>0</v>
      </c>
      <c r="Z12" s="400" t="n">
        <v>0.00468924308930137</v>
      </c>
      <c r="AA12" s="400" t="n">
        <v>0.00828305962868551</v>
      </c>
      <c r="AB12" s="400" t="n">
        <v>1.03588741471579</v>
      </c>
      <c r="AC12" s="400" t="n">
        <v>3.85172863745771</v>
      </c>
      <c r="AD12" s="400" t="n">
        <v>0</v>
      </c>
      <c r="AE12" s="400" t="n">
        <f aca="false">(V12+M12)/2</f>
        <v>0.472299446601513</v>
      </c>
      <c r="AF12" s="400" t="n">
        <f aca="false">(W12+N12)/2</f>
        <v>0.121269246678803</v>
      </c>
      <c r="AG12" s="400" t="n">
        <f aca="false">(X12+O12)/2</f>
        <v>3.14361655244961</v>
      </c>
      <c r="AH12" s="400" t="n">
        <f aca="false">(Y12+P12)/2</f>
        <v>0</v>
      </c>
      <c r="AI12" s="400" t="n">
        <f aca="false">(Z12+Q12)/2</f>
        <v>0.00471423403695562</v>
      </c>
      <c r="AJ12" s="400" t="n">
        <f aca="false">(AA12+R12)/2</f>
        <v>0.00869252237905358</v>
      </c>
      <c r="AK12" s="400" t="n">
        <f aca="false">(AB12+S12)/2</f>
        <v>1.09303072578199</v>
      </c>
      <c r="AL12" s="400" t="n">
        <f aca="false">(AC12+T12)/2</f>
        <v>3.88843635136162</v>
      </c>
      <c r="AM12" s="400" t="n">
        <f aca="false">(AD12+U12)/2</f>
        <v>0</v>
      </c>
      <c r="AN12" s="400" t="n">
        <v>0.449834353248935</v>
      </c>
      <c r="AO12" s="401" t="n">
        <v>0.0965969207828583</v>
      </c>
      <c r="AP12" s="400" t="n">
        <v>2.7503918738678</v>
      </c>
      <c r="AQ12" s="400" t="n">
        <v>0</v>
      </c>
      <c r="AR12" s="400" t="n">
        <v>0.00290440847642063</v>
      </c>
      <c r="AS12" s="400" t="n">
        <v>0.00370817707906721</v>
      </c>
      <c r="AT12" s="400" t="n">
        <v>0.428757444902466</v>
      </c>
      <c r="AU12" s="400" t="n">
        <v>4.30017123414336</v>
      </c>
      <c r="AV12" s="400" t="n">
        <v>0</v>
      </c>
      <c r="AW12" s="400" t="n">
        <v>0.358807298389072</v>
      </c>
      <c r="AX12" s="401" t="n">
        <v>0.0534873457411685</v>
      </c>
      <c r="AY12" s="400" t="n">
        <v>1.32272203953188</v>
      </c>
      <c r="AZ12" s="400" t="n">
        <v>0</v>
      </c>
      <c r="BA12" s="400" t="n">
        <v>0.000209296399191501</v>
      </c>
      <c r="BB12" s="400" t="n">
        <v>0.000171745793804467</v>
      </c>
      <c r="BC12" s="400" t="n">
        <v>0.0164816488639299</v>
      </c>
      <c r="BD12" s="400" t="n">
        <v>5.06029496576747</v>
      </c>
      <c r="BE12" s="400" t="n">
        <v>0</v>
      </c>
      <c r="BF12" s="400" t="n">
        <v>0.353494746337449</v>
      </c>
      <c r="BG12" s="400" t="n">
        <v>0.0825136624902167</v>
      </c>
      <c r="BH12" s="400" t="n">
        <v>1.45862418058256</v>
      </c>
      <c r="BI12" s="400" t="n">
        <v>0</v>
      </c>
      <c r="BJ12" s="400" t="n">
        <v>0.000125994574364903</v>
      </c>
      <c r="BK12" s="400" t="n">
        <v>9.90681663878607E-005</v>
      </c>
      <c r="BL12" s="400" t="n">
        <v>0.00926933347353805</v>
      </c>
      <c r="BM12" s="400" t="n">
        <v>3.87811446484574</v>
      </c>
      <c r="BN12" s="400" t="n">
        <v>0</v>
      </c>
      <c r="BO12" s="400" t="n">
        <v>0.353494746337449</v>
      </c>
      <c r="BP12" s="402" t="n">
        <v>0.05</v>
      </c>
      <c r="BQ12" s="402" t="n">
        <v>1.3</v>
      </c>
      <c r="BR12" s="400" t="n">
        <v>0</v>
      </c>
      <c r="BS12" s="400" t="n">
        <v>0.000125994574364903</v>
      </c>
      <c r="BT12" s="400" t="n">
        <v>9.90681663878607E-005</v>
      </c>
      <c r="BU12" s="451" t="n">
        <v>0.00926933347353805</v>
      </c>
      <c r="BV12" s="402" t="n">
        <v>5.1</v>
      </c>
      <c r="BW12" s="400" t="n">
        <v>0</v>
      </c>
      <c r="BY12" s="80" t="n">
        <f aca="false">SUM(AW12:BE12)</f>
        <v>6.81217434048652</v>
      </c>
      <c r="BZ12" s="80" t="n">
        <f aca="false">SUM(BO12:BW12)</f>
        <v>6.81298914255174</v>
      </c>
    </row>
    <row r="13" customFormat="false" ht="14.5" hidden="false" customHeight="false" outlineLevel="0" collapsed="false">
      <c r="B13" s="403" t="s">
        <v>814</v>
      </c>
      <c r="C13" s="393" t="s">
        <v>808</v>
      </c>
      <c r="D13" s="404" t="n">
        <v>0.472</v>
      </c>
      <c r="E13" s="404" t="n">
        <v>0.129</v>
      </c>
      <c r="F13" s="404" t="n">
        <v>3.225</v>
      </c>
      <c r="G13" s="404" t="n">
        <v>0</v>
      </c>
      <c r="H13" s="405" t="n">
        <v>0.0050241974510259</v>
      </c>
      <c r="I13" s="405" t="n">
        <v>0.00979342156656565</v>
      </c>
      <c r="J13" s="405" t="n">
        <v>1.05746197421979</v>
      </c>
      <c r="K13" s="405" t="n">
        <v>3.650785</v>
      </c>
      <c r="L13" s="405" t="n">
        <v>0</v>
      </c>
      <c r="M13" s="405" t="n">
        <v>0.478770709310979</v>
      </c>
      <c r="N13" s="405" t="n">
        <v>0.122371461493037</v>
      </c>
      <c r="O13" s="405" t="n">
        <v>3.19951864629108</v>
      </c>
      <c r="P13" s="405" t="n">
        <v>0</v>
      </c>
      <c r="Q13" s="405" t="n">
        <v>0.00473922498460988</v>
      </c>
      <c r="R13" s="405" t="n">
        <v>0.00910198512942165</v>
      </c>
      <c r="S13" s="405" t="n">
        <v>1.1501740368482</v>
      </c>
      <c r="T13" s="405" t="n">
        <v>3.92514406526553</v>
      </c>
      <c r="U13" s="405" t="n">
        <v>0</v>
      </c>
      <c r="V13" s="405" t="n">
        <v>0.465828183892047</v>
      </c>
      <c r="W13" s="405" t="n">
        <v>0.120167031864568</v>
      </c>
      <c r="X13" s="405" t="n">
        <v>3.08771445860813</v>
      </c>
      <c r="Y13" s="405" t="n">
        <v>0</v>
      </c>
      <c r="Z13" s="405" t="n">
        <v>0.00468924308930137</v>
      </c>
      <c r="AA13" s="405" t="n">
        <v>0.00828305962868551</v>
      </c>
      <c r="AB13" s="405" t="n">
        <v>1.03588741471579</v>
      </c>
      <c r="AC13" s="405" t="n">
        <v>3.85172863745771</v>
      </c>
      <c r="AD13" s="405" t="n">
        <v>0</v>
      </c>
      <c r="AE13" s="405" t="n">
        <f aca="false">(V13+M13)/2</f>
        <v>0.472299446601513</v>
      </c>
      <c r="AF13" s="405" t="n">
        <f aca="false">(W13+N13)/2</f>
        <v>0.121269246678803</v>
      </c>
      <c r="AG13" s="405" t="n">
        <f aca="false">(X13+O13)/2</f>
        <v>3.14361655244961</v>
      </c>
      <c r="AH13" s="405" t="n">
        <f aca="false">(Y13+P13)/2</f>
        <v>0</v>
      </c>
      <c r="AI13" s="405" t="n">
        <f aca="false">(Z13+Q13)/2</f>
        <v>0.00471423403695562</v>
      </c>
      <c r="AJ13" s="405" t="n">
        <f aca="false">(AA13+R13)/2</f>
        <v>0.00869252237905358</v>
      </c>
      <c r="AK13" s="405" t="n">
        <f aca="false">(AB13+S13)/2</f>
        <v>1.09303072578199</v>
      </c>
      <c r="AL13" s="405" t="n">
        <f aca="false">(AC13+T13)/2</f>
        <v>3.88843635136162</v>
      </c>
      <c r="AM13" s="405" t="n">
        <f aca="false">(AD13+U13)/2</f>
        <v>0</v>
      </c>
      <c r="AN13" s="404" t="n">
        <v>0.449834353248935</v>
      </c>
      <c r="AO13" s="404" t="n">
        <v>0.0965969207828583</v>
      </c>
      <c r="AP13" s="404" t="n">
        <v>2.7503918738678</v>
      </c>
      <c r="AQ13" s="404" t="n">
        <v>0</v>
      </c>
      <c r="AR13" s="405" t="n">
        <v>0.00290440847642063</v>
      </c>
      <c r="AS13" s="405" t="n">
        <v>0.00370817707906721</v>
      </c>
      <c r="AT13" s="405" t="n">
        <v>0.428757444902466</v>
      </c>
      <c r="AU13" s="405" t="n">
        <v>4.30017123414336</v>
      </c>
      <c r="AV13" s="405" t="n">
        <v>0</v>
      </c>
      <c r="AW13" s="404" t="n">
        <v>0.358807298389072</v>
      </c>
      <c r="AX13" s="404" t="n">
        <v>0.0534873457411685</v>
      </c>
      <c r="AY13" s="404" t="n">
        <v>1.32272203953188</v>
      </c>
      <c r="AZ13" s="404" t="n">
        <v>0</v>
      </c>
      <c r="BA13" s="405" t="n">
        <v>0.000209296399191501</v>
      </c>
      <c r="BB13" s="405" t="n">
        <v>0.000171745793804467</v>
      </c>
      <c r="BC13" s="405" t="n">
        <v>0.0164816488639299</v>
      </c>
      <c r="BD13" s="405" t="n">
        <v>5.06029496576747</v>
      </c>
      <c r="BE13" s="405" t="n">
        <v>0</v>
      </c>
      <c r="BF13" s="404" t="n">
        <v>0.353494746337449</v>
      </c>
      <c r="BG13" s="404" t="n">
        <v>0.0825136624902167</v>
      </c>
      <c r="BH13" s="404" t="n">
        <v>1.45862418058256</v>
      </c>
      <c r="BI13" s="404" t="n">
        <v>0</v>
      </c>
      <c r="BJ13" s="405" t="n">
        <v>0.000125994574364903</v>
      </c>
      <c r="BK13" s="405" t="n">
        <v>9.90681663878607E-005</v>
      </c>
      <c r="BL13" s="405" t="n">
        <v>0.00926933347353805</v>
      </c>
      <c r="BM13" s="405" t="n">
        <v>3.87811446484574</v>
      </c>
      <c r="BN13" s="405" t="n">
        <v>0</v>
      </c>
      <c r="BO13" s="404" t="n">
        <v>0.353494746337449</v>
      </c>
      <c r="BP13" s="406" t="n">
        <v>0.05</v>
      </c>
      <c r="BQ13" s="406" t="n">
        <v>1.3</v>
      </c>
      <c r="BR13" s="404" t="n">
        <v>0</v>
      </c>
      <c r="BS13" s="405" t="n">
        <v>0.000125994574364903</v>
      </c>
      <c r="BT13" s="405" t="n">
        <v>9.90681663878607E-005</v>
      </c>
      <c r="BU13" s="452" t="n">
        <v>0.00926933347353805</v>
      </c>
      <c r="BV13" s="407" t="n">
        <v>5.1</v>
      </c>
      <c r="BW13" s="405" t="n">
        <v>0</v>
      </c>
    </row>
    <row r="14" customFormat="false" ht="14.5" hidden="false" customHeight="false" outlineLevel="0" collapsed="false">
      <c r="B14" s="408" t="s">
        <v>815</v>
      </c>
      <c r="C14" s="393" t="s">
        <v>808</v>
      </c>
      <c r="D14" s="409" t="n">
        <v>3.0200613631105</v>
      </c>
      <c r="E14" s="409" t="n">
        <v>0.4401516241975</v>
      </c>
      <c r="F14" s="409" t="n">
        <v>0.10675770492</v>
      </c>
      <c r="G14" s="409" t="n">
        <v>0</v>
      </c>
      <c r="H14" s="409" t="n">
        <v>0.173888837421587</v>
      </c>
      <c r="I14" s="409" t="n">
        <v>0.0933579089355472</v>
      </c>
      <c r="J14" s="409" t="n">
        <v>0.373269553461348</v>
      </c>
      <c r="K14" s="409" t="n">
        <v>0</v>
      </c>
      <c r="L14" s="409" t="n">
        <v>0</v>
      </c>
      <c r="M14" s="409" t="n">
        <v>3.23260606765099</v>
      </c>
      <c r="N14" s="409" t="n">
        <v>0.506841827598657</v>
      </c>
      <c r="O14" s="409" t="n">
        <v>0.107630126868353</v>
      </c>
      <c r="P14" s="409" t="n">
        <v>0</v>
      </c>
      <c r="Q14" s="409" t="n">
        <v>0.18731993921706</v>
      </c>
      <c r="R14" s="409" t="n">
        <v>0.100192143246604</v>
      </c>
      <c r="S14" s="409" t="n">
        <v>0.378013823974922</v>
      </c>
      <c r="T14" s="409" t="n">
        <v>0</v>
      </c>
      <c r="U14" s="409" t="n">
        <v>0</v>
      </c>
      <c r="V14" s="409" t="n">
        <v>3.1988582513621</v>
      </c>
      <c r="W14" s="409" t="n">
        <v>0.499247745291968</v>
      </c>
      <c r="X14" s="409" t="n">
        <v>0.104632679256092</v>
      </c>
      <c r="Y14" s="409" t="n">
        <v>0</v>
      </c>
      <c r="Z14" s="409" t="n">
        <v>0.182196772852374</v>
      </c>
      <c r="AA14" s="409" t="n">
        <v>0.0962748122655365</v>
      </c>
      <c r="AB14" s="409" t="n">
        <v>0.354292961138866</v>
      </c>
      <c r="AC14" s="409" t="n">
        <v>0</v>
      </c>
      <c r="AD14" s="409" t="n">
        <v>0</v>
      </c>
      <c r="AE14" s="409" t="n">
        <f aca="false">(V14+M14)/2</f>
        <v>3.21573215950655</v>
      </c>
      <c r="AF14" s="409" t="n">
        <f aca="false">(W14+N14)/2</f>
        <v>0.503044786445313</v>
      </c>
      <c r="AG14" s="409" t="n">
        <f aca="false">(X14+O14)/2</f>
        <v>0.106131403062222</v>
      </c>
      <c r="AH14" s="409" t="n">
        <f aca="false">(Y14+P14)/2</f>
        <v>0</v>
      </c>
      <c r="AI14" s="409" t="n">
        <f aca="false">(Z14+Q14)/2</f>
        <v>0.184758356034717</v>
      </c>
      <c r="AJ14" s="409" t="n">
        <f aca="false">(AA14+R14)/2</f>
        <v>0.0982334777560701</v>
      </c>
      <c r="AK14" s="409" t="n">
        <f aca="false">(AB14+S14)/2</f>
        <v>0.366153392556894</v>
      </c>
      <c r="AL14" s="409" t="n">
        <f aca="false">(AC14+T14)/2</f>
        <v>0</v>
      </c>
      <c r="AM14" s="409" t="n">
        <f aca="false">(AD14+U14)/2</f>
        <v>0</v>
      </c>
      <c r="AN14" s="410" t="n">
        <v>3.69614355324883</v>
      </c>
      <c r="AO14" s="409" t="n">
        <v>0.66259545009687</v>
      </c>
      <c r="AP14" s="409" t="n">
        <v>0.101702246206942</v>
      </c>
      <c r="AQ14" s="409" t="n">
        <v>0</v>
      </c>
      <c r="AR14" s="409" t="n">
        <v>0.202513687686553</v>
      </c>
      <c r="AS14" s="409" t="n">
        <v>0.102755209388477</v>
      </c>
      <c r="AT14" s="409" t="n">
        <v>0.300455565490115</v>
      </c>
      <c r="AU14" s="409" t="n">
        <v>0</v>
      </c>
      <c r="AV14" s="409" t="n">
        <v>0</v>
      </c>
      <c r="AW14" s="410" t="n">
        <v>4.506374580306</v>
      </c>
      <c r="AX14" s="409" t="n">
        <v>1.14460158295682</v>
      </c>
      <c r="AY14" s="409" t="n">
        <v>0.0950865116404706</v>
      </c>
      <c r="AZ14" s="409" t="n">
        <v>0</v>
      </c>
      <c r="BA14" s="409" t="n">
        <v>0.164185574792962</v>
      </c>
      <c r="BB14" s="409" t="n">
        <v>0.0807076880685479</v>
      </c>
      <c r="BC14" s="409" t="n">
        <v>0.182424729105617</v>
      </c>
      <c r="BD14" s="409" t="n">
        <v>0</v>
      </c>
      <c r="BE14" s="409" t="n">
        <v>0</v>
      </c>
      <c r="BF14" s="410" t="n">
        <v>4.55624140083306</v>
      </c>
      <c r="BG14" s="409" t="n">
        <v>1.16970001908971</v>
      </c>
      <c r="BH14" s="409" t="n">
        <v>0.0950020439976707</v>
      </c>
      <c r="BI14" s="409" t="n">
        <v>0</v>
      </c>
      <c r="BJ14" s="409" t="n">
        <v>0.161942866171828</v>
      </c>
      <c r="BK14" s="409" t="n">
        <v>0.0794178367358475</v>
      </c>
      <c r="BL14" s="409" t="n">
        <v>0.17402175443681</v>
      </c>
      <c r="BM14" s="409" t="n">
        <v>0</v>
      </c>
      <c r="BN14" s="409" t="n">
        <v>0</v>
      </c>
      <c r="BO14" s="410" t="n">
        <v>4.55624140083306</v>
      </c>
      <c r="BP14" s="409" t="n">
        <v>1.16970001908971</v>
      </c>
      <c r="BQ14" s="409" t="n">
        <v>0.0950020439976707</v>
      </c>
      <c r="BR14" s="409" t="n">
        <v>0</v>
      </c>
      <c r="BS14" s="409" t="n">
        <v>0.161942866171828</v>
      </c>
      <c r="BT14" s="409" t="n">
        <v>0.0794178367358475</v>
      </c>
      <c r="BU14" s="409" t="n">
        <v>0.17402175443681</v>
      </c>
      <c r="BV14" s="409" t="n">
        <v>0</v>
      </c>
      <c r="BW14" s="409" t="n">
        <v>0</v>
      </c>
      <c r="BY14" s="80" t="n">
        <f aca="false">SUM(AW14:BE14)</f>
        <v>6.17338066687042</v>
      </c>
      <c r="BZ14" s="80" t="n">
        <f aca="false">SUM(BO14:BW14)</f>
        <v>6.23632592126493</v>
      </c>
    </row>
    <row r="15" customFormat="false" ht="14.5" hidden="false" customHeight="false" outlineLevel="0" collapsed="false">
      <c r="B15" s="411" t="s">
        <v>816</v>
      </c>
      <c r="C15" s="393" t="s">
        <v>808</v>
      </c>
      <c r="D15" s="410" t="n">
        <v>2.8304276828605</v>
      </c>
      <c r="E15" s="410" t="n">
        <v>0.2984527855225</v>
      </c>
      <c r="F15" s="410" t="n">
        <v>0.10675770492</v>
      </c>
      <c r="G15" s="410" t="n">
        <v>0</v>
      </c>
      <c r="H15" s="412" t="n">
        <v>0.173138130803404</v>
      </c>
      <c r="I15" s="412" t="n">
        <v>0.0929780919153219</v>
      </c>
      <c r="J15" s="412" t="n">
        <v>0.356303256776255</v>
      </c>
      <c r="K15" s="412" t="n">
        <v>0</v>
      </c>
      <c r="L15" s="412" t="n">
        <v>0</v>
      </c>
      <c r="M15" s="412" t="n">
        <v>3.05151002041339</v>
      </c>
      <c r="N15" s="412" t="n">
        <v>0.342838543214169</v>
      </c>
      <c r="O15" s="412" t="n">
        <v>0.107630126868353</v>
      </c>
      <c r="P15" s="412" t="n">
        <v>0</v>
      </c>
      <c r="Q15" s="412" t="n">
        <v>0.18645001423878</v>
      </c>
      <c r="R15" s="412" t="n">
        <v>0.099752011134351</v>
      </c>
      <c r="S15" s="412" t="n">
        <v>0.358965279857398</v>
      </c>
      <c r="T15" s="412" t="n">
        <v>0</v>
      </c>
      <c r="U15" s="412" t="n">
        <v>0</v>
      </c>
      <c r="V15" s="412" t="n">
        <v>2.98919326312706</v>
      </c>
      <c r="W15" s="412" t="n">
        <v>0.338329056906122</v>
      </c>
      <c r="X15" s="412" t="n">
        <v>0.104632679256092</v>
      </c>
      <c r="Y15" s="412" t="n">
        <v>0</v>
      </c>
      <c r="Z15" s="412" t="n">
        <v>0.181337179157928</v>
      </c>
      <c r="AA15" s="412" t="n">
        <v>0.0958399071899422</v>
      </c>
      <c r="AB15" s="412" t="n">
        <v>0.337127920698206</v>
      </c>
      <c r="AC15" s="412" t="n">
        <v>0</v>
      </c>
      <c r="AD15" s="412" t="n">
        <v>0</v>
      </c>
      <c r="AE15" s="412" t="n">
        <f aca="false">(V15+M15)/2</f>
        <v>3.02035164177023</v>
      </c>
      <c r="AF15" s="412" t="n">
        <f aca="false">(W15+N15)/2</f>
        <v>0.340583800060145</v>
      </c>
      <c r="AG15" s="412" t="n">
        <f aca="false">(X15+O15)/2</f>
        <v>0.106131403062222</v>
      </c>
      <c r="AH15" s="412" t="n">
        <f aca="false">(Y15+P15)/2</f>
        <v>0</v>
      </c>
      <c r="AI15" s="412" t="n">
        <f aca="false">(Z15+Q15)/2</f>
        <v>0.183893596698354</v>
      </c>
      <c r="AJ15" s="412" t="n">
        <f aca="false">(AA15+R15)/2</f>
        <v>0.0977959591621466</v>
      </c>
      <c r="AK15" s="412" t="n">
        <f aca="false">(AB15+S15)/2</f>
        <v>0.348046600277802</v>
      </c>
      <c r="AL15" s="412" t="n">
        <f aca="false">(AC15+T15)/2</f>
        <v>0</v>
      </c>
      <c r="AM15" s="412" t="n">
        <f aca="false">(AD15+U15)/2</f>
        <v>0</v>
      </c>
      <c r="AN15" s="410" t="n">
        <v>3.44225184123731</v>
      </c>
      <c r="AO15" s="410" t="n">
        <v>0.457026076038355</v>
      </c>
      <c r="AP15" s="410" t="n">
        <v>0.101702246206942</v>
      </c>
      <c r="AQ15" s="410" t="n">
        <v>0</v>
      </c>
      <c r="AR15" s="412" t="n">
        <v>0.201400976522987</v>
      </c>
      <c r="AS15" s="412" t="n">
        <v>0.102192241401134</v>
      </c>
      <c r="AT15" s="412" t="n">
        <v>0.285882187110472</v>
      </c>
      <c r="AU15" s="412" t="n">
        <v>0</v>
      </c>
      <c r="AV15" s="412" t="n">
        <v>0</v>
      </c>
      <c r="AW15" s="410" t="n">
        <v>4.17748048659242</v>
      </c>
      <c r="AX15" s="410" t="n">
        <v>0.858144478355779</v>
      </c>
      <c r="AY15" s="410" t="n">
        <v>0.0950865116404706</v>
      </c>
      <c r="AZ15" s="410" t="n">
        <v>0</v>
      </c>
      <c r="BA15" s="412" t="n">
        <v>0.163031400375379</v>
      </c>
      <c r="BB15" s="412" t="n">
        <v>0.0801237420551348</v>
      </c>
      <c r="BC15" s="412" t="n">
        <v>0.174592409535928</v>
      </c>
      <c r="BD15" s="412" t="n">
        <v>0</v>
      </c>
      <c r="BE15" s="412" t="n">
        <v>0</v>
      </c>
      <c r="BF15" s="410" t="n">
        <v>4.22384056573573</v>
      </c>
      <c r="BG15" s="410" t="n">
        <v>0.885594090858084</v>
      </c>
      <c r="BH15" s="410" t="n">
        <v>0.0950020439976707</v>
      </c>
      <c r="BI15" s="410" t="n">
        <v>0</v>
      </c>
      <c r="BJ15" s="412" t="n">
        <v>0.160793292901882</v>
      </c>
      <c r="BK15" s="412" t="n">
        <v>0.078836218639093</v>
      </c>
      <c r="BL15" s="412" t="n">
        <v>0.166876043730916</v>
      </c>
      <c r="BM15" s="412" t="n">
        <v>0</v>
      </c>
      <c r="BN15" s="412" t="n">
        <v>0</v>
      </c>
      <c r="BO15" s="410" t="n">
        <v>4.22384056573573</v>
      </c>
      <c r="BP15" s="410" t="n">
        <v>0.885594090858084</v>
      </c>
      <c r="BQ15" s="410" t="n">
        <v>0.0950020439976707</v>
      </c>
      <c r="BR15" s="410" t="n">
        <v>0</v>
      </c>
      <c r="BS15" s="412" t="n">
        <v>0.160793292901882</v>
      </c>
      <c r="BT15" s="412" t="n">
        <v>0.078836218639093</v>
      </c>
      <c r="BU15" s="412" t="n">
        <v>0.166876043730916</v>
      </c>
      <c r="BV15" s="412" t="n">
        <v>0</v>
      </c>
      <c r="BW15" s="412" t="n">
        <v>0</v>
      </c>
    </row>
    <row r="16" customFormat="false" ht="29" hidden="false" customHeight="false" outlineLevel="0" collapsed="false">
      <c r="B16" s="413" t="s">
        <v>817</v>
      </c>
      <c r="C16" s="393" t="s">
        <v>808</v>
      </c>
      <c r="D16" s="410" t="n">
        <v>0.18963368025</v>
      </c>
      <c r="E16" s="410" t="n">
        <v>0.141698838675</v>
      </c>
      <c r="F16" s="410" t="n">
        <v>0</v>
      </c>
      <c r="G16" s="410" t="n">
        <v>0</v>
      </c>
      <c r="H16" s="412" t="n">
        <v>0.000750706618183593</v>
      </c>
      <c r="I16" s="412" t="n">
        <v>0.000379817020225225</v>
      </c>
      <c r="J16" s="412" t="n">
        <v>0.0169662966850928</v>
      </c>
      <c r="K16" s="412" t="n">
        <v>0</v>
      </c>
      <c r="L16" s="412" t="n">
        <v>0</v>
      </c>
      <c r="M16" s="412" t="n">
        <v>0.181096047237599</v>
      </c>
      <c r="N16" s="412" t="n">
        <v>0.164003284384488</v>
      </c>
      <c r="O16" s="412" t="n">
        <v>0</v>
      </c>
      <c r="P16" s="412" t="n">
        <v>0</v>
      </c>
      <c r="Q16" s="412" t="n">
        <v>0.000869924978280806</v>
      </c>
      <c r="R16" s="412" t="n">
        <v>0.000440132112252803</v>
      </c>
      <c r="S16" s="412" t="n">
        <v>0.019048544117524</v>
      </c>
      <c r="T16" s="412" t="n">
        <v>0</v>
      </c>
      <c r="U16" s="412" t="n">
        <v>0</v>
      </c>
      <c r="V16" s="412" t="n">
        <v>0.209664988235041</v>
      </c>
      <c r="W16" s="412" t="n">
        <v>0.160918688385846</v>
      </c>
      <c r="X16" s="412" t="n">
        <v>0</v>
      </c>
      <c r="Y16" s="412" t="n">
        <v>0</v>
      </c>
      <c r="Z16" s="412" t="n">
        <v>0.000859593694445763</v>
      </c>
      <c r="AA16" s="412" t="n">
        <v>0.000434905075594231</v>
      </c>
      <c r="AB16" s="412" t="n">
        <v>0.0171650404406599</v>
      </c>
      <c r="AC16" s="412" t="n">
        <v>0</v>
      </c>
      <c r="AD16" s="412" t="n">
        <v>0</v>
      </c>
      <c r="AE16" s="412" t="n">
        <f aca="false">(V16+M16)/2</f>
        <v>0.19538051773632</v>
      </c>
      <c r="AF16" s="412" t="n">
        <f aca="false">(W16+N16)/2</f>
        <v>0.162460986385167</v>
      </c>
      <c r="AG16" s="412" t="n">
        <f aca="false">(X16+O16)/2</f>
        <v>0</v>
      </c>
      <c r="AH16" s="412" t="n">
        <f aca="false">(Y16+P16)/2</f>
        <v>0</v>
      </c>
      <c r="AI16" s="412" t="n">
        <f aca="false">(Z16+Q16)/2</f>
        <v>0.000864759336363284</v>
      </c>
      <c r="AJ16" s="412" t="n">
        <f aca="false">(AA16+R16)/2</f>
        <v>0.000437518593923517</v>
      </c>
      <c r="AK16" s="412" t="n">
        <f aca="false">(AB16+S16)/2</f>
        <v>0.018106792279092</v>
      </c>
      <c r="AL16" s="412" t="n">
        <f aca="false">(AC16+T16)/2</f>
        <v>0</v>
      </c>
      <c r="AM16" s="412" t="n">
        <f aca="false">(AD16+U16)/2</f>
        <v>0</v>
      </c>
      <c r="AN16" s="410" t="n">
        <v>0.253891712011516</v>
      </c>
      <c r="AO16" s="410" t="n">
        <v>0.205569374058515</v>
      </c>
      <c r="AP16" s="410" t="n">
        <v>0</v>
      </c>
      <c r="AQ16" s="410" t="n">
        <v>0</v>
      </c>
      <c r="AR16" s="412" t="n">
        <v>0.00111271116356589</v>
      </c>
      <c r="AS16" s="412" t="n">
        <v>0.000562967987342775</v>
      </c>
      <c r="AT16" s="412" t="n">
        <v>0.0145733783796433</v>
      </c>
      <c r="AU16" s="412" t="n">
        <v>0</v>
      </c>
      <c r="AV16" s="412" t="n">
        <v>0</v>
      </c>
      <c r="AW16" s="410" t="n">
        <v>0.328894093713584</v>
      </c>
      <c r="AX16" s="410" t="n">
        <v>0.286457104601044</v>
      </c>
      <c r="AY16" s="410" t="n">
        <v>0</v>
      </c>
      <c r="AZ16" s="410" t="n">
        <v>0</v>
      </c>
      <c r="BA16" s="412" t="n">
        <v>0.0011541744175833</v>
      </c>
      <c r="BB16" s="412" t="n">
        <v>0.000583946013413063</v>
      </c>
      <c r="BC16" s="412" t="n">
        <v>0.00783231956968884</v>
      </c>
      <c r="BD16" s="412" t="n">
        <v>0</v>
      </c>
      <c r="BE16" s="412" t="n">
        <v>0</v>
      </c>
      <c r="BF16" s="410" t="n">
        <v>0.332400835097332</v>
      </c>
      <c r="BG16" s="410" t="n">
        <v>0.284105928231621</v>
      </c>
      <c r="BH16" s="410" t="n">
        <v>0</v>
      </c>
      <c r="BI16" s="410" t="n">
        <v>0</v>
      </c>
      <c r="BJ16" s="412" t="n">
        <v>0.00114957326994631</v>
      </c>
      <c r="BK16" s="412" t="n">
        <v>0.00058161809675451</v>
      </c>
      <c r="BL16" s="412" t="n">
        <v>0.00714571070589371</v>
      </c>
      <c r="BM16" s="412" t="n">
        <v>0</v>
      </c>
      <c r="BN16" s="412" t="n">
        <v>0</v>
      </c>
      <c r="BO16" s="410" t="n">
        <v>0.332400835097332</v>
      </c>
      <c r="BP16" s="410" t="n">
        <v>0.284105928231621</v>
      </c>
      <c r="BQ16" s="410" t="n">
        <v>0</v>
      </c>
      <c r="BR16" s="410" t="n">
        <v>0</v>
      </c>
      <c r="BS16" s="412" t="n">
        <v>0.00114957326994631</v>
      </c>
      <c r="BT16" s="412" t="n">
        <v>0.00058161809675451</v>
      </c>
      <c r="BU16" s="412" t="n">
        <v>0.00714571070589371</v>
      </c>
      <c r="BV16" s="412" t="n">
        <v>0</v>
      </c>
      <c r="BW16" s="412" t="n">
        <v>0</v>
      </c>
    </row>
    <row r="17" customFormat="false" ht="14.5" hidden="false" customHeight="false" outlineLevel="0" collapsed="false">
      <c r="B17" s="414" t="s">
        <v>818</v>
      </c>
      <c r="C17" s="393" t="s">
        <v>808</v>
      </c>
      <c r="D17" s="415" t="n">
        <v>5.85795925481198</v>
      </c>
      <c r="E17" s="416" t="n">
        <v>0.337867760189161</v>
      </c>
      <c r="F17" s="415" t="n">
        <v>1.0751321085719</v>
      </c>
      <c r="G17" s="415" t="n">
        <v>13.3045065272722</v>
      </c>
      <c r="H17" s="415" t="n">
        <v>0.183529567589812</v>
      </c>
      <c r="I17" s="415" t="n">
        <v>0.346332792055052</v>
      </c>
      <c r="J17" s="415" t="n">
        <v>0.715005855268618</v>
      </c>
      <c r="K17" s="415" t="n">
        <v>0</v>
      </c>
      <c r="L17" s="415" t="n">
        <v>0</v>
      </c>
      <c r="M17" s="415" t="n">
        <v>5.49278397854236</v>
      </c>
      <c r="N17" s="415" t="n">
        <v>0.334802828238315</v>
      </c>
      <c r="O17" s="415" t="n">
        <v>1.06765224225401</v>
      </c>
      <c r="P17" s="415" t="n">
        <v>12.7762720653313</v>
      </c>
      <c r="Q17" s="415" t="n">
        <v>0.180004502382803</v>
      </c>
      <c r="R17" s="415" t="n">
        <v>0.331995625587841</v>
      </c>
      <c r="S17" s="415" t="n">
        <v>0.686543813098001</v>
      </c>
      <c r="T17" s="415" t="n">
        <v>0</v>
      </c>
      <c r="U17" s="415" t="n">
        <v>0</v>
      </c>
      <c r="V17" s="415" t="n">
        <v>5.37872148234589</v>
      </c>
      <c r="W17" s="415" t="n">
        <v>0.345870065910416</v>
      </c>
      <c r="X17" s="415" t="n">
        <v>1.10778779982668</v>
      </c>
      <c r="Y17" s="415" t="n">
        <v>12.1532697038724</v>
      </c>
      <c r="Z17" s="415" t="n">
        <v>0.183202462521659</v>
      </c>
      <c r="AA17" s="415" t="n">
        <v>0.305967245955723</v>
      </c>
      <c r="AB17" s="415" t="n">
        <v>0.627627167261249</v>
      </c>
      <c r="AC17" s="415" t="n">
        <v>0</v>
      </c>
      <c r="AD17" s="415" t="n">
        <v>0</v>
      </c>
      <c r="AE17" s="415" t="n">
        <f aca="false">(V17+M17)/2</f>
        <v>5.43575273044412</v>
      </c>
      <c r="AF17" s="415" t="n">
        <f aca="false">(W17+N17)/2</f>
        <v>0.340336447074366</v>
      </c>
      <c r="AG17" s="415" t="n">
        <f aca="false">(X17+O17)/2</f>
        <v>1.08772002104034</v>
      </c>
      <c r="AH17" s="415" t="n">
        <f aca="false">(Y17+P17)/2</f>
        <v>12.4647708846018</v>
      </c>
      <c r="AI17" s="415" t="n">
        <f aca="false">(Z17+Q17)/2</f>
        <v>0.181603482452231</v>
      </c>
      <c r="AJ17" s="415" t="n">
        <f aca="false">(AA17+R17)/2</f>
        <v>0.318981435771782</v>
      </c>
      <c r="AK17" s="415" t="n">
        <f aca="false">(AB17+S17)/2</f>
        <v>0.657085490179625</v>
      </c>
      <c r="AL17" s="415" t="n">
        <f aca="false">(AC17+T17)/2</f>
        <v>0</v>
      </c>
      <c r="AM17" s="415" t="n">
        <f aca="false">(AD17+U17)/2</f>
        <v>0</v>
      </c>
      <c r="AN17" s="415" t="n">
        <v>4.33579250989746</v>
      </c>
      <c r="AO17" s="416" t="n">
        <v>0.363682340050123</v>
      </c>
      <c r="AP17" s="415" t="n">
        <v>1.17422638859219</v>
      </c>
      <c r="AQ17" s="415" t="n">
        <v>9.66436326447566</v>
      </c>
      <c r="AR17" s="415" t="n">
        <v>0.185040067673815</v>
      </c>
      <c r="AS17" s="415" t="n">
        <v>0.215803884370065</v>
      </c>
      <c r="AT17" s="415" t="n">
        <v>0.430310459003212</v>
      </c>
      <c r="AU17" s="415" t="n">
        <v>0</v>
      </c>
      <c r="AV17" s="415" t="n">
        <v>0</v>
      </c>
      <c r="AW17" s="415" t="n">
        <v>3.49104586287234</v>
      </c>
      <c r="AX17" s="416" t="n">
        <v>0.363518886711399</v>
      </c>
      <c r="AY17" s="415" t="n">
        <v>1.1429739995669</v>
      </c>
      <c r="AZ17" s="415" t="n">
        <v>6.3680782345041</v>
      </c>
      <c r="BA17" s="415" t="n">
        <v>0.124559105882544</v>
      </c>
      <c r="BB17" s="415" t="n">
        <v>0.10185672354315</v>
      </c>
      <c r="BC17" s="415" t="n">
        <v>0.229593153194807</v>
      </c>
      <c r="BD17" s="415" t="n">
        <v>0</v>
      </c>
      <c r="BE17" s="415" t="n">
        <v>0</v>
      </c>
      <c r="BF17" s="415" t="n">
        <v>3.44796352186076</v>
      </c>
      <c r="BG17" s="416" t="n">
        <v>0.363131200913224</v>
      </c>
      <c r="BH17" s="415" t="n">
        <v>1.13929863612564</v>
      </c>
      <c r="BI17" s="415" t="n">
        <v>5.52086879256724</v>
      </c>
      <c r="BJ17" s="415" t="n">
        <v>0.121215343148459</v>
      </c>
      <c r="BK17" s="415" t="n">
        <v>0.0964639754022196</v>
      </c>
      <c r="BL17" s="415" t="n">
        <v>0.220357249428759</v>
      </c>
      <c r="BM17" s="415" t="n">
        <v>0</v>
      </c>
      <c r="BN17" s="415" t="n">
        <v>0</v>
      </c>
      <c r="BO17" s="415" t="n">
        <v>3.44796352186076</v>
      </c>
      <c r="BP17" s="416" t="n">
        <v>0.363131200913224</v>
      </c>
      <c r="BQ17" s="415" t="n">
        <v>1.13929863612564</v>
      </c>
      <c r="BR17" s="417" t="n">
        <v>6.2</v>
      </c>
      <c r="BS17" s="415" t="n">
        <v>0.121215343148459</v>
      </c>
      <c r="BT17" s="415" t="n">
        <v>0.0964639754022196</v>
      </c>
      <c r="BU17" s="415" t="n">
        <v>0.220357249428759</v>
      </c>
      <c r="BV17" s="415" t="n">
        <v>0</v>
      </c>
      <c r="BW17" s="415" t="n">
        <v>0</v>
      </c>
      <c r="BY17" s="80" t="n">
        <f aca="false">SUM(AW17:BE17)</f>
        <v>11.8216259662752</v>
      </c>
      <c r="BZ17" s="80" t="n">
        <f aca="false">SUM(BO17:BW17)</f>
        <v>11.5884299268791</v>
      </c>
    </row>
    <row r="18" customFormat="false" ht="14.5" hidden="false" customHeight="false" outlineLevel="0" collapsed="false">
      <c r="B18" s="418" t="s">
        <v>819</v>
      </c>
      <c r="C18" s="393" t="s">
        <v>808</v>
      </c>
      <c r="D18" s="419" t="n">
        <v>4.54911010836123</v>
      </c>
      <c r="E18" s="419" t="n">
        <v>0.161237270189161</v>
      </c>
      <c r="F18" s="419" t="n">
        <v>1.0751321085719</v>
      </c>
      <c r="G18" s="419" t="n">
        <v>8.41597420060435</v>
      </c>
      <c r="H18" s="419" t="n">
        <v>0.183529567589812</v>
      </c>
      <c r="I18" s="420" t="n">
        <v>0.30968679597871</v>
      </c>
      <c r="J18" s="420" t="n">
        <v>0.636393268598908</v>
      </c>
      <c r="K18" s="420" t="n">
        <v>0</v>
      </c>
      <c r="L18" s="420" t="n">
        <v>0</v>
      </c>
      <c r="M18" s="420" t="n">
        <v>4.20298205258442</v>
      </c>
      <c r="N18" s="420" t="n">
        <v>0.1581286840534</v>
      </c>
      <c r="O18" s="420" t="n">
        <v>1.06765224225401</v>
      </c>
      <c r="P18" s="420" t="n">
        <v>7.90595499000272</v>
      </c>
      <c r="Q18" s="420" t="n">
        <v>0.180004502382803</v>
      </c>
      <c r="R18" s="420" t="n">
        <v>0.298534184681239</v>
      </c>
      <c r="S18" s="420" t="n">
        <v>0.614687288452403</v>
      </c>
      <c r="T18" s="420" t="n">
        <v>0</v>
      </c>
      <c r="U18" s="420" t="n">
        <v>0</v>
      </c>
      <c r="V18" s="420" t="n">
        <v>4.10642389650743</v>
      </c>
      <c r="W18" s="420" t="n">
        <v>0.169195921725501</v>
      </c>
      <c r="X18" s="420" t="n">
        <v>1.10778779982668</v>
      </c>
      <c r="Y18" s="420" t="n">
        <v>7.44908037160261</v>
      </c>
      <c r="Z18" s="420" t="n">
        <v>0.183202462521659</v>
      </c>
      <c r="AA18" s="420" t="n">
        <v>0.277596316997829</v>
      </c>
      <c r="AB18" s="420" t="n">
        <v>0.566715735197795</v>
      </c>
      <c r="AC18" s="420" t="n">
        <v>0</v>
      </c>
      <c r="AD18" s="420" t="n">
        <v>0</v>
      </c>
      <c r="AE18" s="420" t="n">
        <f aca="false">(V18+M18)/2</f>
        <v>4.15470297454592</v>
      </c>
      <c r="AF18" s="420" t="n">
        <f aca="false">(W18+N18)/2</f>
        <v>0.16366230288945</v>
      </c>
      <c r="AG18" s="420" t="n">
        <f aca="false">(X18+O18)/2</f>
        <v>1.08772002104034</v>
      </c>
      <c r="AH18" s="420" t="n">
        <f aca="false">(Y18+P18)/2</f>
        <v>7.67751768080267</v>
      </c>
      <c r="AI18" s="420" t="n">
        <f aca="false">(Z18+Q18)/2</f>
        <v>0.181603482452231</v>
      </c>
      <c r="AJ18" s="420" t="n">
        <f aca="false">(AA18+R18)/2</f>
        <v>0.288065250839534</v>
      </c>
      <c r="AK18" s="420" t="n">
        <f aca="false">(AB18+S18)/2</f>
        <v>0.590701511825099</v>
      </c>
      <c r="AL18" s="420" t="n">
        <f aca="false">(AC18+T18)/2</f>
        <v>0</v>
      </c>
      <c r="AM18" s="420" t="n">
        <f aca="false">(AD18+U18)/2</f>
        <v>0</v>
      </c>
      <c r="AN18" s="420" t="n">
        <v>3.14390835740605</v>
      </c>
      <c r="AO18" s="419" t="n">
        <v>0.186912156658394</v>
      </c>
      <c r="AP18" s="419" t="n">
        <v>1.17422638859219</v>
      </c>
      <c r="AQ18" s="419" t="n">
        <v>5.36999455359802</v>
      </c>
      <c r="AR18" s="419" t="n">
        <v>0.185040067673815</v>
      </c>
      <c r="AS18" s="420" t="n">
        <v>0.203112636131079</v>
      </c>
      <c r="AT18" s="420" t="n">
        <v>0.403084759071585</v>
      </c>
      <c r="AU18" s="420" t="n">
        <v>0</v>
      </c>
      <c r="AV18" s="420" t="n">
        <v>0</v>
      </c>
      <c r="AW18" s="420" t="n">
        <v>2.34865724245911</v>
      </c>
      <c r="AX18" s="419" t="n">
        <v>0.186483354863458</v>
      </c>
      <c r="AY18" s="419" t="n">
        <v>1.1429739995669</v>
      </c>
      <c r="AZ18" s="419" t="n">
        <v>2.84303523010819</v>
      </c>
      <c r="BA18" s="419" t="n">
        <v>0.124559105882544</v>
      </c>
      <c r="BB18" s="420" t="n">
        <v>0.098800426305333</v>
      </c>
      <c r="BC18" s="420" t="n">
        <v>0.223029438482728</v>
      </c>
      <c r="BD18" s="420" t="n">
        <v>0</v>
      </c>
      <c r="BE18" s="420" t="n">
        <v>0</v>
      </c>
      <c r="BF18" s="420" t="n">
        <v>2.30807199059766</v>
      </c>
      <c r="BG18" s="419" t="n">
        <v>0.18607983376019</v>
      </c>
      <c r="BH18" s="419" t="n">
        <v>1.13929863612564</v>
      </c>
      <c r="BI18" s="419" t="n">
        <v>2.42353159725502</v>
      </c>
      <c r="BJ18" s="419" t="n">
        <v>0.121215343148459</v>
      </c>
      <c r="BK18" s="420" t="n">
        <v>0.093755449328355</v>
      </c>
      <c r="BL18" s="420" t="n">
        <v>0.214539486630233</v>
      </c>
      <c r="BM18" s="420" t="n">
        <v>0</v>
      </c>
      <c r="BN18" s="420" t="n">
        <v>0</v>
      </c>
      <c r="BO18" s="420" t="n">
        <v>2.30807199059766</v>
      </c>
      <c r="BP18" s="419" t="n">
        <v>0.18607983376019</v>
      </c>
      <c r="BQ18" s="419" t="n">
        <v>1.13929863612564</v>
      </c>
      <c r="BR18" s="421" t="n">
        <v>2.8</v>
      </c>
      <c r="BS18" s="419" t="n">
        <v>0.121215343148459</v>
      </c>
      <c r="BT18" s="420" t="n">
        <v>0.093755449328355</v>
      </c>
      <c r="BU18" s="420" t="n">
        <v>0.214539486630233</v>
      </c>
      <c r="BV18" s="420" t="n">
        <v>0</v>
      </c>
      <c r="BW18" s="420" t="n">
        <v>0</v>
      </c>
      <c r="BX18" s="80"/>
    </row>
    <row r="19" customFormat="false" ht="14.5" hidden="false" customHeight="false" outlineLevel="0" collapsed="false">
      <c r="B19" s="422" t="s">
        <v>820</v>
      </c>
      <c r="C19" s="393" t="s">
        <v>808</v>
      </c>
      <c r="D19" s="419" t="n">
        <v>0.74508</v>
      </c>
      <c r="E19" s="419" t="n">
        <v>0.076</v>
      </c>
      <c r="F19" s="419" t="n">
        <v>0</v>
      </c>
      <c r="G19" s="419" t="n">
        <v>1.1216235006494</v>
      </c>
      <c r="H19" s="419" t="n">
        <v>0</v>
      </c>
      <c r="I19" s="420" t="n">
        <v>0</v>
      </c>
      <c r="J19" s="420" t="n">
        <v>0</v>
      </c>
      <c r="K19" s="420" t="n">
        <v>0</v>
      </c>
      <c r="L19" s="420" t="n">
        <v>0</v>
      </c>
      <c r="M19" s="420" t="n">
        <v>0.745285520290039</v>
      </c>
      <c r="N19" s="420" t="n">
        <v>0.0760395351372963</v>
      </c>
      <c r="O19" s="420" t="n">
        <v>0</v>
      </c>
      <c r="P19" s="420" t="n">
        <v>1.14021563448088</v>
      </c>
      <c r="Q19" s="420" t="n">
        <v>0</v>
      </c>
      <c r="R19" s="420" t="n">
        <v>0</v>
      </c>
      <c r="S19" s="420" t="n">
        <v>0</v>
      </c>
      <c r="T19" s="420" t="n">
        <v>0</v>
      </c>
      <c r="U19" s="420" t="n">
        <v>0</v>
      </c>
      <c r="V19" s="420" t="n">
        <v>0.745285520290039</v>
      </c>
      <c r="W19" s="420" t="n">
        <v>0.0760395351372963</v>
      </c>
      <c r="X19" s="420" t="n">
        <v>0</v>
      </c>
      <c r="Y19" s="420" t="n">
        <v>1.11980393777863</v>
      </c>
      <c r="Z19" s="420" t="n">
        <v>0</v>
      </c>
      <c r="AA19" s="420" t="n">
        <v>0</v>
      </c>
      <c r="AB19" s="420" t="n">
        <v>0</v>
      </c>
      <c r="AC19" s="420" t="n">
        <v>0</v>
      </c>
      <c r="AD19" s="420" t="n">
        <v>0</v>
      </c>
      <c r="AE19" s="420" t="n">
        <f aca="false">(V19+M19)/2</f>
        <v>0.745285520290039</v>
      </c>
      <c r="AF19" s="420" t="n">
        <f aca="false">(W19+N19)/2</f>
        <v>0.0760395351372963</v>
      </c>
      <c r="AG19" s="420" t="n">
        <f aca="false">(X19+O19)/2</f>
        <v>0</v>
      </c>
      <c r="AH19" s="420" t="n">
        <f aca="false">(Y19+P19)/2</f>
        <v>1.13000978612975</v>
      </c>
      <c r="AI19" s="420" t="n">
        <f aca="false">(Z19+Q19)/2</f>
        <v>0</v>
      </c>
      <c r="AJ19" s="420" t="n">
        <f aca="false">(AA19+R19)/2</f>
        <v>0</v>
      </c>
      <c r="AK19" s="420" t="n">
        <f aca="false">(AB19+S19)/2</f>
        <v>0</v>
      </c>
      <c r="AL19" s="420" t="n">
        <f aca="false">(AC19+T19)/2</f>
        <v>0</v>
      </c>
      <c r="AM19" s="420" t="n">
        <f aca="false">(AD19+U19)/2</f>
        <v>0</v>
      </c>
      <c r="AN19" s="420" t="n">
        <v>0.745737664928126</v>
      </c>
      <c r="AO19" s="419" t="n">
        <v>0.076126512439348</v>
      </c>
      <c r="AP19" s="419" t="n">
        <v>0</v>
      </c>
      <c r="AQ19" s="419" t="n">
        <v>1.1140040306933</v>
      </c>
      <c r="AR19" s="419" t="n">
        <v>0</v>
      </c>
      <c r="AS19" s="420" t="n">
        <v>0</v>
      </c>
      <c r="AT19" s="420" t="n">
        <v>0</v>
      </c>
      <c r="AU19" s="420" t="n">
        <v>0</v>
      </c>
      <c r="AV19" s="420" t="n">
        <v>0</v>
      </c>
      <c r="AW19" s="420" t="n">
        <v>0.746998608192342</v>
      </c>
      <c r="AX19" s="419" t="n">
        <v>0.0763690751812747</v>
      </c>
      <c r="AY19" s="419" t="n">
        <v>0</v>
      </c>
      <c r="AZ19" s="419" t="n">
        <v>0.980617035529684</v>
      </c>
      <c r="BA19" s="419" t="n">
        <v>0</v>
      </c>
      <c r="BB19" s="420" t="n">
        <v>0</v>
      </c>
      <c r="BC19" s="420" t="n">
        <v>0</v>
      </c>
      <c r="BD19" s="420" t="n">
        <v>0</v>
      </c>
      <c r="BE19" s="420" t="n">
        <v>0</v>
      </c>
      <c r="BF19" s="420" t="n">
        <v>0.74707399554764</v>
      </c>
      <c r="BG19" s="419" t="n">
        <v>0.076383577153034</v>
      </c>
      <c r="BH19" s="419" t="n">
        <v>0</v>
      </c>
      <c r="BI19" s="419" t="n">
        <v>0.864920151103549</v>
      </c>
      <c r="BJ19" s="419" t="n">
        <v>0</v>
      </c>
      <c r="BK19" s="420" t="n">
        <v>0</v>
      </c>
      <c r="BL19" s="420" t="n">
        <v>0</v>
      </c>
      <c r="BM19" s="420" t="n">
        <v>0</v>
      </c>
      <c r="BN19" s="420" t="n">
        <v>0</v>
      </c>
      <c r="BO19" s="420" t="n">
        <v>0.74707399554764</v>
      </c>
      <c r="BP19" s="419" t="n">
        <v>0.076383577153034</v>
      </c>
      <c r="BQ19" s="419" t="n">
        <v>0</v>
      </c>
      <c r="BR19" s="421" t="n">
        <v>0.95</v>
      </c>
      <c r="BS19" s="419" t="n">
        <v>0</v>
      </c>
      <c r="BT19" s="420" t="n">
        <v>0</v>
      </c>
      <c r="BU19" s="420" t="n">
        <v>0</v>
      </c>
      <c r="BV19" s="420" t="n">
        <v>0</v>
      </c>
      <c r="BW19" s="420" t="n">
        <v>0</v>
      </c>
      <c r="BX19" s="80"/>
    </row>
    <row r="20" customFormat="false" ht="14.5" hidden="false" customHeight="false" outlineLevel="0" collapsed="false">
      <c r="B20" s="422" t="s">
        <v>821</v>
      </c>
      <c r="C20" s="393" t="s">
        <v>808</v>
      </c>
      <c r="D20" s="419" t="n">
        <v>0.0579760239130435</v>
      </c>
      <c r="E20" s="419" t="n">
        <v>7.77E-005</v>
      </c>
      <c r="F20" s="419" t="n">
        <v>0</v>
      </c>
      <c r="G20" s="419" t="n">
        <v>0.0439419140499656</v>
      </c>
      <c r="H20" s="419" t="n">
        <v>0</v>
      </c>
      <c r="I20" s="420" t="n">
        <v>0</v>
      </c>
      <c r="J20" s="420" t="n">
        <v>0</v>
      </c>
      <c r="K20" s="420" t="n">
        <v>0</v>
      </c>
      <c r="L20" s="420" t="n">
        <v>0</v>
      </c>
      <c r="M20" s="420" t="n">
        <v>0.0601559065217391</v>
      </c>
      <c r="N20" s="420" t="n">
        <v>8.18190476190476E-005</v>
      </c>
      <c r="O20" s="420" t="n">
        <v>0</v>
      </c>
      <c r="P20" s="420" t="n">
        <v>0.0458089351353068</v>
      </c>
      <c r="Q20" s="420" t="n">
        <v>0</v>
      </c>
      <c r="R20" s="420" t="n">
        <v>0</v>
      </c>
      <c r="S20" s="420" t="n">
        <v>0</v>
      </c>
      <c r="T20" s="420" t="n">
        <v>0</v>
      </c>
      <c r="U20" s="420" t="n">
        <v>0</v>
      </c>
      <c r="V20" s="420" t="n">
        <v>0.0601559065217391</v>
      </c>
      <c r="W20" s="420" t="n">
        <v>8.18190476190476E-005</v>
      </c>
      <c r="X20" s="420" t="n">
        <v>0</v>
      </c>
      <c r="Y20" s="420" t="n">
        <v>0.0449888813998914</v>
      </c>
      <c r="Z20" s="420" t="n">
        <v>0</v>
      </c>
      <c r="AA20" s="420" t="n">
        <v>0</v>
      </c>
      <c r="AB20" s="420" t="n">
        <v>0</v>
      </c>
      <c r="AC20" s="420" t="n">
        <v>0</v>
      </c>
      <c r="AD20" s="420" t="n">
        <v>0</v>
      </c>
      <c r="AE20" s="420" t="n">
        <f aca="false">(V20+M20)/2</f>
        <v>0.0601559065217391</v>
      </c>
      <c r="AF20" s="420" t="n">
        <f aca="false">(W20+N20)/2</f>
        <v>8.18190476190476E-005</v>
      </c>
      <c r="AG20" s="420" t="n">
        <f aca="false">(X20+O20)/2</f>
        <v>0</v>
      </c>
      <c r="AH20" s="420" t="n">
        <f aca="false">(Y20+P20)/2</f>
        <v>0.0453989082675991</v>
      </c>
      <c r="AI20" s="420" t="n">
        <f aca="false">(Z20+Q20)/2</f>
        <v>0</v>
      </c>
      <c r="AJ20" s="420" t="n">
        <f aca="false">(AA20+R20)/2</f>
        <v>0</v>
      </c>
      <c r="AK20" s="420" t="n">
        <f aca="false">(AB20+S20)/2</f>
        <v>0</v>
      </c>
      <c r="AL20" s="420" t="n">
        <f aca="false">(AC20+T20)/2</f>
        <v>0</v>
      </c>
      <c r="AM20" s="420" t="n">
        <f aca="false">(AD20+U20)/2</f>
        <v>0</v>
      </c>
      <c r="AN20" s="420" t="n">
        <v>0.0649516482608695</v>
      </c>
      <c r="AO20" s="419" t="n">
        <v>9.08809523809524E-005</v>
      </c>
      <c r="AP20" s="419" t="n">
        <v>0</v>
      </c>
      <c r="AQ20" s="419" t="n">
        <v>0.0471992122557323</v>
      </c>
      <c r="AR20" s="419" t="n">
        <v>0</v>
      </c>
      <c r="AS20" s="420" t="n">
        <v>0</v>
      </c>
      <c r="AT20" s="420" t="n">
        <v>0</v>
      </c>
      <c r="AU20" s="420" t="n">
        <v>0</v>
      </c>
      <c r="AV20" s="420" t="n">
        <v>0</v>
      </c>
      <c r="AW20" s="420" t="n">
        <v>0.0784975830434783</v>
      </c>
      <c r="AX20" s="419" t="n">
        <v>0.000113666666666667</v>
      </c>
      <c r="AY20" s="419" t="n">
        <v>0</v>
      </c>
      <c r="AZ20" s="419" t="n">
        <v>0.0480259048514581</v>
      </c>
      <c r="BA20" s="419" t="n">
        <v>0</v>
      </c>
      <c r="BB20" s="420" t="n">
        <v>0</v>
      </c>
      <c r="BC20" s="420" t="n">
        <v>0</v>
      </c>
      <c r="BD20" s="420" t="n">
        <v>0</v>
      </c>
      <c r="BE20" s="420" t="n">
        <v>0</v>
      </c>
      <c r="BF20" s="420" t="n">
        <v>0.0793094439130435</v>
      </c>
      <c r="BG20" s="419" t="n">
        <v>0.000115</v>
      </c>
      <c r="BH20" s="419" t="n">
        <v>0</v>
      </c>
      <c r="BI20" s="419" t="n">
        <v>0.0427052830753999</v>
      </c>
      <c r="BJ20" s="419" t="n">
        <v>0</v>
      </c>
      <c r="BK20" s="420" t="n">
        <v>0</v>
      </c>
      <c r="BL20" s="420" t="n">
        <v>0</v>
      </c>
      <c r="BM20" s="420" t="n">
        <v>0</v>
      </c>
      <c r="BN20" s="420" t="n">
        <v>0</v>
      </c>
      <c r="BO20" s="420" t="n">
        <v>0.0793094439130435</v>
      </c>
      <c r="BP20" s="419" t="n">
        <v>0.000115</v>
      </c>
      <c r="BQ20" s="419" t="n">
        <v>0</v>
      </c>
      <c r="BR20" s="421" t="n">
        <v>0.05</v>
      </c>
      <c r="BS20" s="419" t="n">
        <v>0</v>
      </c>
      <c r="BT20" s="420" t="n">
        <v>0</v>
      </c>
      <c r="BU20" s="420" t="n">
        <v>0</v>
      </c>
      <c r="BV20" s="420" t="n">
        <v>0</v>
      </c>
      <c r="BW20" s="420" t="n">
        <v>0</v>
      </c>
      <c r="BX20" s="80"/>
    </row>
    <row r="21" customFormat="false" ht="14.5" hidden="false" customHeight="false" outlineLevel="0" collapsed="false">
      <c r="B21" s="422" t="s">
        <v>822</v>
      </c>
      <c r="C21" s="393" t="s">
        <v>808</v>
      </c>
      <c r="D21" s="419" t="n">
        <v>0.505793122537707</v>
      </c>
      <c r="E21" s="419" t="n">
        <v>0.10055279</v>
      </c>
      <c r="F21" s="419" t="n">
        <v>0</v>
      </c>
      <c r="G21" s="419" t="n">
        <v>3.7229669119685</v>
      </c>
      <c r="H21" s="419" t="n">
        <v>0</v>
      </c>
      <c r="I21" s="420" t="n">
        <v>0.036645996076342</v>
      </c>
      <c r="J21" s="420" t="n">
        <v>0.0786125866697098</v>
      </c>
      <c r="K21" s="420" t="n">
        <v>0</v>
      </c>
      <c r="L21" s="420" t="n">
        <v>0</v>
      </c>
      <c r="M21" s="420" t="n">
        <v>0.484360499146163</v>
      </c>
      <c r="N21" s="420" t="n">
        <v>0.10055279</v>
      </c>
      <c r="O21" s="420" t="n">
        <v>0</v>
      </c>
      <c r="P21" s="420" t="n">
        <v>3.68429250571238</v>
      </c>
      <c r="Q21" s="420" t="n">
        <v>0</v>
      </c>
      <c r="R21" s="420" t="n">
        <v>0.0334614409066016</v>
      </c>
      <c r="S21" s="420" t="n">
        <v>0.0718565246455983</v>
      </c>
      <c r="T21" s="420" t="n">
        <v>0</v>
      </c>
      <c r="U21" s="420" t="n">
        <v>0</v>
      </c>
      <c r="V21" s="420" t="n">
        <v>0.466856159026678</v>
      </c>
      <c r="W21" s="420" t="n">
        <v>0.10055279</v>
      </c>
      <c r="X21" s="420" t="n">
        <v>0</v>
      </c>
      <c r="Y21" s="420" t="n">
        <v>3.53939651309127</v>
      </c>
      <c r="Z21" s="420" t="n">
        <v>0</v>
      </c>
      <c r="AA21" s="420" t="n">
        <v>0.028370928957894</v>
      </c>
      <c r="AB21" s="420" t="n">
        <v>0.060911432063454</v>
      </c>
      <c r="AC21" s="420" t="n">
        <v>0</v>
      </c>
      <c r="AD21" s="420" t="n">
        <v>0</v>
      </c>
      <c r="AE21" s="420" t="n">
        <f aca="false">(V21+M21)/2</f>
        <v>0.475608329086421</v>
      </c>
      <c r="AF21" s="420" t="n">
        <f aca="false">(W21+N21)/2</f>
        <v>0.10055279</v>
      </c>
      <c r="AG21" s="420" t="n">
        <f aca="false">(X21+O21)/2</f>
        <v>0</v>
      </c>
      <c r="AH21" s="420" t="n">
        <f aca="false">(Y21+P21)/2</f>
        <v>3.61184450940182</v>
      </c>
      <c r="AI21" s="420" t="n">
        <f aca="false">(Z21+Q21)/2</f>
        <v>0</v>
      </c>
      <c r="AJ21" s="420" t="n">
        <f aca="false">(AA21+R21)/2</f>
        <v>0.0309161849322478</v>
      </c>
      <c r="AK21" s="420" t="n">
        <f aca="false">(AB21+S21)/2</f>
        <v>0.0663839783545261</v>
      </c>
      <c r="AL21" s="420" t="n">
        <f aca="false">(AC21+T21)/2</f>
        <v>0</v>
      </c>
      <c r="AM21" s="420" t="n">
        <f aca="false">(AD21+U21)/2</f>
        <v>0</v>
      </c>
      <c r="AN21" s="420" t="n">
        <v>0.381194839302413</v>
      </c>
      <c r="AO21" s="419" t="n">
        <v>0.10055279</v>
      </c>
      <c r="AP21" s="419" t="n">
        <v>0</v>
      </c>
      <c r="AQ21" s="419" t="n">
        <v>3.1331654679286</v>
      </c>
      <c r="AR21" s="419" t="n">
        <v>0</v>
      </c>
      <c r="AS21" s="420" t="n">
        <v>0.0126912482389857</v>
      </c>
      <c r="AT21" s="420" t="n">
        <v>0.0272256999316268</v>
      </c>
      <c r="AU21" s="420" t="n">
        <v>0</v>
      </c>
      <c r="AV21" s="420" t="n">
        <v>0</v>
      </c>
      <c r="AW21" s="420" t="n">
        <v>0.316892429177413</v>
      </c>
      <c r="AX21" s="419" t="n">
        <v>0.10055279</v>
      </c>
      <c r="AY21" s="419" t="n">
        <v>0</v>
      </c>
      <c r="AZ21" s="419" t="n">
        <v>2.49640006401476</v>
      </c>
      <c r="BA21" s="419" t="n">
        <v>0</v>
      </c>
      <c r="BB21" s="420" t="n">
        <v>0.00305629723781697</v>
      </c>
      <c r="BC21" s="420" t="n">
        <v>0.00656371471207885</v>
      </c>
      <c r="BD21" s="420" t="n">
        <v>0</v>
      </c>
      <c r="BE21" s="420" t="n">
        <v>0</v>
      </c>
      <c r="BF21" s="420" t="n">
        <v>0.313508091802413</v>
      </c>
      <c r="BG21" s="419" t="n">
        <v>0.10055279</v>
      </c>
      <c r="BH21" s="419" t="n">
        <v>0</v>
      </c>
      <c r="BI21" s="419" t="n">
        <v>2.18971176113328</v>
      </c>
      <c r="BJ21" s="419" t="n">
        <v>0</v>
      </c>
      <c r="BK21" s="420" t="n">
        <v>0.00270852607386462</v>
      </c>
      <c r="BL21" s="420" t="n">
        <v>0.00581776279852601</v>
      </c>
      <c r="BM21" s="420" t="n">
        <v>0</v>
      </c>
      <c r="BN21" s="420" t="n">
        <v>0</v>
      </c>
      <c r="BO21" s="420" t="n">
        <v>0.313508091802413</v>
      </c>
      <c r="BP21" s="419" t="n">
        <v>0.10055279</v>
      </c>
      <c r="BQ21" s="419" t="n">
        <v>0</v>
      </c>
      <c r="BR21" s="421" t="n">
        <v>2.4</v>
      </c>
      <c r="BS21" s="419" t="n">
        <v>0</v>
      </c>
      <c r="BT21" s="420" t="n">
        <v>0.00270852607386462</v>
      </c>
      <c r="BU21" s="420" t="n">
        <v>0.00581776279852601</v>
      </c>
      <c r="BV21" s="420" t="n">
        <v>0</v>
      </c>
      <c r="BW21" s="420" t="n">
        <v>0</v>
      </c>
    </row>
    <row r="22" customFormat="false" ht="14.5" hidden="false" customHeight="false" outlineLevel="0" collapsed="false">
      <c r="B22" s="414" t="s">
        <v>823</v>
      </c>
      <c r="C22" s="393" t="s">
        <v>808</v>
      </c>
      <c r="D22" s="415" t="n">
        <v>0.0171499915586572</v>
      </c>
      <c r="E22" s="415" t="n">
        <v>0.000822714620115642</v>
      </c>
      <c r="F22" s="415" t="n">
        <v>0.0013591720000992</v>
      </c>
      <c r="G22" s="415" t="n">
        <v>0.0030402678894089</v>
      </c>
      <c r="H22" s="415" t="n">
        <v>0</v>
      </c>
      <c r="I22" s="415" t="n">
        <v>3.00463404336333E-006</v>
      </c>
      <c r="J22" s="415" t="n">
        <v>1.3748762325047E-005</v>
      </c>
      <c r="K22" s="415" t="n">
        <v>0</v>
      </c>
      <c r="L22" s="415" t="n">
        <v>0</v>
      </c>
      <c r="M22" s="415" t="n">
        <v>0.0325470177744544</v>
      </c>
      <c r="N22" s="415" t="n">
        <v>0.0122365418701103</v>
      </c>
      <c r="O22" s="415" t="n">
        <v>0.0113545127334061</v>
      </c>
      <c r="P22" s="415" t="n">
        <v>0.00376685171844567</v>
      </c>
      <c r="Q22" s="415" t="n">
        <v>0</v>
      </c>
      <c r="R22" s="415" t="n">
        <v>2.95406058339408E-006</v>
      </c>
      <c r="S22" s="415" t="n">
        <v>1.3715168076039E-005</v>
      </c>
      <c r="T22" s="415" t="n">
        <v>0</v>
      </c>
      <c r="U22" s="415" t="n">
        <v>0</v>
      </c>
      <c r="V22" s="415" t="n">
        <v>0.0336076044411211</v>
      </c>
      <c r="W22" s="415" t="n">
        <v>0.012243048536777</v>
      </c>
      <c r="X22" s="415" t="n">
        <v>0.0113867858000728</v>
      </c>
      <c r="Y22" s="415" t="n">
        <v>0.00382420360114987</v>
      </c>
      <c r="Z22" s="415" t="n">
        <v>0</v>
      </c>
      <c r="AA22" s="415" t="n">
        <v>2.67212581110272E-006</v>
      </c>
      <c r="AB22" s="415" t="n">
        <v>1.29847646042445E-005</v>
      </c>
      <c r="AC22" s="415" t="n">
        <v>0</v>
      </c>
      <c r="AD22" s="415" t="n">
        <v>0</v>
      </c>
      <c r="AE22" s="415" t="n">
        <f aca="false">(V22+M22)/2</f>
        <v>0.0330773111077878</v>
      </c>
      <c r="AF22" s="415" t="n">
        <f aca="false">(W22+N22)/2</f>
        <v>0.0122397952034437</v>
      </c>
      <c r="AG22" s="415" t="n">
        <f aca="false">(X22+O22)/2</f>
        <v>0.0113706492667394</v>
      </c>
      <c r="AH22" s="415" t="n">
        <f aca="false">(Y22+P22)/2</f>
        <v>0.00379552765979777</v>
      </c>
      <c r="AI22" s="415" t="n">
        <f aca="false">(Z22+Q22)/2</f>
        <v>0</v>
      </c>
      <c r="AJ22" s="415" t="n">
        <f aca="false">(AA22+R22)/2</f>
        <v>2.8130931972484E-006</v>
      </c>
      <c r="AK22" s="415" t="n">
        <f aca="false">(AB22+S22)/2</f>
        <v>1.33499663401418E-005</v>
      </c>
      <c r="AL22" s="415" t="n">
        <f aca="false">(AC22+T22)/2</f>
        <v>0</v>
      </c>
      <c r="AM22" s="415" t="n">
        <f aca="false">(AD22+U22)/2</f>
        <v>0</v>
      </c>
      <c r="AN22" s="415" t="n">
        <v>0.105461741555397</v>
      </c>
      <c r="AO22" s="415" t="n">
        <v>0.0641173646200956</v>
      </c>
      <c r="AP22" s="415" t="n">
        <v>0.0499406</v>
      </c>
      <c r="AQ22" s="415" t="n">
        <v>0.00636059700802448</v>
      </c>
      <c r="AR22" s="415" t="n">
        <v>0</v>
      </c>
      <c r="AS22" s="415" t="n">
        <v>1.77667018279441E-006</v>
      </c>
      <c r="AT22" s="415" t="n">
        <v>1.06670391313658E-005</v>
      </c>
      <c r="AU22" s="415" t="n">
        <v>0</v>
      </c>
      <c r="AV22" s="415" t="n">
        <v>0</v>
      </c>
      <c r="AW22" s="415" t="n">
        <v>0.237717162742711</v>
      </c>
      <c r="AX22" s="415" t="n">
        <v>0.180637943305243</v>
      </c>
      <c r="AY22" s="415" t="n">
        <v>0.159028378</v>
      </c>
      <c r="AZ22" s="415" t="n">
        <v>0.00922016337622611</v>
      </c>
      <c r="BA22" s="415" t="n">
        <v>0</v>
      </c>
      <c r="BB22" s="415" t="n">
        <v>3.45146619880894E-007</v>
      </c>
      <c r="BC22" s="415" t="n">
        <v>4.22306911573894E-006</v>
      </c>
      <c r="BD22" s="415" t="n">
        <v>0</v>
      </c>
      <c r="BE22" s="415" t="n">
        <v>0</v>
      </c>
      <c r="BF22" s="415" t="n">
        <v>0.245445446505211</v>
      </c>
      <c r="BG22" s="415" t="n">
        <v>0.188033008242743</v>
      </c>
      <c r="BH22" s="415" t="n">
        <v>0.16632084</v>
      </c>
      <c r="BI22" s="415" t="n">
        <v>0.00832860947014075</v>
      </c>
      <c r="BJ22" s="415" t="n">
        <v>0</v>
      </c>
      <c r="BK22" s="415" t="n">
        <v>3.15418432607626E-007</v>
      </c>
      <c r="BL22" s="415" t="n">
        <v>4.14645899786987E-006</v>
      </c>
      <c r="BM22" s="415" t="n">
        <v>0</v>
      </c>
      <c r="BN22" s="415" t="n">
        <v>0</v>
      </c>
      <c r="BO22" s="415" t="n">
        <v>0.245445446505211</v>
      </c>
      <c r="BP22" s="415" t="n">
        <v>0.188033008242743</v>
      </c>
      <c r="BQ22" s="415" t="n">
        <v>0.16632084</v>
      </c>
      <c r="BR22" s="415" t="n">
        <v>0.00832860947014075</v>
      </c>
      <c r="BS22" s="415" t="n">
        <v>0</v>
      </c>
      <c r="BT22" s="415" t="n">
        <v>3.15418432607626E-007</v>
      </c>
      <c r="BU22" s="415" t="n">
        <v>4.14645899786987E-006</v>
      </c>
      <c r="BV22" s="415" t="n">
        <v>0</v>
      </c>
      <c r="BW22" s="415" t="n">
        <v>0</v>
      </c>
      <c r="BY22" s="80" t="n">
        <f aca="false">SUM(AW22:BE22)</f>
        <v>0.586608215639916</v>
      </c>
      <c r="BZ22" s="80" t="n">
        <f aca="false">SUM(BO22:BW22)</f>
        <v>0.608132366095525</v>
      </c>
    </row>
    <row r="23" customFormat="false" ht="14.5" hidden="false" customHeight="false" outlineLevel="0" collapsed="false">
      <c r="B23" s="422" t="s">
        <v>824</v>
      </c>
      <c r="C23" s="393" t="s">
        <v>808</v>
      </c>
      <c r="D23" s="419" t="n">
        <v>0.01618400000326</v>
      </c>
      <c r="E23" s="419" t="n">
        <v>0.00023120000002</v>
      </c>
      <c r="F23" s="419" t="n">
        <v>0.0007883920000992</v>
      </c>
      <c r="G23" s="419" t="n">
        <v>0.00183380866414785</v>
      </c>
      <c r="H23" s="420" t="n">
        <v>0</v>
      </c>
      <c r="I23" s="420" t="n">
        <v>0</v>
      </c>
      <c r="J23" s="420" t="n">
        <v>0</v>
      </c>
      <c r="K23" s="420" t="n">
        <v>0</v>
      </c>
      <c r="L23" s="420" t="n">
        <v>0</v>
      </c>
      <c r="M23" s="420" t="n">
        <v>0.020578133335724</v>
      </c>
      <c r="N23" s="420" t="n">
        <v>0.000269173333347999</v>
      </c>
      <c r="O23" s="420" t="n">
        <v>0.000946814400072745</v>
      </c>
      <c r="P23" s="420" t="n">
        <v>0.00238334286659566</v>
      </c>
      <c r="Q23" s="420" t="n">
        <v>0</v>
      </c>
      <c r="R23" s="420" t="n">
        <v>0</v>
      </c>
      <c r="S23" s="420" t="n">
        <v>0</v>
      </c>
      <c r="T23" s="420" t="n">
        <v>0</v>
      </c>
      <c r="U23" s="420" t="n">
        <v>0</v>
      </c>
      <c r="V23" s="420" t="n">
        <v>0.0216387200023906</v>
      </c>
      <c r="W23" s="420" t="n">
        <v>0.000275680000014666</v>
      </c>
      <c r="X23" s="420" t="n">
        <v>0.000979087466739411</v>
      </c>
      <c r="Y23" s="420" t="n">
        <v>0.00246546178652936</v>
      </c>
      <c r="Z23" s="420" t="n">
        <v>0</v>
      </c>
      <c r="AA23" s="420" t="n">
        <v>0</v>
      </c>
      <c r="AB23" s="420" t="n">
        <v>0</v>
      </c>
      <c r="AC23" s="420" t="n">
        <v>0</v>
      </c>
      <c r="AD23" s="420" t="n">
        <v>0</v>
      </c>
      <c r="AE23" s="420" t="n">
        <f aca="false">(V23+M23)/2</f>
        <v>0.0211084266690573</v>
      </c>
      <c r="AF23" s="420" t="n">
        <f aca="false">(W23+N23)/2</f>
        <v>0.000272426666681333</v>
      </c>
      <c r="AG23" s="420" t="n">
        <f aca="false">(X23+O23)/2</f>
        <v>0.000962950933406078</v>
      </c>
      <c r="AH23" s="420" t="n">
        <f aca="false">(Y23+P23)/2</f>
        <v>0.00242440232656251</v>
      </c>
      <c r="AI23" s="420" t="n">
        <f aca="false">(Z23+Q23)/2</f>
        <v>0</v>
      </c>
      <c r="AJ23" s="420" t="n">
        <f aca="false">(AA23+R23)/2</f>
        <v>0</v>
      </c>
      <c r="AK23" s="420" t="n">
        <f aca="false">(AB23+S23)/2</f>
        <v>0</v>
      </c>
      <c r="AL23" s="420" t="n">
        <f aca="false">(AC23+T23)/2</f>
        <v>0</v>
      </c>
      <c r="AM23" s="420" t="n">
        <f aca="false">(AD23+U23)/2</f>
        <v>0</v>
      </c>
      <c r="AN23" s="419" t="n">
        <v>0.0366392</v>
      </c>
      <c r="AO23" s="419" t="n">
        <v>0.000398</v>
      </c>
      <c r="AP23" s="419" t="n">
        <v>0.0015035</v>
      </c>
      <c r="AQ23" s="419" t="n">
        <v>0.00418669530920137</v>
      </c>
      <c r="AR23" s="420" t="n">
        <v>0</v>
      </c>
      <c r="AS23" s="420" t="n">
        <v>0</v>
      </c>
      <c r="AT23" s="420" t="n">
        <v>0</v>
      </c>
      <c r="AU23" s="420" t="n">
        <v>0</v>
      </c>
      <c r="AV23" s="420" t="n">
        <v>0</v>
      </c>
      <c r="AW23" s="419" t="n">
        <v>0.06431061</v>
      </c>
      <c r="AX23" s="419" t="n">
        <v>0.00052245</v>
      </c>
      <c r="AY23" s="419" t="n">
        <v>0.002243873</v>
      </c>
      <c r="AZ23" s="419" t="n">
        <v>0.00653467235264231</v>
      </c>
      <c r="BA23" s="420" t="n">
        <v>0</v>
      </c>
      <c r="BB23" s="420" t="n">
        <v>0</v>
      </c>
      <c r="BC23" s="420" t="n">
        <v>0</v>
      </c>
      <c r="BD23" s="420" t="n">
        <v>0</v>
      </c>
      <c r="BE23" s="420" t="n">
        <v>0</v>
      </c>
      <c r="BF23" s="419" t="n">
        <v>0.065767</v>
      </c>
      <c r="BG23" s="419" t="n">
        <v>0.000529</v>
      </c>
      <c r="BH23" s="419" t="n">
        <v>0.00228284</v>
      </c>
      <c r="BI23" s="419" t="n">
        <v>0.00589537993664106</v>
      </c>
      <c r="BJ23" s="420" t="n">
        <v>0</v>
      </c>
      <c r="BK23" s="420" t="n">
        <v>0</v>
      </c>
      <c r="BL23" s="420" t="n">
        <v>0</v>
      </c>
      <c r="BM23" s="420" t="n">
        <v>0</v>
      </c>
      <c r="BN23" s="420" t="n">
        <v>0</v>
      </c>
      <c r="BO23" s="419" t="n">
        <v>0.065767</v>
      </c>
      <c r="BP23" s="419" t="n">
        <v>0.000529</v>
      </c>
      <c r="BQ23" s="419" t="n">
        <v>0.00228284</v>
      </c>
      <c r="BR23" s="419" t="n">
        <v>0.00589537993664106</v>
      </c>
      <c r="BS23" s="420" t="n">
        <v>0</v>
      </c>
      <c r="BT23" s="420" t="n">
        <v>0</v>
      </c>
      <c r="BU23" s="420" t="n">
        <v>0</v>
      </c>
      <c r="BV23" s="420" t="n">
        <v>0</v>
      </c>
      <c r="BW23" s="420" t="n">
        <v>0</v>
      </c>
    </row>
    <row r="24" customFormat="false" ht="14.5" hidden="false" customHeight="false" outlineLevel="0" collapsed="false">
      <c r="B24" s="423" t="s">
        <v>825</v>
      </c>
      <c r="C24" s="393" t="s">
        <v>808</v>
      </c>
      <c r="D24" s="419" t="n">
        <v>0.000512085</v>
      </c>
      <c r="E24" s="419" t="n">
        <v>0.000591475</v>
      </c>
      <c r="F24" s="419" t="n">
        <v>0.00057078</v>
      </c>
      <c r="G24" s="419" t="n">
        <v>6.96870883948354E-006</v>
      </c>
      <c r="H24" s="420" t="n">
        <v>0</v>
      </c>
      <c r="I24" s="420" t="n">
        <v>0</v>
      </c>
      <c r="J24" s="420" t="n">
        <v>0</v>
      </c>
      <c r="K24" s="420" t="n">
        <v>0</v>
      </c>
      <c r="L24" s="420" t="n">
        <v>0</v>
      </c>
      <c r="M24" s="420" t="n">
        <v>0.0115149778833333</v>
      </c>
      <c r="N24" s="420" t="n">
        <v>0.0119673289166667</v>
      </c>
      <c r="O24" s="420" t="n">
        <v>0.0104076983333333</v>
      </c>
      <c r="P24" s="420" t="n">
        <v>0.000164769458041931</v>
      </c>
      <c r="Q24" s="420" t="n">
        <v>0</v>
      </c>
      <c r="R24" s="420" t="n">
        <v>0</v>
      </c>
      <c r="S24" s="420" t="n">
        <v>0</v>
      </c>
      <c r="T24" s="420" t="n">
        <v>0</v>
      </c>
      <c r="U24" s="420" t="n">
        <v>0</v>
      </c>
      <c r="V24" s="420" t="n">
        <v>0.0115149778833333</v>
      </c>
      <c r="W24" s="420" t="n">
        <v>0.0119673289166667</v>
      </c>
      <c r="X24" s="420" t="n">
        <v>0.0104076983333333</v>
      </c>
      <c r="Y24" s="420" t="n">
        <v>0.000161819819305502</v>
      </c>
      <c r="Z24" s="420" t="n">
        <v>0</v>
      </c>
      <c r="AA24" s="420" t="n">
        <v>0</v>
      </c>
      <c r="AB24" s="420" t="n">
        <v>0</v>
      </c>
      <c r="AC24" s="420" t="n">
        <v>0</v>
      </c>
      <c r="AD24" s="420" t="n">
        <v>0</v>
      </c>
      <c r="AE24" s="420" t="n">
        <f aca="false">(V24+M24)/2</f>
        <v>0.0115149778833333</v>
      </c>
      <c r="AF24" s="420" t="n">
        <f aca="false">(W24+N24)/2</f>
        <v>0.0119673289166667</v>
      </c>
      <c r="AG24" s="420" t="n">
        <f aca="false">(X24+O24)/2</f>
        <v>0.0104076983333333</v>
      </c>
      <c r="AH24" s="420" t="n">
        <f aca="false">(Y24+P24)/2</f>
        <v>0.000163294638673717</v>
      </c>
      <c r="AI24" s="420" t="n">
        <f aca="false">(Z24+Q24)/2</f>
        <v>0</v>
      </c>
      <c r="AJ24" s="420" t="n">
        <f aca="false">(AA24+R24)/2</f>
        <v>0</v>
      </c>
      <c r="AK24" s="420" t="n">
        <f aca="false">(AB24+S24)/2</f>
        <v>0</v>
      </c>
      <c r="AL24" s="420" t="n">
        <f aca="false">(AC24+T24)/2</f>
        <v>0</v>
      </c>
      <c r="AM24" s="420" t="n">
        <f aca="false">(AD24+U24)/2</f>
        <v>0</v>
      </c>
      <c r="AN24" s="419" t="n">
        <v>0.068368635</v>
      </c>
      <c r="AO24" s="419" t="n">
        <v>0.063719325</v>
      </c>
      <c r="AP24" s="419" t="n">
        <v>0.0484371</v>
      </c>
      <c r="AQ24" s="419" t="n">
        <v>0.000984539479324572</v>
      </c>
      <c r="AR24" s="420" t="n">
        <v>0</v>
      </c>
      <c r="AS24" s="420" t="n">
        <v>0</v>
      </c>
      <c r="AT24" s="420" t="n">
        <v>0</v>
      </c>
      <c r="AU24" s="420" t="n">
        <v>0</v>
      </c>
      <c r="AV24" s="420" t="n">
        <v>0</v>
      </c>
      <c r="AW24" s="419" t="n">
        <v>0.1731633062375</v>
      </c>
      <c r="AX24" s="419" t="n">
        <v>0.1801154850625</v>
      </c>
      <c r="AY24" s="419" t="n">
        <v>0.156784505</v>
      </c>
      <c r="AZ24" s="419" t="n">
        <v>0.00212126300333049</v>
      </c>
      <c r="BA24" s="420" t="n">
        <v>0</v>
      </c>
      <c r="BB24" s="420" t="n">
        <v>0</v>
      </c>
      <c r="BC24" s="420" t="n">
        <v>0</v>
      </c>
      <c r="BD24" s="420" t="n">
        <v>0</v>
      </c>
      <c r="BE24" s="420" t="n">
        <v>0</v>
      </c>
      <c r="BF24" s="419" t="n">
        <v>0.1794352</v>
      </c>
      <c r="BG24" s="419" t="n">
        <v>0.187504</v>
      </c>
      <c r="BH24" s="419" t="n">
        <v>0.164038</v>
      </c>
      <c r="BI24" s="419" t="n">
        <v>0.00193566574026419</v>
      </c>
      <c r="BJ24" s="420" t="n">
        <v>0</v>
      </c>
      <c r="BK24" s="420" t="n">
        <v>0</v>
      </c>
      <c r="BL24" s="420" t="n">
        <v>0</v>
      </c>
      <c r="BM24" s="420" t="n">
        <v>0</v>
      </c>
      <c r="BN24" s="420" t="n">
        <v>0</v>
      </c>
      <c r="BO24" s="419" t="n">
        <v>0.1794352</v>
      </c>
      <c r="BP24" s="419" t="n">
        <v>0.187504</v>
      </c>
      <c r="BQ24" s="419" t="n">
        <v>0.164038</v>
      </c>
      <c r="BR24" s="419" t="n">
        <v>0.00193566574026419</v>
      </c>
      <c r="BS24" s="420" t="n">
        <v>0</v>
      </c>
      <c r="BT24" s="420" t="n">
        <v>0</v>
      </c>
      <c r="BU24" s="420" t="n">
        <v>0</v>
      </c>
      <c r="BV24" s="420" t="n">
        <v>0</v>
      </c>
      <c r="BW24" s="420" t="n">
        <v>0</v>
      </c>
    </row>
    <row r="25" customFormat="false" ht="14.5" hidden="false" customHeight="false" outlineLevel="0" collapsed="false">
      <c r="B25" s="423" t="s">
        <v>826</v>
      </c>
      <c r="C25" s="393" t="s">
        <v>808</v>
      </c>
      <c r="D25" s="419" t="n">
        <v>0.000453906555397148</v>
      </c>
      <c r="E25" s="419" t="n">
        <v>3.96200956416511E-008</v>
      </c>
      <c r="F25" s="419" t="n">
        <v>0</v>
      </c>
      <c r="G25" s="419" t="n">
        <v>0.00119949051642157</v>
      </c>
      <c r="H25" s="420" t="n">
        <v>0</v>
      </c>
      <c r="I25" s="420" t="n">
        <v>3.00463404336333E-006</v>
      </c>
      <c r="J25" s="420" t="n">
        <v>1.3748762325047E-005</v>
      </c>
      <c r="K25" s="420" t="n">
        <v>0</v>
      </c>
      <c r="L25" s="420" t="n">
        <v>0</v>
      </c>
      <c r="M25" s="420" t="n">
        <v>0.000453906555397148</v>
      </c>
      <c r="N25" s="420" t="n">
        <v>3.96200956416511E-008</v>
      </c>
      <c r="O25" s="420" t="n">
        <v>0</v>
      </c>
      <c r="P25" s="420" t="n">
        <v>0.00121873939380808</v>
      </c>
      <c r="Q25" s="420" t="n">
        <v>0</v>
      </c>
      <c r="R25" s="420" t="n">
        <v>2.95406058339408E-006</v>
      </c>
      <c r="S25" s="420" t="n">
        <v>1.3715168076039E-005</v>
      </c>
      <c r="T25" s="420" t="n">
        <v>0</v>
      </c>
      <c r="U25" s="420" t="n">
        <v>0</v>
      </c>
      <c r="V25" s="420" t="n">
        <v>0.000453906555397148</v>
      </c>
      <c r="W25" s="420" t="n">
        <v>3.96200956416511E-008</v>
      </c>
      <c r="X25" s="420" t="n">
        <v>0</v>
      </c>
      <c r="Y25" s="420" t="n">
        <v>0.00119692199531501</v>
      </c>
      <c r="Z25" s="420" t="n">
        <v>0</v>
      </c>
      <c r="AA25" s="420" t="n">
        <v>2.67212581110272E-006</v>
      </c>
      <c r="AB25" s="420" t="n">
        <v>1.29847646042445E-005</v>
      </c>
      <c r="AC25" s="420" t="n">
        <v>0</v>
      </c>
      <c r="AD25" s="420" t="n">
        <v>0</v>
      </c>
      <c r="AE25" s="420" t="n">
        <f aca="false">(V25+M25)/2</f>
        <v>0.000453906555397148</v>
      </c>
      <c r="AF25" s="420" t="n">
        <f aca="false">(W25+N25)/2</f>
        <v>3.96200956416511E-008</v>
      </c>
      <c r="AG25" s="420" t="n">
        <f aca="false">(X25+O25)/2</f>
        <v>0</v>
      </c>
      <c r="AH25" s="420" t="n">
        <f aca="false">(Y25+P25)/2</f>
        <v>0.00120783069456154</v>
      </c>
      <c r="AI25" s="420" t="n">
        <f aca="false">(Z25+Q25)/2</f>
        <v>0</v>
      </c>
      <c r="AJ25" s="420" t="n">
        <f aca="false">(AA25+R25)/2</f>
        <v>2.8130931972484E-006</v>
      </c>
      <c r="AK25" s="420" t="n">
        <f aca="false">(AB25+S25)/2</f>
        <v>1.33499663401418E-005</v>
      </c>
      <c r="AL25" s="420" t="n">
        <f aca="false">(AC25+T25)/2</f>
        <v>0</v>
      </c>
      <c r="AM25" s="420" t="n">
        <f aca="false">(AD25+U25)/2</f>
        <v>0</v>
      </c>
      <c r="AN25" s="419" t="n">
        <v>0.000453906555397148</v>
      </c>
      <c r="AO25" s="419" t="n">
        <v>3.96200956416511E-008</v>
      </c>
      <c r="AP25" s="419" t="n">
        <v>0</v>
      </c>
      <c r="AQ25" s="419" t="n">
        <v>0.00118936221949853</v>
      </c>
      <c r="AR25" s="420" t="n">
        <v>0</v>
      </c>
      <c r="AS25" s="420" t="n">
        <v>1.77667018279441E-006</v>
      </c>
      <c r="AT25" s="420" t="n">
        <v>1.06670391313658E-005</v>
      </c>
      <c r="AU25" s="420" t="n">
        <v>0</v>
      </c>
      <c r="AV25" s="420" t="n">
        <v>0</v>
      </c>
      <c r="AW25" s="419" t="n">
        <v>0.000243246505210592</v>
      </c>
      <c r="AX25" s="419" t="n">
        <v>8.24274336283186E-009</v>
      </c>
      <c r="AY25" s="419" t="n">
        <v>0</v>
      </c>
      <c r="AZ25" s="419" t="n">
        <v>0.000564228020253311</v>
      </c>
      <c r="BA25" s="420" t="n">
        <v>0</v>
      </c>
      <c r="BB25" s="420" t="n">
        <v>3.45146619880894E-007</v>
      </c>
      <c r="BC25" s="420" t="n">
        <v>4.22306911573894E-006</v>
      </c>
      <c r="BD25" s="420" t="n">
        <v>0</v>
      </c>
      <c r="BE25" s="420" t="n">
        <v>0</v>
      </c>
      <c r="BF25" s="419" t="n">
        <v>0.000243246505210592</v>
      </c>
      <c r="BG25" s="419" t="n">
        <v>8.24274336283186E-009</v>
      </c>
      <c r="BH25" s="419" t="n">
        <v>0</v>
      </c>
      <c r="BI25" s="419" t="n">
        <v>0.000497563793235505</v>
      </c>
      <c r="BJ25" s="420" t="n">
        <v>0</v>
      </c>
      <c r="BK25" s="420" t="n">
        <v>3.15418432607626E-007</v>
      </c>
      <c r="BL25" s="420" t="n">
        <v>4.14645899786987E-006</v>
      </c>
      <c r="BM25" s="420" t="n">
        <v>0</v>
      </c>
      <c r="BN25" s="420" t="n">
        <v>0</v>
      </c>
      <c r="BO25" s="419" t="n">
        <v>0.000243246505210592</v>
      </c>
      <c r="BP25" s="419" t="n">
        <v>8.24274336283186E-009</v>
      </c>
      <c r="BQ25" s="419" t="n">
        <v>0</v>
      </c>
      <c r="BR25" s="419" t="n">
        <v>0.000497563793235505</v>
      </c>
      <c r="BS25" s="420" t="n">
        <v>0</v>
      </c>
      <c r="BT25" s="420" t="n">
        <v>3.15418432607626E-007</v>
      </c>
      <c r="BU25" s="420" t="n">
        <v>4.14645899786987E-006</v>
      </c>
      <c r="BV25" s="420" t="n">
        <v>0</v>
      </c>
      <c r="BW25" s="420" t="n">
        <v>0</v>
      </c>
    </row>
    <row r="26" customFormat="false" ht="14.5" hidden="false" customHeight="false" outlineLevel="0" collapsed="false">
      <c r="B26" s="424" t="s">
        <v>827</v>
      </c>
      <c r="C26" s="393" t="s">
        <v>808</v>
      </c>
      <c r="D26" s="425" t="n">
        <v>0</v>
      </c>
      <c r="E26" s="425" t="n">
        <v>0</v>
      </c>
      <c r="F26" s="425" t="n">
        <v>0</v>
      </c>
      <c r="G26" s="425" t="n">
        <v>0</v>
      </c>
      <c r="H26" s="425" t="n">
        <v>1.24221428571429</v>
      </c>
      <c r="I26" s="425" t="n">
        <v>0.258166125409441</v>
      </c>
      <c r="J26" s="425" t="n">
        <v>0.23584</v>
      </c>
      <c r="K26" s="425" t="n">
        <v>0</v>
      </c>
      <c r="L26" s="425" t="n">
        <v>0</v>
      </c>
      <c r="M26" s="425" t="n">
        <v>0</v>
      </c>
      <c r="N26" s="425" t="n">
        <v>0</v>
      </c>
      <c r="O26" s="425" t="n">
        <v>0</v>
      </c>
      <c r="P26" s="425" t="n">
        <v>0</v>
      </c>
      <c r="Q26" s="425" t="n">
        <v>1.20777690263353</v>
      </c>
      <c r="R26" s="425" t="n">
        <v>0.260284348240822</v>
      </c>
      <c r="S26" s="425" t="n">
        <v>0.238081433607391</v>
      </c>
      <c r="T26" s="425" t="n">
        <v>0</v>
      </c>
      <c r="U26" s="425" t="n">
        <v>0</v>
      </c>
      <c r="V26" s="425" t="n">
        <v>0</v>
      </c>
      <c r="W26" s="425" t="n">
        <v>0</v>
      </c>
      <c r="X26" s="425" t="n">
        <v>0</v>
      </c>
      <c r="Y26" s="425" t="n">
        <v>0</v>
      </c>
      <c r="Z26" s="425" t="n">
        <v>1.14954810807609</v>
      </c>
      <c r="AA26" s="425" t="n">
        <v>0.259960066153217</v>
      </c>
      <c r="AB26" s="425" t="n">
        <v>0.237881402533615</v>
      </c>
      <c r="AC26" s="425" t="n">
        <v>0</v>
      </c>
      <c r="AD26" s="425" t="n">
        <v>0</v>
      </c>
      <c r="AE26" s="425" t="n">
        <f aca="false">(V26+M26)/2</f>
        <v>0</v>
      </c>
      <c r="AF26" s="425" t="n">
        <f aca="false">(W26+N26)/2</f>
        <v>0</v>
      </c>
      <c r="AG26" s="425" t="n">
        <f aca="false">(X26+O26)/2</f>
        <v>0</v>
      </c>
      <c r="AH26" s="425" t="n">
        <f aca="false">(Y26+P26)/2</f>
        <v>0</v>
      </c>
      <c r="AI26" s="425" t="n">
        <f aca="false">(Z26+Q26)/2</f>
        <v>1.17866250535481</v>
      </c>
      <c r="AJ26" s="425" t="n">
        <f aca="false">(AA26+R26)/2</f>
        <v>0.26012220719702</v>
      </c>
      <c r="AK26" s="425" t="n">
        <f aca="false">(AB26+S26)/2</f>
        <v>0.237981418070503</v>
      </c>
      <c r="AL26" s="425" t="n">
        <f aca="false">(AC26+T26)/2</f>
        <v>0</v>
      </c>
      <c r="AM26" s="425" t="n">
        <f aca="false">(AD26+U26)/2</f>
        <v>0</v>
      </c>
      <c r="AN26" s="425" t="n">
        <v>0</v>
      </c>
      <c r="AO26" s="425" t="n">
        <v>0</v>
      </c>
      <c r="AP26" s="425" t="n">
        <v>0</v>
      </c>
      <c r="AQ26" s="425" t="n">
        <v>0</v>
      </c>
      <c r="AR26" s="425" t="n">
        <v>0.937614465182041</v>
      </c>
      <c r="AS26" s="425" t="n">
        <v>0.263799314395101</v>
      </c>
      <c r="AT26" s="425" t="n">
        <v>0.242308698169688</v>
      </c>
      <c r="AU26" s="425" t="n">
        <v>0</v>
      </c>
      <c r="AV26" s="425" t="n">
        <v>0</v>
      </c>
      <c r="AW26" s="425" t="n">
        <v>0</v>
      </c>
      <c r="AX26" s="425" t="n">
        <v>0</v>
      </c>
      <c r="AY26" s="425" t="n">
        <v>0</v>
      </c>
      <c r="AZ26" s="425" t="n">
        <v>0</v>
      </c>
      <c r="BA26" s="425" t="n">
        <v>0.567400831998692</v>
      </c>
      <c r="BB26" s="425" t="n">
        <v>0.265047983083356</v>
      </c>
      <c r="BC26" s="425" t="n">
        <v>0.246326158069354</v>
      </c>
      <c r="BD26" s="425" t="n">
        <v>0</v>
      </c>
      <c r="BE26" s="425" t="n">
        <v>0</v>
      </c>
      <c r="BF26" s="425" t="n">
        <v>0</v>
      </c>
      <c r="BG26" s="425" t="n">
        <v>0</v>
      </c>
      <c r="BH26" s="425" t="n">
        <v>0</v>
      </c>
      <c r="BI26" s="425" t="n">
        <v>0</v>
      </c>
      <c r="BJ26" s="425" t="n">
        <v>0.547148052058259</v>
      </c>
      <c r="BK26" s="425" t="n">
        <v>0.265093750699424</v>
      </c>
      <c r="BL26" s="425" t="n">
        <v>0.246525551275783</v>
      </c>
      <c r="BM26" s="425" t="n">
        <v>0</v>
      </c>
      <c r="BN26" s="425" t="n">
        <v>0</v>
      </c>
      <c r="BO26" s="425" t="n">
        <v>0</v>
      </c>
      <c r="BP26" s="425" t="n">
        <v>0</v>
      </c>
      <c r="BQ26" s="425" t="n">
        <v>0</v>
      </c>
      <c r="BR26" s="425" t="n">
        <v>0</v>
      </c>
      <c r="BS26" s="425" t="n">
        <v>0.547148052058259</v>
      </c>
      <c r="BT26" s="425" t="n">
        <v>0.265093750699424</v>
      </c>
      <c r="BU26" s="425" t="n">
        <v>0.246525551275783</v>
      </c>
      <c r="BV26" s="425" t="n">
        <v>0</v>
      </c>
      <c r="BW26" s="425" t="n">
        <v>0</v>
      </c>
      <c r="BY26" s="80" t="n">
        <f aca="false">SUM(AW26:BE26)</f>
        <v>1.0787749731514</v>
      </c>
      <c r="BZ26" s="80" t="n">
        <f aca="false">SUM(BO26:BW26)</f>
        <v>1.05876735403347</v>
      </c>
    </row>
    <row r="27" customFormat="false" ht="14.5" hidden="false" customHeight="false" outlineLevel="0" collapsed="false">
      <c r="B27" s="427" t="s">
        <v>828</v>
      </c>
      <c r="C27" s="393" t="s">
        <v>808</v>
      </c>
      <c r="D27" s="428" t="n">
        <v>0</v>
      </c>
      <c r="E27" s="428" t="n">
        <v>0</v>
      </c>
      <c r="F27" s="428" t="n">
        <v>0</v>
      </c>
      <c r="G27" s="428" t="n">
        <v>0</v>
      </c>
      <c r="H27" s="429" t="n">
        <v>1.24221428571429</v>
      </c>
      <c r="I27" s="429" t="n">
        <v>0</v>
      </c>
      <c r="J27" s="429" t="n">
        <v>0</v>
      </c>
      <c r="K27" s="429" t="n">
        <v>0</v>
      </c>
      <c r="L27" s="429" t="n">
        <v>0</v>
      </c>
      <c r="M27" s="429" t="n">
        <v>0</v>
      </c>
      <c r="N27" s="429" t="n">
        <v>0</v>
      </c>
      <c r="O27" s="429" t="n">
        <v>0</v>
      </c>
      <c r="P27" s="429" t="n">
        <v>0</v>
      </c>
      <c r="Q27" s="429" t="n">
        <v>1.20777690263353</v>
      </c>
      <c r="R27" s="429" t="n">
        <v>0</v>
      </c>
      <c r="S27" s="429" t="n">
        <v>0</v>
      </c>
      <c r="T27" s="429" t="n">
        <v>0</v>
      </c>
      <c r="U27" s="429" t="n">
        <v>0</v>
      </c>
      <c r="V27" s="429" t="n">
        <v>0</v>
      </c>
      <c r="W27" s="429" t="n">
        <v>0</v>
      </c>
      <c r="X27" s="429" t="n">
        <v>0</v>
      </c>
      <c r="Y27" s="429" t="n">
        <v>0</v>
      </c>
      <c r="Z27" s="429" t="n">
        <v>1.14954810807609</v>
      </c>
      <c r="AA27" s="429" t="n">
        <v>0</v>
      </c>
      <c r="AB27" s="429" t="n">
        <v>0</v>
      </c>
      <c r="AC27" s="429" t="n">
        <v>0</v>
      </c>
      <c r="AD27" s="429" t="n">
        <v>0</v>
      </c>
      <c r="AE27" s="429" t="n">
        <f aca="false">(V27+M27)/2</f>
        <v>0</v>
      </c>
      <c r="AF27" s="429" t="n">
        <f aca="false">(W27+N27)/2</f>
        <v>0</v>
      </c>
      <c r="AG27" s="429" t="n">
        <f aca="false">(X27+O27)/2</f>
        <v>0</v>
      </c>
      <c r="AH27" s="429" t="n">
        <f aca="false">(Y27+P27)/2</f>
        <v>0</v>
      </c>
      <c r="AI27" s="429" t="n">
        <f aca="false">(Z27+Q27)/2</f>
        <v>1.17866250535481</v>
      </c>
      <c r="AJ27" s="429" t="n">
        <f aca="false">(AA27+R27)/2</f>
        <v>0</v>
      </c>
      <c r="AK27" s="429" t="n">
        <f aca="false">(AB27+S27)/2</f>
        <v>0</v>
      </c>
      <c r="AL27" s="429" t="n">
        <f aca="false">(AC27+T27)/2</f>
        <v>0</v>
      </c>
      <c r="AM27" s="429" t="n">
        <f aca="false">(AD27+U27)/2</f>
        <v>0</v>
      </c>
      <c r="AN27" s="428" t="n">
        <v>0</v>
      </c>
      <c r="AO27" s="428" t="n">
        <v>0</v>
      </c>
      <c r="AP27" s="428" t="n">
        <v>0</v>
      </c>
      <c r="AQ27" s="428" t="n">
        <v>0</v>
      </c>
      <c r="AR27" s="429" t="n">
        <v>0.937614465182041</v>
      </c>
      <c r="AS27" s="429" t="n">
        <v>0</v>
      </c>
      <c r="AT27" s="429" t="n">
        <v>0</v>
      </c>
      <c r="AU27" s="429" t="n">
        <v>0</v>
      </c>
      <c r="AV27" s="429" t="n">
        <v>0</v>
      </c>
      <c r="AW27" s="428" t="n">
        <v>0</v>
      </c>
      <c r="AX27" s="428" t="n">
        <v>0</v>
      </c>
      <c r="AY27" s="428" t="n">
        <v>0</v>
      </c>
      <c r="AZ27" s="428" t="n">
        <v>0</v>
      </c>
      <c r="BA27" s="429" t="n">
        <v>0.567400831998692</v>
      </c>
      <c r="BB27" s="429" t="n">
        <v>0</v>
      </c>
      <c r="BC27" s="429" t="n">
        <v>0</v>
      </c>
      <c r="BD27" s="429" t="n">
        <v>0</v>
      </c>
      <c r="BE27" s="429" t="n">
        <v>0</v>
      </c>
      <c r="BF27" s="428" t="n">
        <v>0</v>
      </c>
      <c r="BG27" s="428" t="n">
        <v>0</v>
      </c>
      <c r="BH27" s="428" t="n">
        <v>0</v>
      </c>
      <c r="BI27" s="428" t="n">
        <v>0</v>
      </c>
      <c r="BJ27" s="429" t="n">
        <v>0.547148052058259</v>
      </c>
      <c r="BK27" s="429" t="n">
        <v>0</v>
      </c>
      <c r="BL27" s="429" t="n">
        <v>0</v>
      </c>
      <c r="BM27" s="429" t="n">
        <v>0</v>
      </c>
      <c r="BN27" s="429" t="n">
        <v>0</v>
      </c>
      <c r="BO27" s="428" t="n">
        <v>0</v>
      </c>
      <c r="BP27" s="428" t="n">
        <v>0</v>
      </c>
      <c r="BQ27" s="428" t="n">
        <v>0</v>
      </c>
      <c r="BR27" s="428" t="n">
        <v>0</v>
      </c>
      <c r="BS27" s="429" t="n">
        <v>0.547148052058259</v>
      </c>
      <c r="BT27" s="429" t="n">
        <v>0</v>
      </c>
      <c r="BU27" s="429" t="n">
        <v>0</v>
      </c>
      <c r="BV27" s="429" t="n">
        <v>0</v>
      </c>
      <c r="BW27" s="429" t="n">
        <v>0</v>
      </c>
    </row>
    <row r="28" customFormat="false" ht="14.5" hidden="false" customHeight="false" outlineLevel="0" collapsed="false">
      <c r="B28" s="427" t="s">
        <v>829</v>
      </c>
      <c r="C28" s="393" t="s">
        <v>808</v>
      </c>
      <c r="D28" s="428" t="n">
        <v>0</v>
      </c>
      <c r="E28" s="428" t="n">
        <v>0</v>
      </c>
      <c r="F28" s="428" t="n">
        <v>0</v>
      </c>
      <c r="G28" s="428" t="n">
        <v>0</v>
      </c>
      <c r="H28" s="429" t="n">
        <v>0</v>
      </c>
      <c r="I28" s="429" t="n">
        <v>0</v>
      </c>
      <c r="J28" s="429" t="n">
        <v>0</v>
      </c>
      <c r="K28" s="429" t="n">
        <v>0</v>
      </c>
      <c r="L28" s="429" t="n">
        <v>0</v>
      </c>
      <c r="M28" s="429" t="n">
        <v>0</v>
      </c>
      <c r="N28" s="429" t="n">
        <v>0</v>
      </c>
      <c r="O28" s="429" t="n">
        <v>0</v>
      </c>
      <c r="P28" s="429" t="n">
        <v>0</v>
      </c>
      <c r="Q28" s="429" t="n">
        <v>0</v>
      </c>
      <c r="R28" s="429" t="n">
        <v>0</v>
      </c>
      <c r="S28" s="429" t="n">
        <v>0</v>
      </c>
      <c r="T28" s="429" t="n">
        <v>0</v>
      </c>
      <c r="U28" s="429" t="n">
        <v>0</v>
      </c>
      <c r="V28" s="429" t="n">
        <v>0</v>
      </c>
      <c r="W28" s="429" t="n">
        <v>0</v>
      </c>
      <c r="X28" s="429" t="n">
        <v>0</v>
      </c>
      <c r="Y28" s="429" t="n">
        <v>0</v>
      </c>
      <c r="Z28" s="429" t="n">
        <v>0</v>
      </c>
      <c r="AA28" s="429" t="n">
        <v>0</v>
      </c>
      <c r="AB28" s="429" t="n">
        <v>0</v>
      </c>
      <c r="AC28" s="429" t="n">
        <v>0</v>
      </c>
      <c r="AD28" s="429" t="n">
        <v>0</v>
      </c>
      <c r="AE28" s="429" t="n">
        <f aca="false">(V28+M28)/2</f>
        <v>0</v>
      </c>
      <c r="AF28" s="429" t="n">
        <f aca="false">(W28+N28)/2</f>
        <v>0</v>
      </c>
      <c r="AG28" s="429" t="n">
        <f aca="false">(X28+O28)/2</f>
        <v>0</v>
      </c>
      <c r="AH28" s="429" t="n">
        <f aca="false">(Y28+P28)/2</f>
        <v>0</v>
      </c>
      <c r="AI28" s="429" t="n">
        <f aca="false">(Z28+Q28)/2</f>
        <v>0</v>
      </c>
      <c r="AJ28" s="429" t="n">
        <f aca="false">(AA28+R28)/2</f>
        <v>0</v>
      </c>
      <c r="AK28" s="429" t="n">
        <f aca="false">(AB28+S28)/2</f>
        <v>0</v>
      </c>
      <c r="AL28" s="429" t="n">
        <f aca="false">(AC28+T28)/2</f>
        <v>0</v>
      </c>
      <c r="AM28" s="429" t="n">
        <f aca="false">(AD28+U28)/2</f>
        <v>0</v>
      </c>
      <c r="AN28" s="428" t="n">
        <v>0</v>
      </c>
      <c r="AO28" s="428" t="n">
        <v>0</v>
      </c>
      <c r="AP28" s="428" t="n">
        <v>0</v>
      </c>
      <c r="AQ28" s="428" t="n">
        <v>0</v>
      </c>
      <c r="AR28" s="429" t="n">
        <v>0</v>
      </c>
      <c r="AS28" s="429" t="n">
        <v>0</v>
      </c>
      <c r="AT28" s="429" t="n">
        <v>0</v>
      </c>
      <c r="AU28" s="429" t="n">
        <v>0</v>
      </c>
      <c r="AV28" s="429" t="n">
        <v>0</v>
      </c>
      <c r="AW28" s="428" t="n">
        <v>0</v>
      </c>
      <c r="AX28" s="428" t="n">
        <v>0</v>
      </c>
      <c r="AY28" s="428" t="n">
        <v>0</v>
      </c>
      <c r="AZ28" s="428" t="n">
        <v>0</v>
      </c>
      <c r="BA28" s="429" t="n">
        <v>0</v>
      </c>
      <c r="BB28" s="429" t="n">
        <v>0</v>
      </c>
      <c r="BC28" s="429" t="n">
        <v>0</v>
      </c>
      <c r="BD28" s="429" t="n">
        <v>0</v>
      </c>
      <c r="BE28" s="429" t="n">
        <v>0</v>
      </c>
      <c r="BF28" s="428" t="n">
        <v>0</v>
      </c>
      <c r="BG28" s="428" t="n">
        <v>0</v>
      </c>
      <c r="BH28" s="428" t="n">
        <v>0</v>
      </c>
      <c r="BI28" s="428" t="n">
        <v>0</v>
      </c>
      <c r="BJ28" s="429" t="n">
        <v>0</v>
      </c>
      <c r="BK28" s="429" t="n">
        <v>0</v>
      </c>
      <c r="BL28" s="429" t="n">
        <v>0</v>
      </c>
      <c r="BM28" s="429" t="n">
        <v>0</v>
      </c>
      <c r="BN28" s="429" t="n">
        <v>0</v>
      </c>
      <c r="BO28" s="428" t="n">
        <v>0</v>
      </c>
      <c r="BP28" s="428" t="n">
        <v>0</v>
      </c>
      <c r="BQ28" s="428" t="n">
        <v>0</v>
      </c>
      <c r="BR28" s="428" t="n">
        <v>0</v>
      </c>
      <c r="BS28" s="429" t="n">
        <v>0</v>
      </c>
      <c r="BT28" s="429" t="n">
        <v>0</v>
      </c>
      <c r="BU28" s="429" t="n">
        <v>0</v>
      </c>
      <c r="BV28" s="429" t="n">
        <v>0</v>
      </c>
      <c r="BW28" s="429" t="n">
        <v>0</v>
      </c>
    </row>
    <row r="29" customFormat="false" ht="14.5" hidden="false" customHeight="false" outlineLevel="0" collapsed="false">
      <c r="B29" s="431" t="s">
        <v>830</v>
      </c>
      <c r="C29" s="393" t="s">
        <v>808</v>
      </c>
      <c r="D29" s="428" t="n">
        <v>0</v>
      </c>
      <c r="E29" s="428" t="n">
        <v>0</v>
      </c>
      <c r="F29" s="428" t="n">
        <v>0</v>
      </c>
      <c r="G29" s="428" t="n">
        <v>0</v>
      </c>
      <c r="H29" s="429" t="n">
        <v>0</v>
      </c>
      <c r="I29" s="429" t="n">
        <v>0.0298698464760243</v>
      </c>
      <c r="J29" s="429" t="n">
        <v>0.018425</v>
      </c>
      <c r="K29" s="429" t="n">
        <v>0</v>
      </c>
      <c r="L29" s="429" t="n">
        <v>0</v>
      </c>
      <c r="M29" s="429" t="n">
        <v>0</v>
      </c>
      <c r="N29" s="429" t="n">
        <v>0</v>
      </c>
      <c r="O29" s="429" t="n">
        <v>0</v>
      </c>
      <c r="P29" s="429" t="n">
        <v>0</v>
      </c>
      <c r="Q29" s="429" t="n">
        <v>0</v>
      </c>
      <c r="R29" s="429" t="n">
        <v>0.0292624240516449</v>
      </c>
      <c r="S29" s="429" t="n">
        <v>0.0180503158455912</v>
      </c>
      <c r="T29" s="429" t="n">
        <v>0</v>
      </c>
      <c r="U29" s="429" t="n">
        <v>0</v>
      </c>
      <c r="V29" s="429" t="n">
        <v>0</v>
      </c>
      <c r="W29" s="429" t="n">
        <v>0</v>
      </c>
      <c r="X29" s="429" t="n">
        <v>0</v>
      </c>
      <c r="Y29" s="429" t="n">
        <v>0</v>
      </c>
      <c r="Z29" s="429" t="n">
        <v>0</v>
      </c>
      <c r="AA29" s="429" t="n">
        <v>0.0289381419640398</v>
      </c>
      <c r="AB29" s="429" t="n">
        <v>0.0178502847718151</v>
      </c>
      <c r="AC29" s="429" t="n">
        <v>0</v>
      </c>
      <c r="AD29" s="429" t="n">
        <v>0</v>
      </c>
      <c r="AE29" s="429" t="n">
        <f aca="false">(V29+M29)/2</f>
        <v>0</v>
      </c>
      <c r="AF29" s="429" t="n">
        <f aca="false">(W29+N29)/2</f>
        <v>0</v>
      </c>
      <c r="AG29" s="429" t="n">
        <f aca="false">(X29+O29)/2</f>
        <v>0</v>
      </c>
      <c r="AH29" s="429" t="n">
        <f aca="false">(Y29+P29)/2</f>
        <v>0</v>
      </c>
      <c r="AI29" s="429" t="n">
        <f aca="false">(Z29+Q29)/2</f>
        <v>0</v>
      </c>
      <c r="AJ29" s="429" t="n">
        <f aca="false">(AA29+R29)/2</f>
        <v>0.0291002830078423</v>
      </c>
      <c r="AK29" s="429" t="n">
        <f aca="false">(AB29+S29)/2</f>
        <v>0.0179503003087032</v>
      </c>
      <c r="AL29" s="429" t="n">
        <f aca="false">(AC29+T29)/2</f>
        <v>0</v>
      </c>
      <c r="AM29" s="429" t="n">
        <f aca="false">(AD29+U29)/2</f>
        <v>0</v>
      </c>
      <c r="AN29" s="428" t="n">
        <v>0</v>
      </c>
      <c r="AO29" s="428" t="n">
        <v>0</v>
      </c>
      <c r="AP29" s="428" t="n">
        <v>0</v>
      </c>
      <c r="AQ29" s="428" t="n">
        <v>0</v>
      </c>
      <c r="AR29" s="429" t="n">
        <v>0</v>
      </c>
      <c r="AS29" s="429" t="n">
        <v>0.0267785957501503</v>
      </c>
      <c r="AT29" s="429" t="n">
        <v>0.0165181842194119</v>
      </c>
      <c r="AU29" s="429" t="n">
        <v>0</v>
      </c>
      <c r="AV29" s="429" t="n">
        <v>0</v>
      </c>
      <c r="AW29" s="428" t="n">
        <v>0</v>
      </c>
      <c r="AX29" s="428" t="n">
        <v>0</v>
      </c>
      <c r="AY29" s="428" t="n">
        <v>0</v>
      </c>
      <c r="AZ29" s="428" t="n">
        <v>0</v>
      </c>
      <c r="BA29" s="429" t="n">
        <v>0</v>
      </c>
      <c r="BB29" s="429" t="n">
        <v>0.0186022794509318</v>
      </c>
      <c r="BC29" s="429" t="n">
        <v>0.0114746823074077</v>
      </c>
      <c r="BD29" s="429" t="n">
        <v>0</v>
      </c>
      <c r="BE29" s="429" t="n">
        <v>0</v>
      </c>
      <c r="BF29" s="428" t="n">
        <v>0</v>
      </c>
      <c r="BG29" s="428" t="n">
        <v>0</v>
      </c>
      <c r="BH29" s="428" t="n">
        <v>0</v>
      </c>
      <c r="BI29" s="428" t="n">
        <v>0</v>
      </c>
      <c r="BJ29" s="429" t="n">
        <v>0</v>
      </c>
      <c r="BK29" s="429" t="n">
        <v>0.0181517501969006</v>
      </c>
      <c r="BL29" s="429" t="n">
        <v>0.0111967765768848</v>
      </c>
      <c r="BM29" s="429" t="n">
        <v>0</v>
      </c>
      <c r="BN29" s="429" t="n">
        <v>0</v>
      </c>
      <c r="BO29" s="428" t="n">
        <v>0</v>
      </c>
      <c r="BP29" s="428" t="n">
        <v>0</v>
      </c>
      <c r="BQ29" s="428" t="n">
        <v>0</v>
      </c>
      <c r="BR29" s="428" t="n">
        <v>0</v>
      </c>
      <c r="BS29" s="429" t="n">
        <v>0</v>
      </c>
      <c r="BT29" s="429" t="n">
        <v>0.0181517501969006</v>
      </c>
      <c r="BU29" s="429" t="n">
        <v>0.0111967765768848</v>
      </c>
      <c r="BV29" s="429" t="n">
        <v>0</v>
      </c>
      <c r="BW29" s="429" t="n">
        <v>0</v>
      </c>
    </row>
    <row r="30" customFormat="false" ht="14.5" hidden="false" customHeight="false" outlineLevel="0" collapsed="false">
      <c r="B30" s="431" t="s">
        <v>831</v>
      </c>
      <c r="C30" s="393" t="s">
        <v>808</v>
      </c>
      <c r="D30" s="428" t="n">
        <v>0</v>
      </c>
      <c r="E30" s="428" t="n">
        <v>0</v>
      </c>
      <c r="F30" s="428" t="n">
        <v>0</v>
      </c>
      <c r="G30" s="428" t="n">
        <v>0</v>
      </c>
      <c r="H30" s="429" t="n">
        <v>0</v>
      </c>
      <c r="I30" s="429" t="n">
        <v>0.168556585981368</v>
      </c>
      <c r="J30" s="429" t="n">
        <v>0.08107</v>
      </c>
      <c r="K30" s="429" t="n">
        <v>0</v>
      </c>
      <c r="L30" s="429" t="n">
        <v>0</v>
      </c>
      <c r="M30" s="429" t="n">
        <v>0</v>
      </c>
      <c r="N30" s="429" t="n">
        <v>0</v>
      </c>
      <c r="O30" s="429" t="n">
        <v>0</v>
      </c>
      <c r="P30" s="429" t="n">
        <v>0</v>
      </c>
      <c r="Q30" s="429" t="n">
        <v>0</v>
      </c>
      <c r="R30" s="429" t="n">
        <v>0.170566539228038</v>
      </c>
      <c r="S30" s="429" t="n">
        <v>0.0820367193290538</v>
      </c>
      <c r="T30" s="429" t="n">
        <v>0</v>
      </c>
      <c r="U30" s="429" t="n">
        <v>0</v>
      </c>
      <c r="V30" s="429" t="n">
        <v>0</v>
      </c>
      <c r="W30" s="429" t="n">
        <v>0</v>
      </c>
      <c r="X30" s="429" t="n">
        <v>0</v>
      </c>
      <c r="Y30" s="429" t="n">
        <v>0</v>
      </c>
      <c r="Z30" s="429" t="n">
        <v>0</v>
      </c>
      <c r="AA30" s="429" t="n">
        <v>0.170566539228038</v>
      </c>
      <c r="AB30" s="429" t="n">
        <v>0.0820367193290538</v>
      </c>
      <c r="AC30" s="429" t="n">
        <v>0</v>
      </c>
      <c r="AD30" s="429" t="n">
        <v>0</v>
      </c>
      <c r="AE30" s="429" t="n">
        <f aca="false">(V30+M30)/2</f>
        <v>0</v>
      </c>
      <c r="AF30" s="429" t="n">
        <f aca="false">(W30+N30)/2</f>
        <v>0</v>
      </c>
      <c r="AG30" s="429" t="n">
        <f aca="false">(X30+O30)/2</f>
        <v>0</v>
      </c>
      <c r="AH30" s="429" t="n">
        <f aca="false">(Y30+P30)/2</f>
        <v>0</v>
      </c>
      <c r="AI30" s="429" t="n">
        <f aca="false">(Z30+Q30)/2</f>
        <v>0</v>
      </c>
      <c r="AJ30" s="429" t="n">
        <f aca="false">(AA30+R30)/2</f>
        <v>0.170566539228038</v>
      </c>
      <c r="AK30" s="429" t="n">
        <f aca="false">(AB30+S30)/2</f>
        <v>0.0820367193290538</v>
      </c>
      <c r="AL30" s="429" t="n">
        <f aca="false">(AC30+T30)/2</f>
        <v>0</v>
      </c>
      <c r="AM30" s="429" t="n">
        <f aca="false">(AD30+U30)/2</f>
        <v>0</v>
      </c>
      <c r="AN30" s="428" t="n">
        <v>0</v>
      </c>
      <c r="AO30" s="428" t="n">
        <v>0</v>
      </c>
      <c r="AP30" s="428" t="n">
        <v>0</v>
      </c>
      <c r="AQ30" s="428" t="n">
        <v>0</v>
      </c>
      <c r="AR30" s="429" t="n">
        <v>0</v>
      </c>
      <c r="AS30" s="429" t="n">
        <v>0.17498998798455</v>
      </c>
      <c r="AT30" s="429" t="n">
        <v>0.0841642481265939</v>
      </c>
      <c r="AU30" s="429" t="n">
        <v>0</v>
      </c>
      <c r="AV30" s="429" t="n">
        <v>0</v>
      </c>
      <c r="AW30" s="428" t="n">
        <v>0</v>
      </c>
      <c r="AX30" s="428" t="n">
        <v>0</v>
      </c>
      <c r="AY30" s="428" t="n">
        <v>0</v>
      </c>
      <c r="AZ30" s="428" t="n">
        <v>0</v>
      </c>
      <c r="BA30" s="429" t="n">
        <v>0</v>
      </c>
      <c r="BB30" s="429" t="n">
        <v>0.181938415669235</v>
      </c>
      <c r="BC30" s="429" t="n">
        <v>0.0875062061350439</v>
      </c>
      <c r="BD30" s="429" t="n">
        <v>0</v>
      </c>
      <c r="BE30" s="429" t="n">
        <v>0</v>
      </c>
      <c r="BF30" s="428" t="n">
        <v>0</v>
      </c>
      <c r="BG30" s="428" t="n">
        <v>0</v>
      </c>
      <c r="BH30" s="428" t="n">
        <v>0</v>
      </c>
      <c r="BI30" s="428" t="n">
        <v>0</v>
      </c>
      <c r="BJ30" s="429" t="n">
        <v>0</v>
      </c>
      <c r="BK30" s="429" t="n">
        <v>0.182304282476623</v>
      </c>
      <c r="BL30" s="429" t="n">
        <v>0.0876821756582892</v>
      </c>
      <c r="BM30" s="429" t="n">
        <v>0</v>
      </c>
      <c r="BN30" s="429" t="n">
        <v>0</v>
      </c>
      <c r="BO30" s="428" t="n">
        <v>0</v>
      </c>
      <c r="BP30" s="428" t="n">
        <v>0</v>
      </c>
      <c r="BQ30" s="428" t="n">
        <v>0</v>
      </c>
      <c r="BR30" s="428" t="n">
        <v>0</v>
      </c>
      <c r="BS30" s="429" t="n">
        <v>0</v>
      </c>
      <c r="BT30" s="429" t="n">
        <v>0.182304282476623</v>
      </c>
      <c r="BU30" s="429" t="n">
        <v>0.0876821756582892</v>
      </c>
      <c r="BV30" s="429" t="n">
        <v>0</v>
      </c>
      <c r="BW30" s="429" t="n">
        <v>0</v>
      </c>
    </row>
    <row r="31" customFormat="false" ht="14.5" hidden="false" customHeight="false" outlineLevel="0" collapsed="false">
      <c r="B31" s="431" t="s">
        <v>832</v>
      </c>
      <c r="C31" s="393" t="s">
        <v>808</v>
      </c>
      <c r="D31" s="428" t="n">
        <v>0</v>
      </c>
      <c r="E31" s="428" t="n">
        <v>0</v>
      </c>
      <c r="F31" s="428" t="n">
        <v>0</v>
      </c>
      <c r="G31" s="428" t="n">
        <v>0</v>
      </c>
      <c r="H31" s="429" t="n">
        <v>0</v>
      </c>
      <c r="I31" s="429" t="n">
        <v>0.0298698464760243</v>
      </c>
      <c r="J31" s="429" t="n">
        <v>0.099495</v>
      </c>
      <c r="K31" s="429" t="n">
        <v>0</v>
      </c>
      <c r="L31" s="429" t="n">
        <v>0</v>
      </c>
      <c r="M31" s="429" t="n">
        <v>0</v>
      </c>
      <c r="N31" s="429" t="n">
        <v>0</v>
      </c>
      <c r="O31" s="429" t="n">
        <v>0</v>
      </c>
      <c r="P31" s="429" t="n">
        <v>0</v>
      </c>
      <c r="Q31" s="429" t="n">
        <v>0</v>
      </c>
      <c r="R31" s="429" t="n">
        <v>0.0302353030556222</v>
      </c>
      <c r="S31" s="429" t="n">
        <v>0.100712318020576</v>
      </c>
      <c r="T31" s="429" t="n">
        <v>0</v>
      </c>
      <c r="U31" s="429" t="n">
        <v>0</v>
      </c>
      <c r="V31" s="429" t="n">
        <v>0</v>
      </c>
      <c r="W31" s="429" t="n">
        <v>0</v>
      </c>
      <c r="X31" s="429" t="n">
        <v>0</v>
      </c>
      <c r="Y31" s="429" t="n">
        <v>0</v>
      </c>
      <c r="Z31" s="429" t="n">
        <v>0</v>
      </c>
      <c r="AA31" s="429" t="n">
        <v>0.0302353030556222</v>
      </c>
      <c r="AB31" s="429" t="n">
        <v>0.100712318020576</v>
      </c>
      <c r="AC31" s="429" t="n">
        <v>0</v>
      </c>
      <c r="AD31" s="429" t="n">
        <v>0</v>
      </c>
      <c r="AE31" s="429" t="n">
        <f aca="false">(V31+M31)/2</f>
        <v>0</v>
      </c>
      <c r="AF31" s="429" t="n">
        <f aca="false">(W31+N31)/2</f>
        <v>0</v>
      </c>
      <c r="AG31" s="429" t="n">
        <f aca="false">(X31+O31)/2</f>
        <v>0</v>
      </c>
      <c r="AH31" s="429" t="n">
        <f aca="false">(Y31+P31)/2</f>
        <v>0</v>
      </c>
      <c r="AI31" s="429" t="n">
        <f aca="false">(Z31+Q31)/2</f>
        <v>0</v>
      </c>
      <c r="AJ31" s="429" t="n">
        <f aca="false">(AA31+R31)/2</f>
        <v>0.0302353030556222</v>
      </c>
      <c r="AK31" s="429" t="n">
        <f aca="false">(AB31+S31)/2</f>
        <v>0.100712318020576</v>
      </c>
      <c r="AL31" s="429" t="n">
        <f aca="false">(AC31+T31)/2</f>
        <v>0</v>
      </c>
      <c r="AM31" s="429" t="n">
        <f aca="false">(AD31+U31)/2</f>
        <v>0</v>
      </c>
      <c r="AN31" s="428" t="n">
        <v>0</v>
      </c>
      <c r="AO31" s="428" t="n">
        <v>0</v>
      </c>
      <c r="AP31" s="428" t="n">
        <v>0</v>
      </c>
      <c r="AQ31" s="428" t="n">
        <v>0</v>
      </c>
      <c r="AR31" s="429" t="n">
        <v>0</v>
      </c>
      <c r="AS31" s="429" t="n">
        <v>0.0310403446769926</v>
      </c>
      <c r="AT31" s="429" t="n">
        <v>0.103393872349371</v>
      </c>
      <c r="AU31" s="429" t="n">
        <v>0</v>
      </c>
      <c r="AV31" s="429" t="n">
        <v>0</v>
      </c>
      <c r="AW31" s="428" t="n">
        <v>0</v>
      </c>
      <c r="AX31" s="428" t="n">
        <v>0</v>
      </c>
      <c r="AY31" s="428" t="n">
        <v>0</v>
      </c>
      <c r="AZ31" s="428" t="n">
        <v>0</v>
      </c>
      <c r="BA31" s="429" t="n">
        <v>0</v>
      </c>
      <c r="BB31" s="429" t="n">
        <v>0.0323104321379275</v>
      </c>
      <c r="BC31" s="429" t="n">
        <v>0.107624471660524</v>
      </c>
      <c r="BD31" s="429" t="n">
        <v>0</v>
      </c>
      <c r="BE31" s="429" t="n">
        <v>0</v>
      </c>
      <c r="BF31" s="428" t="n">
        <v>0</v>
      </c>
      <c r="BG31" s="428" t="n">
        <v>0</v>
      </c>
      <c r="BH31" s="428" t="n">
        <v>0</v>
      </c>
      <c r="BI31" s="428" t="n">
        <v>0</v>
      </c>
      <c r="BJ31" s="429" t="n">
        <v>0</v>
      </c>
      <c r="BK31" s="429" t="n">
        <v>0.032377385853551</v>
      </c>
      <c r="BL31" s="429" t="n">
        <v>0.107847491217766</v>
      </c>
      <c r="BM31" s="429" t="n">
        <v>0</v>
      </c>
      <c r="BN31" s="429" t="n">
        <v>0</v>
      </c>
      <c r="BO31" s="428" t="n">
        <v>0</v>
      </c>
      <c r="BP31" s="428" t="n">
        <v>0</v>
      </c>
      <c r="BQ31" s="428" t="n">
        <v>0</v>
      </c>
      <c r="BR31" s="428" t="n">
        <v>0</v>
      </c>
      <c r="BS31" s="429" t="n">
        <v>0</v>
      </c>
      <c r="BT31" s="429" t="n">
        <v>0.032377385853551</v>
      </c>
      <c r="BU31" s="429" t="n">
        <v>0.107847491217766</v>
      </c>
      <c r="BV31" s="429" t="n">
        <v>0</v>
      </c>
      <c r="BW31" s="429" t="n">
        <v>0</v>
      </c>
    </row>
    <row r="32" customFormat="false" ht="14.5" hidden="false" customHeight="false" outlineLevel="0" collapsed="false">
      <c r="B32" s="432" t="s">
        <v>833</v>
      </c>
      <c r="C32" s="393" t="s">
        <v>808</v>
      </c>
      <c r="D32" s="428" t="n">
        <v>0</v>
      </c>
      <c r="E32" s="428" t="n">
        <v>0</v>
      </c>
      <c r="F32" s="428" t="n">
        <v>0</v>
      </c>
      <c r="G32" s="428" t="n">
        <v>0</v>
      </c>
      <c r="H32" s="429" t="n">
        <v>0</v>
      </c>
      <c r="I32" s="429" t="n">
        <v>0.0298698464760243</v>
      </c>
      <c r="J32" s="429" t="n">
        <v>0.03685</v>
      </c>
      <c r="K32" s="429" t="n">
        <v>0</v>
      </c>
      <c r="L32" s="429" t="n">
        <v>0</v>
      </c>
      <c r="M32" s="429" t="n">
        <v>0</v>
      </c>
      <c r="N32" s="429" t="n">
        <v>0</v>
      </c>
      <c r="O32" s="429" t="n">
        <v>0</v>
      </c>
      <c r="P32" s="429" t="n">
        <v>0</v>
      </c>
      <c r="Q32" s="429" t="n">
        <v>0</v>
      </c>
      <c r="R32" s="429" t="n">
        <v>0.0302200819055174</v>
      </c>
      <c r="S32" s="429" t="n">
        <v>0.0372820804121702</v>
      </c>
      <c r="T32" s="429" t="n">
        <v>0</v>
      </c>
      <c r="U32" s="429" t="n">
        <v>0</v>
      </c>
      <c r="V32" s="429" t="n">
        <v>0</v>
      </c>
      <c r="W32" s="429" t="n">
        <v>0</v>
      </c>
      <c r="X32" s="429" t="n">
        <v>0</v>
      </c>
      <c r="Y32" s="429" t="n">
        <v>0</v>
      </c>
      <c r="Z32" s="429" t="n">
        <v>0</v>
      </c>
      <c r="AA32" s="429" t="n">
        <v>0.0302200819055174</v>
      </c>
      <c r="AB32" s="429" t="n">
        <v>0.0372820804121702</v>
      </c>
      <c r="AC32" s="429" t="n">
        <v>0</v>
      </c>
      <c r="AD32" s="429" t="n">
        <v>0</v>
      </c>
      <c r="AE32" s="429" t="n">
        <f aca="false">(V32+M32)/2</f>
        <v>0</v>
      </c>
      <c r="AF32" s="429" t="n">
        <f aca="false">(W32+N32)/2</f>
        <v>0</v>
      </c>
      <c r="AG32" s="429" t="n">
        <f aca="false">(X32+O32)/2</f>
        <v>0</v>
      </c>
      <c r="AH32" s="429" t="n">
        <f aca="false">(Y32+P32)/2</f>
        <v>0</v>
      </c>
      <c r="AI32" s="429" t="n">
        <f aca="false">(Z32+Q32)/2</f>
        <v>0</v>
      </c>
      <c r="AJ32" s="429" t="n">
        <f aca="false">(AA32+R32)/2</f>
        <v>0.0302200819055174</v>
      </c>
      <c r="AK32" s="429" t="n">
        <f aca="false">(AB32+S32)/2</f>
        <v>0.0372820804121702</v>
      </c>
      <c r="AL32" s="429" t="n">
        <f aca="false">(AC32+T32)/2</f>
        <v>0</v>
      </c>
      <c r="AM32" s="429" t="n">
        <f aca="false">(AD32+U32)/2</f>
        <v>0</v>
      </c>
      <c r="AN32" s="428" t="n">
        <v>0</v>
      </c>
      <c r="AO32" s="428" t="n">
        <v>0</v>
      </c>
      <c r="AP32" s="428" t="n">
        <v>0</v>
      </c>
      <c r="AQ32" s="428" t="n">
        <v>0</v>
      </c>
      <c r="AR32" s="429" t="n">
        <v>0</v>
      </c>
      <c r="AS32" s="429" t="n">
        <v>0.0309903859834085</v>
      </c>
      <c r="AT32" s="429" t="n">
        <v>0.0382323934743103</v>
      </c>
      <c r="AU32" s="429" t="n">
        <v>0</v>
      </c>
      <c r="AV32" s="429" t="n">
        <v>0</v>
      </c>
      <c r="AW32" s="428" t="n">
        <v>0</v>
      </c>
      <c r="AX32" s="428" t="n">
        <v>0</v>
      </c>
      <c r="AY32" s="428" t="n">
        <v>0</v>
      </c>
      <c r="AZ32" s="428" t="n">
        <v>0</v>
      </c>
      <c r="BA32" s="429" t="n">
        <v>0</v>
      </c>
      <c r="BB32" s="429" t="n">
        <v>0.0321968558252618</v>
      </c>
      <c r="BC32" s="429" t="n">
        <v>0.0397207979663783</v>
      </c>
      <c r="BD32" s="429" t="n">
        <v>0</v>
      </c>
      <c r="BE32" s="429" t="n">
        <v>0</v>
      </c>
      <c r="BF32" s="428" t="n">
        <v>0</v>
      </c>
      <c r="BG32" s="428" t="n">
        <v>0</v>
      </c>
      <c r="BH32" s="428" t="n">
        <v>0</v>
      </c>
      <c r="BI32" s="428" t="n">
        <v>0</v>
      </c>
      <c r="BJ32" s="429" t="n">
        <v>0</v>
      </c>
      <c r="BK32" s="429" t="n">
        <v>0.0322603321723487</v>
      </c>
      <c r="BL32" s="429" t="n">
        <v>0.0397991078228427</v>
      </c>
      <c r="BM32" s="429" t="n">
        <v>0</v>
      </c>
      <c r="BN32" s="429" t="n">
        <v>0</v>
      </c>
      <c r="BO32" s="428" t="n">
        <v>0</v>
      </c>
      <c r="BP32" s="428" t="n">
        <v>0</v>
      </c>
      <c r="BQ32" s="428" t="n">
        <v>0</v>
      </c>
      <c r="BR32" s="428" t="n">
        <v>0</v>
      </c>
      <c r="BS32" s="429" t="n">
        <v>0</v>
      </c>
      <c r="BT32" s="429" t="n">
        <v>0.0322603321723487</v>
      </c>
      <c r="BU32" s="429" t="n">
        <v>0.0397991078228427</v>
      </c>
      <c r="BV32" s="429" t="n">
        <v>0</v>
      </c>
      <c r="BW32" s="429" t="n">
        <v>0</v>
      </c>
    </row>
    <row r="33" customFormat="false" ht="14.5" hidden="false" customHeight="false" outlineLevel="0" collapsed="false">
      <c r="B33" s="433" t="s">
        <v>834</v>
      </c>
      <c r="C33" s="393" t="s">
        <v>808</v>
      </c>
      <c r="D33" s="434" t="n">
        <v>0</v>
      </c>
      <c r="E33" s="434" t="n">
        <v>0</v>
      </c>
      <c r="F33" s="434" t="n">
        <v>0</v>
      </c>
      <c r="G33" s="434" t="n">
        <v>0</v>
      </c>
      <c r="H33" s="434" t="n">
        <v>0</v>
      </c>
      <c r="I33" s="434" t="n">
        <v>0</v>
      </c>
      <c r="J33" s="434" t="n">
        <v>0</v>
      </c>
      <c r="K33" s="434" t="n">
        <v>3.623</v>
      </c>
      <c r="L33" s="434" t="n">
        <v>0</v>
      </c>
      <c r="M33" s="434" t="n">
        <v>0</v>
      </c>
      <c r="N33" s="434" t="n">
        <v>0</v>
      </c>
      <c r="O33" s="434" t="n">
        <v>0</v>
      </c>
      <c r="P33" s="434" t="n">
        <v>0</v>
      </c>
      <c r="Q33" s="434" t="n">
        <v>0</v>
      </c>
      <c r="R33" s="434" t="n">
        <v>0</v>
      </c>
      <c r="S33" s="434" t="n">
        <v>0</v>
      </c>
      <c r="T33" s="434" t="n">
        <v>3.69218287906537</v>
      </c>
      <c r="U33" s="434" t="n">
        <v>0</v>
      </c>
      <c r="V33" s="434" t="n">
        <v>0</v>
      </c>
      <c r="W33" s="434" t="n">
        <v>0</v>
      </c>
      <c r="X33" s="434" t="n">
        <v>0</v>
      </c>
      <c r="Y33" s="434" t="n">
        <v>0</v>
      </c>
      <c r="Z33" s="434" t="n">
        <v>0</v>
      </c>
      <c r="AA33" s="434" t="n">
        <v>0</v>
      </c>
      <c r="AB33" s="434" t="n">
        <v>0</v>
      </c>
      <c r="AC33" s="434" t="n">
        <v>3.6459518340009</v>
      </c>
      <c r="AD33" s="434" t="n">
        <v>0</v>
      </c>
      <c r="AE33" s="434" t="n">
        <f aca="false">(V33+M33)/2</f>
        <v>0</v>
      </c>
      <c r="AF33" s="434" t="n">
        <f aca="false">(W33+N33)/2</f>
        <v>0</v>
      </c>
      <c r="AG33" s="434" t="n">
        <f aca="false">(X33+O33)/2</f>
        <v>0</v>
      </c>
      <c r="AH33" s="434" t="n">
        <f aca="false">(Y33+P33)/2</f>
        <v>0</v>
      </c>
      <c r="AI33" s="434" t="n">
        <f aca="false">(Z33+Q33)/2</f>
        <v>0</v>
      </c>
      <c r="AJ33" s="434" t="n">
        <f aca="false">(AA33+R33)/2</f>
        <v>0</v>
      </c>
      <c r="AK33" s="434" t="n">
        <f aca="false">(AB33+S33)/2</f>
        <v>0</v>
      </c>
      <c r="AL33" s="434" t="n">
        <f aca="false">(AC33+T33)/2</f>
        <v>3.66906735653313</v>
      </c>
      <c r="AM33" s="434" t="n">
        <f aca="false">(AD33+U33)/2</f>
        <v>0</v>
      </c>
      <c r="AN33" s="434" t="n">
        <v>0</v>
      </c>
      <c r="AO33" s="434" t="n">
        <v>0</v>
      </c>
      <c r="AP33" s="434" t="n">
        <v>0</v>
      </c>
      <c r="AQ33" s="434" t="n">
        <v>0</v>
      </c>
      <c r="AR33" s="434" t="n">
        <v>0</v>
      </c>
      <c r="AS33" s="434" t="n">
        <v>0</v>
      </c>
      <c r="AT33" s="434" t="n">
        <v>0</v>
      </c>
      <c r="AU33" s="434" t="n">
        <v>3.69484934973622</v>
      </c>
      <c r="AV33" s="434" t="n">
        <v>0</v>
      </c>
      <c r="AW33" s="434" t="n">
        <v>0</v>
      </c>
      <c r="AX33" s="434" t="n">
        <v>0</v>
      </c>
      <c r="AY33" s="434" t="n">
        <v>0</v>
      </c>
      <c r="AZ33" s="434" t="n">
        <v>0</v>
      </c>
      <c r="BA33" s="434" t="n">
        <v>0</v>
      </c>
      <c r="BB33" s="434" t="n">
        <v>0</v>
      </c>
      <c r="BC33" s="434" t="n">
        <v>0</v>
      </c>
      <c r="BD33" s="434" t="n">
        <v>3.71471364772915</v>
      </c>
      <c r="BE33" s="434" t="n">
        <v>0</v>
      </c>
      <c r="BF33" s="434" t="n">
        <v>0</v>
      </c>
      <c r="BG33" s="434" t="n">
        <v>0</v>
      </c>
      <c r="BH33" s="434" t="n">
        <v>0</v>
      </c>
      <c r="BI33" s="434" t="n">
        <v>0</v>
      </c>
      <c r="BJ33" s="434" t="n">
        <v>0</v>
      </c>
      <c r="BK33" s="434" t="n">
        <v>0</v>
      </c>
      <c r="BL33" s="434" t="n">
        <v>0</v>
      </c>
      <c r="BM33" s="434" t="n">
        <v>3.71550349992189</v>
      </c>
      <c r="BN33" s="434" t="n">
        <v>0</v>
      </c>
      <c r="BO33" s="434" t="n">
        <v>0</v>
      </c>
      <c r="BP33" s="434" t="n">
        <v>0</v>
      </c>
      <c r="BQ33" s="434" t="n">
        <v>0</v>
      </c>
      <c r="BR33" s="434" t="n">
        <v>0</v>
      </c>
      <c r="BS33" s="434" t="n">
        <v>0</v>
      </c>
      <c r="BT33" s="434" t="n">
        <v>0</v>
      </c>
      <c r="BU33" s="434" t="n">
        <v>0</v>
      </c>
      <c r="BV33" s="434" t="n">
        <v>3.71550349992189</v>
      </c>
      <c r="BW33" s="434" t="n">
        <v>0</v>
      </c>
      <c r="BY33" s="80" t="n">
        <f aca="false">SUM(AW33:BE33)</f>
        <v>3.71471364772915</v>
      </c>
      <c r="BZ33" s="80" t="n">
        <f aca="false">SUM(BO33:BW33)</f>
        <v>3.71550349992189</v>
      </c>
    </row>
    <row r="34" customFormat="false" ht="14.5" hidden="false" customHeight="false" outlineLevel="0" collapsed="false">
      <c r="B34" s="435" t="s">
        <v>835</v>
      </c>
      <c r="C34" s="393" t="s">
        <v>808</v>
      </c>
      <c r="D34" s="436" t="n">
        <v>0</v>
      </c>
      <c r="E34" s="436" t="n">
        <v>0</v>
      </c>
      <c r="F34" s="436" t="n">
        <v>0</v>
      </c>
      <c r="G34" s="436" t="n">
        <v>0</v>
      </c>
      <c r="H34" s="437" t="n">
        <v>0</v>
      </c>
      <c r="I34" s="437" t="n">
        <v>0</v>
      </c>
      <c r="J34" s="437" t="n">
        <v>0</v>
      </c>
      <c r="K34" s="437" t="n">
        <v>0.776</v>
      </c>
      <c r="L34" s="437" t="n">
        <v>0</v>
      </c>
      <c r="M34" s="437" t="n">
        <v>0</v>
      </c>
      <c r="N34" s="437" t="n">
        <v>0</v>
      </c>
      <c r="O34" s="437" t="n">
        <v>0</v>
      </c>
      <c r="P34" s="437" t="n">
        <v>0</v>
      </c>
      <c r="Q34" s="437" t="n">
        <v>0</v>
      </c>
      <c r="R34" s="437" t="n">
        <v>0</v>
      </c>
      <c r="S34" s="437" t="n">
        <v>0</v>
      </c>
      <c r="T34" s="437" t="n">
        <v>0.752007328822631</v>
      </c>
      <c r="U34" s="437" t="n">
        <v>0</v>
      </c>
      <c r="V34" s="437" t="n">
        <v>0</v>
      </c>
      <c r="W34" s="437" t="n">
        <v>0</v>
      </c>
      <c r="X34" s="437" t="n">
        <v>0</v>
      </c>
      <c r="Y34" s="437" t="n">
        <v>0</v>
      </c>
      <c r="Z34" s="437" t="n">
        <v>0</v>
      </c>
      <c r="AA34" s="437" t="n">
        <v>0</v>
      </c>
      <c r="AB34" s="437" t="n">
        <v>0</v>
      </c>
      <c r="AC34" s="437" t="n">
        <v>0.772610269338319</v>
      </c>
      <c r="AD34" s="437" t="n">
        <v>0</v>
      </c>
      <c r="AE34" s="437" t="n">
        <f aca="false">(V34+M34)/2</f>
        <v>0</v>
      </c>
      <c r="AF34" s="437" t="n">
        <f aca="false">(W34+N34)/2</f>
        <v>0</v>
      </c>
      <c r="AG34" s="437" t="n">
        <f aca="false">(X34+O34)/2</f>
        <v>0</v>
      </c>
      <c r="AH34" s="437" t="n">
        <f aca="false">(Y34+P34)/2</f>
        <v>0</v>
      </c>
      <c r="AI34" s="437" t="n">
        <f aca="false">(Z34+Q34)/2</f>
        <v>0</v>
      </c>
      <c r="AJ34" s="437" t="n">
        <f aca="false">(AA34+R34)/2</f>
        <v>0</v>
      </c>
      <c r="AK34" s="437" t="n">
        <f aca="false">(AB34+S34)/2</f>
        <v>0</v>
      </c>
      <c r="AL34" s="437" t="n">
        <f aca="false">(AC34+T34)/2</f>
        <v>0.762308799080475</v>
      </c>
      <c r="AM34" s="437" t="n">
        <f aca="false">(AD34+U34)/2</f>
        <v>0</v>
      </c>
      <c r="AN34" s="436" t="n">
        <v>0</v>
      </c>
      <c r="AO34" s="436" t="n">
        <v>0</v>
      </c>
      <c r="AP34" s="436" t="n">
        <v>0</v>
      </c>
      <c r="AQ34" s="436" t="n">
        <v>0</v>
      </c>
      <c r="AR34" s="437" t="n">
        <v>0</v>
      </c>
      <c r="AS34" s="437" t="n">
        <v>0</v>
      </c>
      <c r="AT34" s="437" t="n">
        <v>0</v>
      </c>
      <c r="AU34" s="437" t="n">
        <v>0.764153885988076</v>
      </c>
      <c r="AV34" s="437" t="n">
        <v>0</v>
      </c>
      <c r="AW34" s="436" t="n">
        <v>0</v>
      </c>
      <c r="AX34" s="436" t="n">
        <v>0</v>
      </c>
      <c r="AY34" s="436" t="n">
        <v>0</v>
      </c>
      <c r="AZ34" s="436" t="n">
        <v>0</v>
      </c>
      <c r="BA34" s="437" t="n">
        <v>0</v>
      </c>
      <c r="BB34" s="437" t="n">
        <v>0</v>
      </c>
      <c r="BC34" s="437" t="n">
        <v>0</v>
      </c>
      <c r="BD34" s="437" t="n">
        <v>0.713733100441402</v>
      </c>
      <c r="BE34" s="437" t="n">
        <v>0</v>
      </c>
      <c r="BF34" s="436" t="n">
        <v>0</v>
      </c>
      <c r="BG34" s="436" t="n">
        <v>0</v>
      </c>
      <c r="BH34" s="436" t="n">
        <v>0</v>
      </c>
      <c r="BI34" s="436" t="n">
        <v>0</v>
      </c>
      <c r="BJ34" s="437" t="n">
        <v>0</v>
      </c>
      <c r="BK34" s="437" t="n">
        <v>0</v>
      </c>
      <c r="BL34" s="437" t="n">
        <v>0</v>
      </c>
      <c r="BM34" s="437" t="n">
        <v>0.710917250019512</v>
      </c>
      <c r="BN34" s="437" t="n">
        <v>0</v>
      </c>
      <c r="BO34" s="436" t="n">
        <v>0</v>
      </c>
      <c r="BP34" s="436" t="n">
        <v>0</v>
      </c>
      <c r="BQ34" s="436" t="n">
        <v>0</v>
      </c>
      <c r="BR34" s="436" t="n">
        <v>0</v>
      </c>
      <c r="BS34" s="437" t="n">
        <v>0</v>
      </c>
      <c r="BT34" s="437" t="n">
        <v>0</v>
      </c>
      <c r="BU34" s="437" t="n">
        <v>0</v>
      </c>
      <c r="BV34" s="437" t="n">
        <v>0.710917250019512</v>
      </c>
      <c r="BW34" s="437" t="n">
        <v>0</v>
      </c>
    </row>
    <row r="35" customFormat="false" ht="14.5" hidden="false" customHeight="false" outlineLevel="0" collapsed="false">
      <c r="B35" s="435" t="s">
        <v>836</v>
      </c>
      <c r="C35" s="393" t="s">
        <v>808</v>
      </c>
      <c r="D35" s="436" t="n">
        <v>0</v>
      </c>
      <c r="E35" s="436" t="n">
        <v>0</v>
      </c>
      <c r="F35" s="436" t="n">
        <v>0</v>
      </c>
      <c r="G35" s="436" t="n">
        <v>0</v>
      </c>
      <c r="H35" s="437" t="n">
        <v>0</v>
      </c>
      <c r="I35" s="437" t="n">
        <v>0</v>
      </c>
      <c r="J35" s="437" t="n">
        <v>0</v>
      </c>
      <c r="K35" s="437" t="n">
        <v>2.449</v>
      </c>
      <c r="L35" s="437" t="n">
        <v>0</v>
      </c>
      <c r="M35" s="437" t="n">
        <v>0</v>
      </c>
      <c r="N35" s="437" t="n">
        <v>0</v>
      </c>
      <c r="O35" s="437" t="n">
        <v>0</v>
      </c>
      <c r="P35" s="437" t="n">
        <v>0</v>
      </c>
      <c r="Q35" s="437" t="n">
        <v>0</v>
      </c>
      <c r="R35" s="437" t="n">
        <v>0</v>
      </c>
      <c r="S35" s="437" t="n">
        <v>0</v>
      </c>
      <c r="T35" s="437" t="n">
        <v>2.55435005452241</v>
      </c>
      <c r="U35" s="437" t="n">
        <v>0</v>
      </c>
      <c r="V35" s="437" t="n">
        <v>0</v>
      </c>
      <c r="W35" s="437" t="n">
        <v>0</v>
      </c>
      <c r="X35" s="437" t="n">
        <v>0</v>
      </c>
      <c r="Y35" s="437" t="n">
        <v>0</v>
      </c>
      <c r="Z35" s="437" t="n">
        <v>0</v>
      </c>
      <c r="AA35" s="437" t="n">
        <v>0</v>
      </c>
      <c r="AB35" s="437" t="n">
        <v>0</v>
      </c>
      <c r="AC35" s="437" t="n">
        <v>2.47694550741567</v>
      </c>
      <c r="AD35" s="437" t="n">
        <v>0</v>
      </c>
      <c r="AE35" s="437" t="n">
        <f aca="false">(V35+M35)/2</f>
        <v>0</v>
      </c>
      <c r="AF35" s="437" t="n">
        <f aca="false">(W35+N35)/2</f>
        <v>0</v>
      </c>
      <c r="AG35" s="437" t="n">
        <f aca="false">(X35+O35)/2</f>
        <v>0</v>
      </c>
      <c r="AH35" s="437" t="n">
        <f aca="false">(Y35+P35)/2</f>
        <v>0</v>
      </c>
      <c r="AI35" s="437" t="n">
        <f aca="false">(Z35+Q35)/2</f>
        <v>0</v>
      </c>
      <c r="AJ35" s="437" t="n">
        <f aca="false">(AA35+R35)/2</f>
        <v>0</v>
      </c>
      <c r="AK35" s="437" t="n">
        <f aca="false">(AB35+S35)/2</f>
        <v>0</v>
      </c>
      <c r="AL35" s="437" t="n">
        <f aca="false">(AC35+T35)/2</f>
        <v>2.51564778096904</v>
      </c>
      <c r="AM35" s="437" t="n">
        <f aca="false">(AD35+U35)/2</f>
        <v>0</v>
      </c>
      <c r="AN35" s="436" t="n">
        <v>0</v>
      </c>
      <c r="AO35" s="436" t="n">
        <v>0</v>
      </c>
      <c r="AP35" s="436" t="n">
        <v>0</v>
      </c>
      <c r="AQ35" s="436" t="n">
        <v>0</v>
      </c>
      <c r="AR35" s="437" t="n">
        <v>0</v>
      </c>
      <c r="AS35" s="437" t="n">
        <v>0</v>
      </c>
      <c r="AT35" s="437" t="n">
        <v>0</v>
      </c>
      <c r="AU35" s="437" t="n">
        <v>2.53834480673016</v>
      </c>
      <c r="AV35" s="437" t="n">
        <v>0</v>
      </c>
      <c r="AW35" s="436" t="n">
        <v>0</v>
      </c>
      <c r="AX35" s="436" t="n">
        <v>0</v>
      </c>
      <c r="AY35" s="436" t="n">
        <v>0</v>
      </c>
      <c r="AZ35" s="436" t="n">
        <v>0</v>
      </c>
      <c r="BA35" s="437" t="n">
        <v>0</v>
      </c>
      <c r="BB35" s="437" t="n">
        <v>0</v>
      </c>
      <c r="BC35" s="437" t="n">
        <v>0</v>
      </c>
      <c r="BD35" s="437" t="n">
        <v>2.63404402501389</v>
      </c>
      <c r="BE35" s="437" t="n">
        <v>0</v>
      </c>
      <c r="BF35" s="436" t="n">
        <v>0</v>
      </c>
      <c r="BG35" s="436" t="n">
        <v>0</v>
      </c>
      <c r="BH35" s="436" t="n">
        <v>0</v>
      </c>
      <c r="BI35" s="436" t="n">
        <v>0</v>
      </c>
      <c r="BJ35" s="437" t="n">
        <v>0</v>
      </c>
      <c r="BK35" s="437" t="n">
        <v>0</v>
      </c>
      <c r="BL35" s="437" t="n">
        <v>0</v>
      </c>
      <c r="BM35" s="437" t="n">
        <v>2.63907248771428</v>
      </c>
      <c r="BN35" s="437" t="n">
        <v>0</v>
      </c>
      <c r="BO35" s="436" t="n">
        <v>0</v>
      </c>
      <c r="BP35" s="436" t="n">
        <v>0</v>
      </c>
      <c r="BQ35" s="436" t="n">
        <v>0</v>
      </c>
      <c r="BR35" s="436" t="n">
        <v>0</v>
      </c>
      <c r="BS35" s="437" t="n">
        <v>0</v>
      </c>
      <c r="BT35" s="437" t="n">
        <v>0</v>
      </c>
      <c r="BU35" s="437" t="n">
        <v>0</v>
      </c>
      <c r="BV35" s="437" t="n">
        <v>2.63907248771428</v>
      </c>
      <c r="BW35" s="437" t="n">
        <v>0</v>
      </c>
    </row>
    <row r="36" customFormat="false" ht="14.5" hidden="false" customHeight="false" outlineLevel="0" collapsed="false">
      <c r="B36" s="435" t="s">
        <v>837</v>
      </c>
      <c r="C36" s="393" t="s">
        <v>808</v>
      </c>
      <c r="D36" s="436" t="n">
        <v>0</v>
      </c>
      <c r="E36" s="436" t="n">
        <v>0</v>
      </c>
      <c r="F36" s="436" t="n">
        <v>0</v>
      </c>
      <c r="G36" s="436" t="n">
        <v>0</v>
      </c>
      <c r="H36" s="437" t="n">
        <v>0</v>
      </c>
      <c r="I36" s="437" t="n">
        <v>0</v>
      </c>
      <c r="J36" s="437" t="n">
        <v>0</v>
      </c>
      <c r="K36" s="437" t="n">
        <v>0.398</v>
      </c>
      <c r="L36" s="437" t="n">
        <v>0</v>
      </c>
      <c r="M36" s="437" t="n">
        <v>0</v>
      </c>
      <c r="N36" s="437" t="n">
        <v>0</v>
      </c>
      <c r="O36" s="437" t="n">
        <v>0</v>
      </c>
      <c r="P36" s="437" t="n">
        <v>0</v>
      </c>
      <c r="Q36" s="437" t="n">
        <v>0</v>
      </c>
      <c r="R36" s="437" t="n">
        <v>0</v>
      </c>
      <c r="S36" s="437" t="n">
        <v>0</v>
      </c>
      <c r="T36" s="437" t="n">
        <v>0.385825495720323</v>
      </c>
      <c r="U36" s="437" t="n">
        <v>0</v>
      </c>
      <c r="V36" s="437" t="n">
        <v>0</v>
      </c>
      <c r="W36" s="437" t="n">
        <v>0</v>
      </c>
      <c r="X36" s="437" t="n">
        <v>0</v>
      </c>
      <c r="Y36" s="437" t="n">
        <v>0</v>
      </c>
      <c r="Z36" s="437" t="n">
        <v>0</v>
      </c>
      <c r="AA36" s="437" t="n">
        <v>0</v>
      </c>
      <c r="AB36" s="437" t="n">
        <v>0</v>
      </c>
      <c r="AC36" s="437" t="n">
        <v>0.396396057246908</v>
      </c>
      <c r="AD36" s="437" t="n">
        <v>0</v>
      </c>
      <c r="AE36" s="437" t="n">
        <f aca="false">(V36+M36)/2</f>
        <v>0</v>
      </c>
      <c r="AF36" s="437" t="n">
        <f aca="false">(W36+N36)/2</f>
        <v>0</v>
      </c>
      <c r="AG36" s="437" t="n">
        <f aca="false">(X36+O36)/2</f>
        <v>0</v>
      </c>
      <c r="AH36" s="437" t="n">
        <f aca="false">(Y36+P36)/2</f>
        <v>0</v>
      </c>
      <c r="AI36" s="437" t="n">
        <f aca="false">(Z36+Q36)/2</f>
        <v>0</v>
      </c>
      <c r="AJ36" s="437" t="n">
        <f aca="false">(AA36+R36)/2</f>
        <v>0</v>
      </c>
      <c r="AK36" s="437" t="n">
        <f aca="false">(AB36+S36)/2</f>
        <v>0</v>
      </c>
      <c r="AL36" s="437" t="n">
        <f aca="false">(AC36+T36)/2</f>
        <v>0.391110776483615</v>
      </c>
      <c r="AM36" s="437" t="n">
        <f aca="false">(AD36+U36)/2</f>
        <v>0</v>
      </c>
      <c r="AN36" s="436" t="n">
        <v>0</v>
      </c>
      <c r="AO36" s="436" t="n">
        <v>0</v>
      </c>
      <c r="AP36" s="436" t="n">
        <v>0</v>
      </c>
      <c r="AQ36" s="436" t="n">
        <v>0</v>
      </c>
      <c r="AR36" s="437" t="n">
        <v>0</v>
      </c>
      <c r="AS36" s="437" t="n">
        <v>0</v>
      </c>
      <c r="AT36" s="437" t="n">
        <v>0</v>
      </c>
      <c r="AU36" s="437" t="n">
        <v>0.392350657017989</v>
      </c>
      <c r="AV36" s="437" t="n">
        <v>0</v>
      </c>
      <c r="AW36" s="436" t="n">
        <v>0</v>
      </c>
      <c r="AX36" s="436" t="n">
        <v>0</v>
      </c>
      <c r="AY36" s="436" t="n">
        <v>0</v>
      </c>
      <c r="AZ36" s="436" t="n">
        <v>0</v>
      </c>
      <c r="BA36" s="437" t="n">
        <v>0</v>
      </c>
      <c r="BB36" s="437" t="n">
        <v>0</v>
      </c>
      <c r="BC36" s="437" t="n">
        <v>0</v>
      </c>
      <c r="BD36" s="437" t="n">
        <v>0.366936522273854</v>
      </c>
      <c r="BE36" s="437" t="n">
        <v>0</v>
      </c>
      <c r="BF36" s="436" t="n">
        <v>0</v>
      </c>
      <c r="BG36" s="436" t="n">
        <v>0</v>
      </c>
      <c r="BH36" s="436" t="n">
        <v>0</v>
      </c>
      <c r="BI36" s="436" t="n">
        <v>0</v>
      </c>
      <c r="BJ36" s="437" t="n">
        <v>0</v>
      </c>
      <c r="BK36" s="437" t="n">
        <v>0</v>
      </c>
      <c r="BL36" s="437" t="n">
        <v>0</v>
      </c>
      <c r="BM36" s="437" t="n">
        <v>0.365513762188095</v>
      </c>
      <c r="BN36" s="437" t="n">
        <v>0</v>
      </c>
      <c r="BO36" s="436" t="n">
        <v>0</v>
      </c>
      <c r="BP36" s="436" t="n">
        <v>0</v>
      </c>
      <c r="BQ36" s="436" t="n">
        <v>0</v>
      </c>
      <c r="BR36" s="436" t="n">
        <v>0</v>
      </c>
      <c r="BS36" s="437" t="n">
        <v>0</v>
      </c>
      <c r="BT36" s="437" t="n">
        <v>0</v>
      </c>
      <c r="BU36" s="437" t="n">
        <v>0</v>
      </c>
      <c r="BV36" s="437" t="n">
        <v>0.365513762188095</v>
      </c>
      <c r="BW36" s="437" t="n">
        <v>0</v>
      </c>
    </row>
    <row r="37" customFormat="false" ht="14.5" hidden="false" customHeight="false" outlineLevel="0" collapsed="false">
      <c r="B37" s="433" t="s">
        <v>838</v>
      </c>
      <c r="C37" s="393" t="s">
        <v>808</v>
      </c>
      <c r="D37" s="434" t="n">
        <v>0</v>
      </c>
      <c r="E37" s="434" t="n">
        <v>0</v>
      </c>
      <c r="F37" s="434" t="n">
        <v>0</v>
      </c>
      <c r="G37" s="434" t="n">
        <v>0</v>
      </c>
      <c r="H37" s="434" t="n">
        <v>0</v>
      </c>
      <c r="I37" s="434" t="n">
        <v>0</v>
      </c>
      <c r="J37" s="434" t="n">
        <v>0</v>
      </c>
      <c r="K37" s="434" t="n">
        <v>0</v>
      </c>
      <c r="L37" s="434" t="n">
        <v>1.914</v>
      </c>
      <c r="M37" s="434" t="n">
        <v>0</v>
      </c>
      <c r="N37" s="434" t="n">
        <v>0</v>
      </c>
      <c r="O37" s="434" t="n">
        <v>0</v>
      </c>
      <c r="P37" s="434" t="n">
        <v>0</v>
      </c>
      <c r="Q37" s="434" t="n">
        <v>0</v>
      </c>
      <c r="R37" s="434" t="n">
        <v>0</v>
      </c>
      <c r="S37" s="434" t="n">
        <v>0</v>
      </c>
      <c r="T37" s="434" t="n">
        <v>0</v>
      </c>
      <c r="U37" s="434" t="n">
        <v>1.936609125</v>
      </c>
      <c r="V37" s="434" t="n">
        <v>0</v>
      </c>
      <c r="W37" s="434" t="n">
        <v>0</v>
      </c>
      <c r="X37" s="434" t="n">
        <v>0</v>
      </c>
      <c r="Y37" s="434" t="n">
        <v>0</v>
      </c>
      <c r="Z37" s="434" t="n">
        <v>0</v>
      </c>
      <c r="AA37" s="434" t="n">
        <v>0</v>
      </c>
      <c r="AB37" s="434" t="n">
        <v>0</v>
      </c>
      <c r="AC37" s="434" t="n">
        <v>0</v>
      </c>
      <c r="AD37" s="434" t="n">
        <v>1.88965470117188</v>
      </c>
      <c r="AE37" s="434" t="n">
        <f aca="false">(V37+M37)/2</f>
        <v>0</v>
      </c>
      <c r="AF37" s="434" t="n">
        <f aca="false">(W37+N37)/2</f>
        <v>0</v>
      </c>
      <c r="AG37" s="434" t="n">
        <f aca="false">(X37+O37)/2</f>
        <v>0</v>
      </c>
      <c r="AH37" s="434" t="n">
        <f aca="false">(Y37+P37)/2</f>
        <v>0</v>
      </c>
      <c r="AI37" s="434" t="n">
        <f aca="false">(Z37+Q37)/2</f>
        <v>0</v>
      </c>
      <c r="AJ37" s="434" t="n">
        <f aca="false">(AA37+R37)/2</f>
        <v>0</v>
      </c>
      <c r="AK37" s="434" t="n">
        <f aca="false">(AB37+S37)/2</f>
        <v>0</v>
      </c>
      <c r="AL37" s="434" t="n">
        <f aca="false">(AC37+T37)/2</f>
        <v>0</v>
      </c>
      <c r="AM37" s="434" t="n">
        <f aca="false">(AD37+U37)/2</f>
        <v>1.91313191308594</v>
      </c>
      <c r="AN37" s="434" t="n">
        <v>0</v>
      </c>
      <c r="AO37" s="434" t="n">
        <v>0</v>
      </c>
      <c r="AP37" s="434" t="n">
        <v>0</v>
      </c>
      <c r="AQ37" s="434" t="n">
        <v>0</v>
      </c>
      <c r="AR37" s="434" t="n">
        <v>0</v>
      </c>
      <c r="AS37" s="434" t="n">
        <v>0</v>
      </c>
      <c r="AT37" s="434" t="n">
        <v>0</v>
      </c>
      <c r="AU37" s="434" t="n">
        <v>0</v>
      </c>
      <c r="AV37" s="434" t="n">
        <v>1.8322359</v>
      </c>
      <c r="AW37" s="434" t="n">
        <v>0</v>
      </c>
      <c r="AX37" s="434" t="n">
        <v>0</v>
      </c>
      <c r="AY37" s="434" t="n">
        <v>0</v>
      </c>
      <c r="AZ37" s="434" t="n">
        <v>0</v>
      </c>
      <c r="BA37" s="434" t="n">
        <v>0</v>
      </c>
      <c r="BB37" s="434" t="n">
        <v>0</v>
      </c>
      <c r="BC37" s="434" t="n">
        <v>0</v>
      </c>
      <c r="BD37" s="434" t="n">
        <v>0</v>
      </c>
      <c r="BE37" s="434" t="n">
        <v>1.447717412625</v>
      </c>
      <c r="BF37" s="434" t="n">
        <v>0</v>
      </c>
      <c r="BG37" s="434" t="n">
        <v>0</v>
      </c>
      <c r="BH37" s="434" t="n">
        <v>0</v>
      </c>
      <c r="BI37" s="434" t="n">
        <v>0</v>
      </c>
      <c r="BJ37" s="434" t="n">
        <v>0</v>
      </c>
      <c r="BK37" s="434" t="n">
        <v>0</v>
      </c>
      <c r="BL37" s="434" t="n">
        <v>0</v>
      </c>
      <c r="BM37" s="434" t="n">
        <v>0</v>
      </c>
      <c r="BN37" s="434" t="n">
        <v>1.426524</v>
      </c>
      <c r="BO37" s="434" t="n">
        <v>0</v>
      </c>
      <c r="BP37" s="434" t="n">
        <v>0</v>
      </c>
      <c r="BQ37" s="434" t="n">
        <v>0</v>
      </c>
      <c r="BR37" s="434" t="n">
        <v>0</v>
      </c>
      <c r="BS37" s="434" t="n">
        <v>0</v>
      </c>
      <c r="BT37" s="434" t="n">
        <v>0</v>
      </c>
      <c r="BU37" s="434" t="n">
        <v>0</v>
      </c>
      <c r="BV37" s="434" t="n">
        <v>0</v>
      </c>
      <c r="BW37" s="434" t="n">
        <v>1.426524</v>
      </c>
      <c r="BY37" s="80" t="n">
        <f aca="false">SUM(AW37:BE37)</f>
        <v>1.447717412625</v>
      </c>
      <c r="BZ37" s="80" t="n">
        <f aca="false">SUM(BO37:BW37)</f>
        <v>1.426524</v>
      </c>
    </row>
    <row r="38" customFormat="false" ht="14.5" hidden="false" customHeight="false" outlineLevel="0" collapsed="false">
      <c r="B38" s="435" t="s">
        <v>839</v>
      </c>
      <c r="C38" s="393" t="s">
        <v>808</v>
      </c>
      <c r="D38" s="436" t="n">
        <v>0</v>
      </c>
      <c r="E38" s="436" t="n">
        <v>0</v>
      </c>
      <c r="F38" s="436" t="n">
        <v>0</v>
      </c>
      <c r="G38" s="436" t="n">
        <v>0</v>
      </c>
      <c r="H38" s="437" t="n">
        <v>0</v>
      </c>
      <c r="I38" s="437" t="n">
        <v>0</v>
      </c>
      <c r="J38" s="437" t="n">
        <v>0</v>
      </c>
      <c r="K38" s="437" t="n">
        <v>0</v>
      </c>
      <c r="L38" s="437" t="n">
        <v>1.914</v>
      </c>
      <c r="M38" s="437" t="n">
        <v>0</v>
      </c>
      <c r="N38" s="437" t="n">
        <v>0</v>
      </c>
      <c r="O38" s="437" t="n">
        <v>0</v>
      </c>
      <c r="P38" s="437" t="n">
        <v>0</v>
      </c>
      <c r="Q38" s="437" t="n">
        <v>0</v>
      </c>
      <c r="R38" s="437" t="n">
        <v>0</v>
      </c>
      <c r="S38" s="437" t="n">
        <v>0</v>
      </c>
      <c r="T38" s="437" t="n">
        <v>0</v>
      </c>
      <c r="U38" s="437" t="n">
        <v>1.936609125</v>
      </c>
      <c r="V38" s="437" t="n">
        <v>0</v>
      </c>
      <c r="W38" s="437" t="n">
        <v>0</v>
      </c>
      <c r="X38" s="437" t="n">
        <v>0</v>
      </c>
      <c r="Y38" s="437" t="n">
        <v>0</v>
      </c>
      <c r="Z38" s="437" t="n">
        <v>0</v>
      </c>
      <c r="AA38" s="437" t="n">
        <v>0</v>
      </c>
      <c r="AB38" s="437" t="n">
        <v>0</v>
      </c>
      <c r="AC38" s="437" t="n">
        <v>0</v>
      </c>
      <c r="AD38" s="437" t="n">
        <v>1.88965470117188</v>
      </c>
      <c r="AE38" s="437" t="n">
        <f aca="false">(V38+M38)/2</f>
        <v>0</v>
      </c>
      <c r="AF38" s="437" t="n">
        <f aca="false">(W38+N38)/2</f>
        <v>0</v>
      </c>
      <c r="AG38" s="437" t="n">
        <f aca="false">(X38+O38)/2</f>
        <v>0</v>
      </c>
      <c r="AH38" s="437" t="n">
        <f aca="false">(Y38+P38)/2</f>
        <v>0</v>
      </c>
      <c r="AI38" s="437" t="n">
        <f aca="false">(Z38+Q38)/2</f>
        <v>0</v>
      </c>
      <c r="AJ38" s="437" t="n">
        <f aca="false">(AA38+R38)/2</f>
        <v>0</v>
      </c>
      <c r="AK38" s="437" t="n">
        <f aca="false">(AB38+S38)/2</f>
        <v>0</v>
      </c>
      <c r="AL38" s="437" t="n">
        <f aca="false">(AC38+T38)/2</f>
        <v>0</v>
      </c>
      <c r="AM38" s="437" t="n">
        <f aca="false">(AD38+U38)/2</f>
        <v>1.91313191308594</v>
      </c>
      <c r="AN38" s="436" t="n">
        <v>0</v>
      </c>
      <c r="AO38" s="436" t="n">
        <v>0</v>
      </c>
      <c r="AP38" s="436" t="n">
        <v>0</v>
      </c>
      <c r="AQ38" s="436" t="n">
        <v>0</v>
      </c>
      <c r="AR38" s="437" t="n">
        <v>0</v>
      </c>
      <c r="AS38" s="437" t="n">
        <v>0</v>
      </c>
      <c r="AT38" s="437" t="n">
        <v>0</v>
      </c>
      <c r="AU38" s="437" t="n">
        <v>0</v>
      </c>
      <c r="AV38" s="437" t="n">
        <v>1.8322359</v>
      </c>
      <c r="AW38" s="436" t="n">
        <v>0</v>
      </c>
      <c r="AX38" s="436" t="n">
        <v>0</v>
      </c>
      <c r="AY38" s="436" t="n">
        <v>0</v>
      </c>
      <c r="AZ38" s="436" t="n">
        <v>0</v>
      </c>
      <c r="BA38" s="437" t="n">
        <v>0</v>
      </c>
      <c r="BB38" s="437" t="n">
        <v>0</v>
      </c>
      <c r="BC38" s="437" t="n">
        <v>0</v>
      </c>
      <c r="BD38" s="437" t="n">
        <v>0</v>
      </c>
      <c r="BE38" s="437" t="n">
        <v>1.447717412625</v>
      </c>
      <c r="BF38" s="436" t="n">
        <v>0</v>
      </c>
      <c r="BG38" s="436" t="n">
        <v>0</v>
      </c>
      <c r="BH38" s="436" t="n">
        <v>0</v>
      </c>
      <c r="BI38" s="436" t="n">
        <v>0</v>
      </c>
      <c r="BJ38" s="437" t="n">
        <v>0</v>
      </c>
      <c r="BK38" s="437" t="n">
        <v>0</v>
      </c>
      <c r="BL38" s="437" t="n">
        <v>0</v>
      </c>
      <c r="BM38" s="437" t="n">
        <v>0</v>
      </c>
      <c r="BN38" s="437" t="n">
        <v>1.426524</v>
      </c>
      <c r="BO38" s="436" t="n">
        <v>0</v>
      </c>
      <c r="BP38" s="436" t="n">
        <v>0</v>
      </c>
      <c r="BQ38" s="436" t="n">
        <v>0</v>
      </c>
      <c r="BR38" s="436" t="n">
        <v>0</v>
      </c>
      <c r="BS38" s="437" t="n">
        <v>0</v>
      </c>
      <c r="BT38" s="437" t="n">
        <v>0</v>
      </c>
      <c r="BU38" s="437" t="n">
        <v>0</v>
      </c>
      <c r="BV38" s="437" t="n">
        <v>0</v>
      </c>
      <c r="BW38" s="437" t="n">
        <v>1.426524</v>
      </c>
    </row>
    <row r="39" customFormat="false" ht="14.5" hidden="false" customHeight="false" outlineLevel="0" collapsed="false">
      <c r="B39" s="438" t="s">
        <v>840</v>
      </c>
      <c r="C39" s="393" t="s">
        <v>808</v>
      </c>
      <c r="D39" s="439" t="n">
        <v>0</v>
      </c>
      <c r="E39" s="439" t="n">
        <v>0</v>
      </c>
      <c r="F39" s="439" t="n">
        <v>0</v>
      </c>
      <c r="G39" s="439" t="n">
        <v>0</v>
      </c>
      <c r="H39" s="439" t="n">
        <v>0.0675361763445246</v>
      </c>
      <c r="I39" s="439" t="n">
        <v>0.148793856446338</v>
      </c>
      <c r="J39" s="439" t="n">
        <v>0.369198282681999</v>
      </c>
      <c r="K39" s="439" t="n">
        <v>1.073</v>
      </c>
      <c r="L39" s="439" t="n">
        <v>1.84576923076923</v>
      </c>
      <c r="M39" s="439" t="n">
        <v>0</v>
      </c>
      <c r="N39" s="439" t="n">
        <v>0</v>
      </c>
      <c r="O39" s="439" t="n">
        <v>0</v>
      </c>
      <c r="P39" s="439" t="n">
        <v>0</v>
      </c>
      <c r="Q39" s="439" t="n">
        <v>0.064915413810267</v>
      </c>
      <c r="R39" s="439" t="n">
        <v>0.147851850903933</v>
      </c>
      <c r="S39" s="439" t="n">
        <v>0.389279239052894</v>
      </c>
      <c r="T39" s="439" t="n">
        <v>1.13594553057574</v>
      </c>
      <c r="U39" s="439" t="n">
        <v>1.8614164798424</v>
      </c>
      <c r="V39" s="439" t="n">
        <v>0</v>
      </c>
      <c r="W39" s="439" t="n">
        <v>0</v>
      </c>
      <c r="X39" s="439" t="n">
        <v>0</v>
      </c>
      <c r="Y39" s="439" t="n">
        <v>0</v>
      </c>
      <c r="Z39" s="439" t="n">
        <v>0.0611634222276537</v>
      </c>
      <c r="AA39" s="439" t="n">
        <v>0.147102188189501</v>
      </c>
      <c r="AB39" s="439" t="n">
        <v>0.370634472319981</v>
      </c>
      <c r="AC39" s="439" t="n">
        <v>1.15307593404851</v>
      </c>
      <c r="AD39" s="439" t="n">
        <v>1.8553641059066</v>
      </c>
      <c r="AE39" s="439" t="n">
        <f aca="false">(V39+M39)/2</f>
        <v>0</v>
      </c>
      <c r="AF39" s="439" t="n">
        <f aca="false">(W39+N39)/2</f>
        <v>0</v>
      </c>
      <c r="AG39" s="439" t="n">
        <f aca="false">(X39+O39)/2</f>
        <v>0</v>
      </c>
      <c r="AH39" s="439" t="n">
        <f aca="false">(Y39+P39)/2</f>
        <v>0</v>
      </c>
      <c r="AI39" s="439" t="n">
        <f aca="false">(Z39+Q39)/2</f>
        <v>0.0630394180189603</v>
      </c>
      <c r="AJ39" s="439" t="n">
        <f aca="false">(AA39+R39)/2</f>
        <v>0.147477019546717</v>
      </c>
      <c r="AK39" s="439" t="n">
        <f aca="false">(AB39+S39)/2</f>
        <v>0.379956855686438</v>
      </c>
      <c r="AL39" s="439" t="n">
        <f aca="false">(AC39+T39)/2</f>
        <v>1.14451073231212</v>
      </c>
      <c r="AM39" s="439" t="n">
        <f aca="false">(AD39+U39)/2</f>
        <v>1.8583902928745</v>
      </c>
      <c r="AN39" s="439" t="n">
        <v>0</v>
      </c>
      <c r="AO39" s="439" t="n">
        <v>0</v>
      </c>
      <c r="AP39" s="439" t="n">
        <v>0</v>
      </c>
      <c r="AQ39" s="439" t="n">
        <v>0</v>
      </c>
      <c r="AR39" s="439" t="n">
        <v>0.0465253821664486</v>
      </c>
      <c r="AS39" s="439" t="n">
        <v>0.138921205409743</v>
      </c>
      <c r="AT39" s="439" t="n">
        <v>0.290564624254572</v>
      </c>
      <c r="AU39" s="439" t="n">
        <v>1.33651885995053</v>
      </c>
      <c r="AV39" s="439" t="n">
        <v>1.87584024921201</v>
      </c>
      <c r="AW39" s="439" t="n">
        <v>0</v>
      </c>
      <c r="AX39" s="439" t="n">
        <v>0</v>
      </c>
      <c r="AY39" s="439" t="n">
        <v>0</v>
      </c>
      <c r="AZ39" s="439" t="n">
        <v>0</v>
      </c>
      <c r="BA39" s="439" t="n">
        <v>0.0258489501786052</v>
      </c>
      <c r="BB39" s="439" t="n">
        <v>0.129969332774916</v>
      </c>
      <c r="BC39" s="439" t="n">
        <v>0.206484189140314</v>
      </c>
      <c r="BD39" s="439" t="n">
        <v>1.72780992009416</v>
      </c>
      <c r="BE39" s="439" t="n">
        <v>1.86520509440518</v>
      </c>
      <c r="BF39" s="439" t="n">
        <v>0</v>
      </c>
      <c r="BG39" s="439" t="n">
        <v>0</v>
      </c>
      <c r="BH39" s="439" t="n">
        <v>0</v>
      </c>
      <c r="BI39" s="439" t="n">
        <v>0</v>
      </c>
      <c r="BJ39" s="439" t="n">
        <v>0.0247257469759798</v>
      </c>
      <c r="BK39" s="439" t="n">
        <v>0.135859885618617</v>
      </c>
      <c r="BL39" s="439" t="n">
        <v>0.206917910150133</v>
      </c>
      <c r="BM39" s="439" t="n">
        <v>1.48031114152439</v>
      </c>
      <c r="BN39" s="439" t="n">
        <v>1.86449934769893</v>
      </c>
      <c r="BO39" s="439" t="n">
        <v>0</v>
      </c>
      <c r="BP39" s="439" t="n">
        <v>0</v>
      </c>
      <c r="BQ39" s="439" t="n">
        <v>0</v>
      </c>
      <c r="BR39" s="439" t="n">
        <v>0</v>
      </c>
      <c r="BS39" s="439" t="n">
        <v>0.0247257469759798</v>
      </c>
      <c r="BT39" s="439" t="n">
        <v>0.135859885618617</v>
      </c>
      <c r="BU39" s="439" t="n">
        <v>0.206917910150133</v>
      </c>
      <c r="BV39" s="440" t="n">
        <v>1.75</v>
      </c>
      <c r="BW39" s="439" t="n">
        <v>1.86449934769893</v>
      </c>
      <c r="BY39" s="80" t="n">
        <f aca="false">SUM(AW39:BE39)</f>
        <v>3.95531748659318</v>
      </c>
      <c r="BZ39" s="80" t="n">
        <f aca="false">SUM(BO39:BW39)</f>
        <v>3.98200289044366</v>
      </c>
    </row>
    <row r="40" customFormat="false" ht="14.5" hidden="false" customHeight="false" outlineLevel="0" collapsed="false">
      <c r="B40" s="441" t="s">
        <v>125</v>
      </c>
      <c r="C40" s="393" t="s">
        <v>808</v>
      </c>
      <c r="D40" s="442" t="n">
        <v>0</v>
      </c>
      <c r="E40" s="442" t="n">
        <v>0</v>
      </c>
      <c r="F40" s="442" t="n">
        <v>0</v>
      </c>
      <c r="G40" s="442" t="n">
        <v>0</v>
      </c>
      <c r="H40" s="443" t="n">
        <v>0</v>
      </c>
      <c r="I40" s="443" t="n">
        <v>0</v>
      </c>
      <c r="J40" s="443" t="n">
        <v>0</v>
      </c>
      <c r="K40" s="443" t="n">
        <v>0</v>
      </c>
      <c r="L40" s="443" t="n">
        <v>0</v>
      </c>
      <c r="M40" s="443" t="n">
        <v>0</v>
      </c>
      <c r="N40" s="443" t="n">
        <v>0</v>
      </c>
      <c r="O40" s="443" t="n">
        <v>0</v>
      </c>
      <c r="P40" s="443" t="n">
        <v>0</v>
      </c>
      <c r="Q40" s="443" t="n">
        <v>0</v>
      </c>
      <c r="R40" s="443" t="n">
        <v>0</v>
      </c>
      <c r="S40" s="443" t="n">
        <v>0</v>
      </c>
      <c r="T40" s="443" t="n">
        <v>0</v>
      </c>
      <c r="U40" s="443" t="n">
        <v>0</v>
      </c>
      <c r="V40" s="443" t="n">
        <v>0</v>
      </c>
      <c r="W40" s="443" t="n">
        <v>0</v>
      </c>
      <c r="X40" s="443" t="n">
        <v>0</v>
      </c>
      <c r="Y40" s="443" t="n">
        <v>0</v>
      </c>
      <c r="Z40" s="443" t="n">
        <v>0</v>
      </c>
      <c r="AA40" s="443" t="n">
        <v>0</v>
      </c>
      <c r="AB40" s="443" t="n">
        <v>0</v>
      </c>
      <c r="AC40" s="443" t="n">
        <v>0</v>
      </c>
      <c r="AD40" s="443" t="n">
        <v>0</v>
      </c>
      <c r="AE40" s="443" t="n">
        <f aca="false">(V40+M40)/2</f>
        <v>0</v>
      </c>
      <c r="AF40" s="443" t="n">
        <f aca="false">(W40+N40)/2</f>
        <v>0</v>
      </c>
      <c r="AG40" s="443" t="n">
        <f aca="false">(X40+O40)/2</f>
        <v>0</v>
      </c>
      <c r="AH40" s="443" t="n">
        <f aca="false">(Y40+P40)/2</f>
        <v>0</v>
      </c>
      <c r="AI40" s="443" t="n">
        <f aca="false">(Z40+Q40)/2</f>
        <v>0</v>
      </c>
      <c r="AJ40" s="443" t="n">
        <f aca="false">(AA40+R40)/2</f>
        <v>0</v>
      </c>
      <c r="AK40" s="443" t="n">
        <f aca="false">(AB40+S40)/2</f>
        <v>0</v>
      </c>
      <c r="AL40" s="443" t="n">
        <f aca="false">(AC40+T40)/2</f>
        <v>0</v>
      </c>
      <c r="AM40" s="443" t="n">
        <f aca="false">(AD40+U40)/2</f>
        <v>0</v>
      </c>
      <c r="AN40" s="442" t="n">
        <v>0</v>
      </c>
      <c r="AO40" s="442" t="n">
        <v>0</v>
      </c>
      <c r="AP40" s="442" t="n">
        <v>0</v>
      </c>
      <c r="AQ40" s="442" t="n">
        <v>0</v>
      </c>
      <c r="AR40" s="443" t="n">
        <v>0</v>
      </c>
      <c r="AS40" s="443" t="n">
        <v>0</v>
      </c>
      <c r="AT40" s="443" t="n">
        <v>0</v>
      </c>
      <c r="AU40" s="443" t="n">
        <v>0</v>
      </c>
      <c r="AV40" s="443" t="n">
        <v>0</v>
      </c>
      <c r="AW40" s="442" t="n">
        <v>0</v>
      </c>
      <c r="AX40" s="442" t="n">
        <v>0</v>
      </c>
      <c r="AY40" s="442" t="n">
        <v>0</v>
      </c>
      <c r="AZ40" s="442" t="n">
        <v>0</v>
      </c>
      <c r="BA40" s="443" t="n">
        <v>0</v>
      </c>
      <c r="BB40" s="443" t="n">
        <v>0</v>
      </c>
      <c r="BC40" s="443" t="n">
        <v>0</v>
      </c>
      <c r="BD40" s="443" t="n">
        <v>0</v>
      </c>
      <c r="BE40" s="443" t="n">
        <v>0</v>
      </c>
      <c r="BF40" s="442" t="n">
        <v>0</v>
      </c>
      <c r="BG40" s="442" t="n">
        <v>0</v>
      </c>
      <c r="BH40" s="442" t="n">
        <v>0</v>
      </c>
      <c r="BI40" s="442" t="n">
        <v>0</v>
      </c>
      <c r="BJ40" s="443" t="n">
        <v>0</v>
      </c>
      <c r="BK40" s="443" t="n">
        <v>0</v>
      </c>
      <c r="BL40" s="443" t="n">
        <v>0</v>
      </c>
      <c r="BM40" s="443" t="n">
        <v>0</v>
      </c>
      <c r="BN40" s="443" t="n">
        <v>0</v>
      </c>
      <c r="BO40" s="442" t="n">
        <v>0</v>
      </c>
      <c r="BP40" s="442" t="n">
        <v>0</v>
      </c>
      <c r="BQ40" s="442" t="n">
        <v>0</v>
      </c>
      <c r="BR40" s="442" t="n">
        <v>0</v>
      </c>
      <c r="BS40" s="443" t="n">
        <v>0</v>
      </c>
      <c r="BT40" s="443" t="n">
        <v>0</v>
      </c>
      <c r="BU40" s="443" t="n">
        <v>0</v>
      </c>
      <c r="BV40" s="443" t="n">
        <v>0</v>
      </c>
      <c r="BW40" s="443" t="n">
        <v>0</v>
      </c>
    </row>
    <row r="41" customFormat="false" ht="14.5" hidden="false" customHeight="false" outlineLevel="0" collapsed="false">
      <c r="B41" s="441" t="s">
        <v>51</v>
      </c>
      <c r="C41" s="393" t="s">
        <v>808</v>
      </c>
      <c r="D41" s="442" t="n">
        <v>0</v>
      </c>
      <c r="E41" s="442" t="n">
        <v>0</v>
      </c>
      <c r="F41" s="442" t="n">
        <v>0</v>
      </c>
      <c r="G41" s="442" t="n">
        <v>0</v>
      </c>
      <c r="H41" s="443" t="n">
        <v>0</v>
      </c>
      <c r="I41" s="443" t="n">
        <v>0</v>
      </c>
      <c r="J41" s="443" t="n">
        <v>0.03685</v>
      </c>
      <c r="K41" s="443" t="n">
        <v>0</v>
      </c>
      <c r="L41" s="443" t="n">
        <v>0</v>
      </c>
      <c r="M41" s="443" t="n">
        <v>0</v>
      </c>
      <c r="N41" s="443" t="n">
        <v>0</v>
      </c>
      <c r="O41" s="443" t="n">
        <v>0</v>
      </c>
      <c r="P41" s="443" t="n">
        <v>0</v>
      </c>
      <c r="Q41" s="443" t="n">
        <v>0</v>
      </c>
      <c r="R41" s="443" t="n">
        <v>0</v>
      </c>
      <c r="S41" s="443" t="n">
        <v>0.0378327191399285</v>
      </c>
      <c r="T41" s="443" t="n">
        <v>0</v>
      </c>
      <c r="U41" s="443" t="n">
        <v>0</v>
      </c>
      <c r="V41" s="443" t="n">
        <v>0</v>
      </c>
      <c r="W41" s="443" t="n">
        <v>0</v>
      </c>
      <c r="X41" s="443" t="n">
        <v>0</v>
      </c>
      <c r="Y41" s="443" t="n">
        <v>0</v>
      </c>
      <c r="Z41" s="443" t="n">
        <v>0</v>
      </c>
      <c r="AA41" s="443" t="n">
        <v>0</v>
      </c>
      <c r="AB41" s="443" t="n">
        <v>0.035096301192426</v>
      </c>
      <c r="AC41" s="443" t="n">
        <v>0</v>
      </c>
      <c r="AD41" s="443" t="n">
        <v>0</v>
      </c>
      <c r="AE41" s="443" t="n">
        <f aca="false">(V41+M41)/2</f>
        <v>0</v>
      </c>
      <c r="AF41" s="443" t="n">
        <f aca="false">(W41+N41)/2</f>
        <v>0</v>
      </c>
      <c r="AG41" s="443" t="n">
        <f aca="false">(X41+O41)/2</f>
        <v>0</v>
      </c>
      <c r="AH41" s="443" t="n">
        <f aca="false">(Y41+P41)/2</f>
        <v>0</v>
      </c>
      <c r="AI41" s="443" t="n">
        <f aca="false">(Z41+Q41)/2</f>
        <v>0</v>
      </c>
      <c r="AJ41" s="443" t="n">
        <f aca="false">(AA41+R41)/2</f>
        <v>0</v>
      </c>
      <c r="AK41" s="443" t="n">
        <f aca="false">(AB41+S41)/2</f>
        <v>0.0364645101661773</v>
      </c>
      <c r="AL41" s="443" t="n">
        <f aca="false">(AC41+T41)/2</f>
        <v>0</v>
      </c>
      <c r="AM41" s="443" t="n">
        <f aca="false">(AD41+U41)/2</f>
        <v>0</v>
      </c>
      <c r="AN41" s="442" t="n">
        <v>0</v>
      </c>
      <c r="AO41" s="442" t="n">
        <v>0</v>
      </c>
      <c r="AP41" s="442" t="n">
        <v>0</v>
      </c>
      <c r="AQ41" s="442" t="n">
        <v>0</v>
      </c>
      <c r="AR41" s="443" t="n">
        <v>0</v>
      </c>
      <c r="AS41" s="443" t="n">
        <v>0</v>
      </c>
      <c r="AT41" s="443" t="n">
        <v>0.0308729807384477</v>
      </c>
      <c r="AU41" s="443" t="n">
        <v>0</v>
      </c>
      <c r="AV41" s="443" t="n">
        <v>0</v>
      </c>
      <c r="AW41" s="442" t="n">
        <v>0</v>
      </c>
      <c r="AX41" s="442" t="n">
        <v>0</v>
      </c>
      <c r="AY41" s="442" t="n">
        <v>0</v>
      </c>
      <c r="AZ41" s="442" t="n">
        <v>0</v>
      </c>
      <c r="BA41" s="443" t="n">
        <v>0</v>
      </c>
      <c r="BB41" s="443" t="n">
        <v>0</v>
      </c>
      <c r="BC41" s="443" t="n">
        <v>0.0179040794897195</v>
      </c>
      <c r="BD41" s="443" t="n">
        <v>0</v>
      </c>
      <c r="BE41" s="443" t="n">
        <v>0</v>
      </c>
      <c r="BF41" s="442" t="n">
        <v>0</v>
      </c>
      <c r="BG41" s="442" t="n">
        <v>0</v>
      </c>
      <c r="BH41" s="442" t="n">
        <v>0</v>
      </c>
      <c r="BI41" s="442" t="n">
        <v>0</v>
      </c>
      <c r="BJ41" s="443" t="n">
        <v>0</v>
      </c>
      <c r="BK41" s="443" t="n">
        <v>0</v>
      </c>
      <c r="BL41" s="443" t="n">
        <v>0.0164051596966124</v>
      </c>
      <c r="BM41" s="443" t="n">
        <v>0</v>
      </c>
      <c r="BN41" s="443" t="n">
        <v>0</v>
      </c>
      <c r="BO41" s="442" t="n">
        <v>0</v>
      </c>
      <c r="BP41" s="442" t="n">
        <v>0</v>
      </c>
      <c r="BQ41" s="442" t="n">
        <v>0</v>
      </c>
      <c r="BR41" s="442" t="n">
        <v>0</v>
      </c>
      <c r="BS41" s="443" t="n">
        <v>0</v>
      </c>
      <c r="BT41" s="443" t="n">
        <v>0</v>
      </c>
      <c r="BU41" s="443" t="n">
        <v>0.0164051596966124</v>
      </c>
      <c r="BV41" s="443" t="n">
        <v>0</v>
      </c>
      <c r="BW41" s="443" t="n">
        <v>0</v>
      </c>
    </row>
    <row r="42" customFormat="false" ht="14.5" hidden="false" customHeight="false" outlineLevel="0" collapsed="false">
      <c r="B42" s="444" t="s">
        <v>723</v>
      </c>
      <c r="C42" s="393" t="s">
        <v>808</v>
      </c>
      <c r="D42" s="442" t="n">
        <v>0</v>
      </c>
      <c r="E42" s="442" t="n">
        <v>0</v>
      </c>
      <c r="F42" s="442" t="n">
        <v>0</v>
      </c>
      <c r="G42" s="442" t="n">
        <v>0</v>
      </c>
      <c r="H42" s="443" t="n">
        <v>0</v>
      </c>
      <c r="I42" s="443" t="n">
        <v>0</v>
      </c>
      <c r="J42" s="443" t="n">
        <v>0</v>
      </c>
      <c r="K42" s="443" t="n">
        <v>0</v>
      </c>
      <c r="L42" s="443" t="n">
        <v>0</v>
      </c>
      <c r="M42" s="443" t="n">
        <v>0</v>
      </c>
      <c r="N42" s="443" t="n">
        <v>0</v>
      </c>
      <c r="O42" s="443" t="n">
        <v>0</v>
      </c>
      <c r="P42" s="443" t="n">
        <v>0</v>
      </c>
      <c r="Q42" s="443" t="n">
        <v>0</v>
      </c>
      <c r="R42" s="443" t="n">
        <v>0</v>
      </c>
      <c r="S42" s="443" t="n">
        <v>0</v>
      </c>
      <c r="T42" s="443" t="n">
        <v>0</v>
      </c>
      <c r="U42" s="443" t="n">
        <v>0</v>
      </c>
      <c r="V42" s="443" t="n">
        <v>0</v>
      </c>
      <c r="W42" s="443" t="n">
        <v>0</v>
      </c>
      <c r="X42" s="443" t="n">
        <v>0</v>
      </c>
      <c r="Y42" s="443" t="n">
        <v>0</v>
      </c>
      <c r="Z42" s="443" t="n">
        <v>0</v>
      </c>
      <c r="AA42" s="443" t="n">
        <v>0</v>
      </c>
      <c r="AB42" s="443" t="n">
        <v>0</v>
      </c>
      <c r="AC42" s="443" t="n">
        <v>0</v>
      </c>
      <c r="AD42" s="443" t="n">
        <v>0</v>
      </c>
      <c r="AE42" s="443" t="n">
        <f aca="false">(V42+M42)/2</f>
        <v>0</v>
      </c>
      <c r="AF42" s="443" t="n">
        <f aca="false">(W42+N42)/2</f>
        <v>0</v>
      </c>
      <c r="AG42" s="443" t="n">
        <f aca="false">(X42+O42)/2</f>
        <v>0</v>
      </c>
      <c r="AH42" s="443" t="n">
        <f aca="false">(Y42+P42)/2</f>
        <v>0</v>
      </c>
      <c r="AI42" s="443" t="n">
        <f aca="false">(Z42+Q42)/2</f>
        <v>0</v>
      </c>
      <c r="AJ42" s="443" t="n">
        <f aca="false">(AA42+R42)/2</f>
        <v>0</v>
      </c>
      <c r="AK42" s="443" t="n">
        <f aca="false">(AB42+S42)/2</f>
        <v>0</v>
      </c>
      <c r="AL42" s="443" t="n">
        <f aca="false">(AC42+T42)/2</f>
        <v>0</v>
      </c>
      <c r="AM42" s="443" t="n">
        <f aca="false">(AD42+U42)/2</f>
        <v>0</v>
      </c>
      <c r="AN42" s="442" t="n">
        <v>0</v>
      </c>
      <c r="AO42" s="442" t="n">
        <v>0</v>
      </c>
      <c r="AP42" s="442" t="n">
        <v>0</v>
      </c>
      <c r="AQ42" s="442" t="n">
        <v>0</v>
      </c>
      <c r="AR42" s="443" t="n">
        <v>0</v>
      </c>
      <c r="AS42" s="443" t="n">
        <v>0</v>
      </c>
      <c r="AT42" s="443" t="n">
        <v>0</v>
      </c>
      <c r="AU42" s="443" t="n">
        <v>0</v>
      </c>
      <c r="AV42" s="443" t="n">
        <v>0</v>
      </c>
      <c r="AW42" s="442" t="n">
        <v>0</v>
      </c>
      <c r="AX42" s="442" t="n">
        <v>0</v>
      </c>
      <c r="AY42" s="442" t="n">
        <v>0</v>
      </c>
      <c r="AZ42" s="442" t="n">
        <v>0</v>
      </c>
      <c r="BA42" s="443" t="n">
        <v>0</v>
      </c>
      <c r="BB42" s="443" t="n">
        <v>0</v>
      </c>
      <c r="BC42" s="443" t="n">
        <v>0</v>
      </c>
      <c r="BD42" s="443" t="n">
        <v>0</v>
      </c>
      <c r="BE42" s="443" t="n">
        <v>0</v>
      </c>
      <c r="BF42" s="442" t="n">
        <v>0</v>
      </c>
      <c r="BG42" s="442" t="n">
        <v>0</v>
      </c>
      <c r="BH42" s="442" t="n">
        <v>0</v>
      </c>
      <c r="BI42" s="442" t="n">
        <v>0</v>
      </c>
      <c r="BJ42" s="443" t="n">
        <v>0</v>
      </c>
      <c r="BK42" s="443" t="n">
        <v>0</v>
      </c>
      <c r="BL42" s="443" t="n">
        <v>0</v>
      </c>
      <c r="BM42" s="443" t="n">
        <v>0</v>
      </c>
      <c r="BN42" s="443" t="n">
        <v>0</v>
      </c>
      <c r="BO42" s="442" t="n">
        <v>0</v>
      </c>
      <c r="BP42" s="442" t="n">
        <v>0</v>
      </c>
      <c r="BQ42" s="442" t="n">
        <v>0</v>
      </c>
      <c r="BR42" s="442" t="n">
        <v>0</v>
      </c>
      <c r="BS42" s="443" t="n">
        <v>0</v>
      </c>
      <c r="BT42" s="443" t="n">
        <v>0</v>
      </c>
      <c r="BU42" s="443" t="n">
        <v>0</v>
      </c>
      <c r="BV42" s="443" t="n">
        <v>0</v>
      </c>
      <c r="BW42" s="443" t="n">
        <v>0</v>
      </c>
    </row>
    <row r="43" customFormat="false" ht="14.5" hidden="false" customHeight="false" outlineLevel="0" collapsed="false">
      <c r="B43" s="444" t="s">
        <v>841</v>
      </c>
      <c r="C43" s="393" t="s">
        <v>808</v>
      </c>
      <c r="D43" s="442" t="n">
        <v>0</v>
      </c>
      <c r="E43" s="442" t="n">
        <v>0</v>
      </c>
      <c r="F43" s="442" t="n">
        <v>0</v>
      </c>
      <c r="G43" s="442" t="n">
        <v>0</v>
      </c>
      <c r="H43" s="443" t="n">
        <v>0</v>
      </c>
      <c r="I43" s="443" t="n">
        <v>0</v>
      </c>
      <c r="J43" s="443" t="n">
        <v>0</v>
      </c>
      <c r="K43" s="443" t="n">
        <v>0</v>
      </c>
      <c r="L43" s="443" t="n">
        <v>0</v>
      </c>
      <c r="M43" s="443" t="n">
        <v>0</v>
      </c>
      <c r="N43" s="443" t="n">
        <v>0</v>
      </c>
      <c r="O43" s="443" t="n">
        <v>0</v>
      </c>
      <c r="P43" s="443" t="n">
        <v>0</v>
      </c>
      <c r="Q43" s="443" t="n">
        <v>0</v>
      </c>
      <c r="R43" s="443" t="n">
        <v>0</v>
      </c>
      <c r="S43" s="443" t="n">
        <v>0</v>
      </c>
      <c r="T43" s="443" t="n">
        <v>0</v>
      </c>
      <c r="U43" s="443" t="n">
        <v>0</v>
      </c>
      <c r="V43" s="443" t="n">
        <v>0</v>
      </c>
      <c r="W43" s="443" t="n">
        <v>0</v>
      </c>
      <c r="X43" s="443" t="n">
        <v>0</v>
      </c>
      <c r="Y43" s="443" t="n">
        <v>0</v>
      </c>
      <c r="Z43" s="443" t="n">
        <v>0</v>
      </c>
      <c r="AA43" s="443" t="n">
        <v>0</v>
      </c>
      <c r="AB43" s="443" t="n">
        <v>0</v>
      </c>
      <c r="AC43" s="443" t="n">
        <v>0</v>
      </c>
      <c r="AD43" s="443" t="n">
        <v>0</v>
      </c>
      <c r="AE43" s="443" t="n">
        <f aca="false">(V43+M43)/2</f>
        <v>0</v>
      </c>
      <c r="AF43" s="443" t="n">
        <f aca="false">(W43+N43)/2</f>
        <v>0</v>
      </c>
      <c r="AG43" s="443" t="n">
        <f aca="false">(X43+O43)/2</f>
        <v>0</v>
      </c>
      <c r="AH43" s="443" t="n">
        <f aca="false">(Y43+P43)/2</f>
        <v>0</v>
      </c>
      <c r="AI43" s="443" t="n">
        <f aca="false">(Z43+Q43)/2</f>
        <v>0</v>
      </c>
      <c r="AJ43" s="443" t="n">
        <f aca="false">(AA43+R43)/2</f>
        <v>0</v>
      </c>
      <c r="AK43" s="443" t="n">
        <f aca="false">(AB43+S43)/2</f>
        <v>0</v>
      </c>
      <c r="AL43" s="443" t="n">
        <f aca="false">(AC43+T43)/2</f>
        <v>0</v>
      </c>
      <c r="AM43" s="443" t="n">
        <f aca="false">(AD43+U43)/2</f>
        <v>0</v>
      </c>
      <c r="AN43" s="442" t="n">
        <v>0</v>
      </c>
      <c r="AO43" s="442" t="n">
        <v>0</v>
      </c>
      <c r="AP43" s="442" t="n">
        <v>0</v>
      </c>
      <c r="AQ43" s="442" t="n">
        <v>0</v>
      </c>
      <c r="AR43" s="443" t="n">
        <v>0</v>
      </c>
      <c r="AS43" s="443" t="n">
        <v>0</v>
      </c>
      <c r="AT43" s="443" t="n">
        <v>0</v>
      </c>
      <c r="AU43" s="443" t="n">
        <v>0</v>
      </c>
      <c r="AV43" s="443" t="n">
        <v>0</v>
      </c>
      <c r="AW43" s="442" t="n">
        <v>0</v>
      </c>
      <c r="AX43" s="442" t="n">
        <v>0</v>
      </c>
      <c r="AY43" s="442" t="n">
        <v>0</v>
      </c>
      <c r="AZ43" s="442" t="n">
        <v>0</v>
      </c>
      <c r="BA43" s="443" t="n">
        <v>0</v>
      </c>
      <c r="BB43" s="443" t="n">
        <v>0</v>
      </c>
      <c r="BC43" s="443" t="n">
        <v>0</v>
      </c>
      <c r="BD43" s="443" t="n">
        <v>0</v>
      </c>
      <c r="BE43" s="443" t="n">
        <v>0</v>
      </c>
      <c r="BF43" s="442" t="n">
        <v>0</v>
      </c>
      <c r="BG43" s="442" t="n">
        <v>0</v>
      </c>
      <c r="BH43" s="442" t="n">
        <v>0</v>
      </c>
      <c r="BI43" s="442" t="n">
        <v>0</v>
      </c>
      <c r="BJ43" s="443" t="n">
        <v>0</v>
      </c>
      <c r="BK43" s="443" t="n">
        <v>0</v>
      </c>
      <c r="BL43" s="443" t="n">
        <v>0</v>
      </c>
      <c r="BM43" s="443" t="n">
        <v>0</v>
      </c>
      <c r="BN43" s="443" t="n">
        <v>0</v>
      </c>
      <c r="BO43" s="442" t="n">
        <v>0</v>
      </c>
      <c r="BP43" s="442" t="n">
        <v>0</v>
      </c>
      <c r="BQ43" s="442" t="n">
        <v>0</v>
      </c>
      <c r="BR43" s="442" t="n">
        <v>0</v>
      </c>
      <c r="BS43" s="443" t="n">
        <v>0</v>
      </c>
      <c r="BT43" s="443" t="n">
        <v>0</v>
      </c>
      <c r="BU43" s="443" t="n">
        <v>0</v>
      </c>
      <c r="BV43" s="443" t="n">
        <v>0</v>
      </c>
      <c r="BW43" s="443" t="n">
        <v>0</v>
      </c>
    </row>
    <row r="44" customFormat="false" ht="14.5" hidden="false" customHeight="false" outlineLevel="0" collapsed="false">
      <c r="B44" s="444" t="s">
        <v>16</v>
      </c>
      <c r="C44" s="393" t="s">
        <v>808</v>
      </c>
      <c r="D44" s="442" t="n">
        <v>0</v>
      </c>
      <c r="E44" s="442" t="n">
        <v>0</v>
      </c>
      <c r="F44" s="442" t="n">
        <v>0</v>
      </c>
      <c r="G44" s="442" t="n">
        <v>0</v>
      </c>
      <c r="H44" s="443" t="n">
        <v>0</v>
      </c>
      <c r="I44" s="443" t="n">
        <v>0</v>
      </c>
      <c r="J44" s="443" t="n">
        <v>0</v>
      </c>
      <c r="K44" s="443" t="n">
        <v>0</v>
      </c>
      <c r="L44" s="443" t="n">
        <v>0</v>
      </c>
      <c r="M44" s="443" t="n">
        <v>0</v>
      </c>
      <c r="N44" s="443" t="n">
        <v>0</v>
      </c>
      <c r="O44" s="443" t="n">
        <v>0</v>
      </c>
      <c r="P44" s="443" t="n">
        <v>0</v>
      </c>
      <c r="Q44" s="443" t="n">
        <v>0</v>
      </c>
      <c r="R44" s="443" t="n">
        <v>0</v>
      </c>
      <c r="S44" s="443" t="n">
        <v>0</v>
      </c>
      <c r="T44" s="443" t="n">
        <v>0</v>
      </c>
      <c r="U44" s="443" t="n">
        <v>0</v>
      </c>
      <c r="V44" s="443" t="n">
        <v>0</v>
      </c>
      <c r="W44" s="443" t="n">
        <v>0</v>
      </c>
      <c r="X44" s="443" t="n">
        <v>0</v>
      </c>
      <c r="Y44" s="443" t="n">
        <v>0</v>
      </c>
      <c r="Z44" s="443" t="n">
        <v>0</v>
      </c>
      <c r="AA44" s="443" t="n">
        <v>0</v>
      </c>
      <c r="AB44" s="443" t="n">
        <v>0</v>
      </c>
      <c r="AC44" s="443" t="n">
        <v>0</v>
      </c>
      <c r="AD44" s="443" t="n">
        <v>0</v>
      </c>
      <c r="AE44" s="443" t="n">
        <f aca="false">(V44+M44)/2</f>
        <v>0</v>
      </c>
      <c r="AF44" s="443" t="n">
        <f aca="false">(W44+N44)/2</f>
        <v>0</v>
      </c>
      <c r="AG44" s="443" t="n">
        <f aca="false">(X44+O44)/2</f>
        <v>0</v>
      </c>
      <c r="AH44" s="443" t="n">
        <f aca="false">(Y44+P44)/2</f>
        <v>0</v>
      </c>
      <c r="AI44" s="443" t="n">
        <f aca="false">(Z44+Q44)/2</f>
        <v>0</v>
      </c>
      <c r="AJ44" s="443" t="n">
        <f aca="false">(AA44+R44)/2</f>
        <v>0</v>
      </c>
      <c r="AK44" s="443" t="n">
        <f aca="false">(AB44+S44)/2</f>
        <v>0</v>
      </c>
      <c r="AL44" s="443" t="n">
        <f aca="false">(AC44+T44)/2</f>
        <v>0</v>
      </c>
      <c r="AM44" s="443" t="n">
        <f aca="false">(AD44+U44)/2</f>
        <v>0</v>
      </c>
      <c r="AN44" s="442" t="n">
        <v>0</v>
      </c>
      <c r="AO44" s="442" t="n">
        <v>0</v>
      </c>
      <c r="AP44" s="442" t="n">
        <v>0</v>
      </c>
      <c r="AQ44" s="442" t="n">
        <v>0</v>
      </c>
      <c r="AR44" s="443" t="n">
        <v>0</v>
      </c>
      <c r="AS44" s="443" t="n">
        <v>0</v>
      </c>
      <c r="AT44" s="443" t="n">
        <v>0</v>
      </c>
      <c r="AU44" s="443" t="n">
        <v>0</v>
      </c>
      <c r="AV44" s="443" t="n">
        <v>0</v>
      </c>
      <c r="AW44" s="442" t="n">
        <v>0</v>
      </c>
      <c r="AX44" s="442" t="n">
        <v>0</v>
      </c>
      <c r="AY44" s="442" t="n">
        <v>0</v>
      </c>
      <c r="AZ44" s="442" t="n">
        <v>0</v>
      </c>
      <c r="BA44" s="443" t="n">
        <v>0</v>
      </c>
      <c r="BB44" s="443" t="n">
        <v>0</v>
      </c>
      <c r="BC44" s="443" t="n">
        <v>0</v>
      </c>
      <c r="BD44" s="443" t="n">
        <v>0</v>
      </c>
      <c r="BE44" s="443" t="n">
        <v>0</v>
      </c>
      <c r="BF44" s="442" t="n">
        <v>0</v>
      </c>
      <c r="BG44" s="442" t="n">
        <v>0</v>
      </c>
      <c r="BH44" s="442" t="n">
        <v>0</v>
      </c>
      <c r="BI44" s="442" t="n">
        <v>0</v>
      </c>
      <c r="BJ44" s="443" t="n">
        <v>0</v>
      </c>
      <c r="BK44" s="443" t="n">
        <v>0</v>
      </c>
      <c r="BL44" s="443" t="n">
        <v>0</v>
      </c>
      <c r="BM44" s="443" t="n">
        <v>0</v>
      </c>
      <c r="BN44" s="443" t="n">
        <v>0</v>
      </c>
      <c r="BO44" s="442" t="n">
        <v>0</v>
      </c>
      <c r="BP44" s="442" t="n">
        <v>0</v>
      </c>
      <c r="BQ44" s="442" t="n">
        <v>0</v>
      </c>
      <c r="BR44" s="442" t="n">
        <v>0</v>
      </c>
      <c r="BS44" s="443" t="n">
        <v>0</v>
      </c>
      <c r="BT44" s="443" t="n">
        <v>0</v>
      </c>
      <c r="BU44" s="443" t="n">
        <v>0</v>
      </c>
      <c r="BV44" s="443" t="n">
        <v>0</v>
      </c>
      <c r="BW44" s="443" t="n">
        <v>0</v>
      </c>
    </row>
    <row r="45" customFormat="false" ht="14.5" hidden="false" customHeight="false" outlineLevel="0" collapsed="false">
      <c r="B45" s="432" t="s">
        <v>842</v>
      </c>
      <c r="C45" s="393" t="s">
        <v>808</v>
      </c>
      <c r="D45" s="442" t="n">
        <v>0</v>
      </c>
      <c r="E45" s="442" t="n">
        <v>0</v>
      </c>
      <c r="F45" s="442" t="n">
        <v>0</v>
      </c>
      <c r="G45" s="442" t="n">
        <v>0</v>
      </c>
      <c r="H45" s="443" t="n">
        <v>0</v>
      </c>
      <c r="I45" s="443" t="n">
        <v>0</v>
      </c>
      <c r="J45" s="443" t="n">
        <v>0</v>
      </c>
      <c r="K45" s="443" t="n">
        <v>0</v>
      </c>
      <c r="L45" s="443" t="n">
        <v>0</v>
      </c>
      <c r="M45" s="443" t="n">
        <v>0</v>
      </c>
      <c r="N45" s="443" t="n">
        <v>0</v>
      </c>
      <c r="O45" s="443" t="n">
        <v>0</v>
      </c>
      <c r="P45" s="443" t="n">
        <v>0</v>
      </c>
      <c r="Q45" s="443" t="n">
        <v>0</v>
      </c>
      <c r="R45" s="443" t="n">
        <v>0</v>
      </c>
      <c r="S45" s="443" t="n">
        <v>0</v>
      </c>
      <c r="T45" s="443" t="n">
        <v>0</v>
      </c>
      <c r="U45" s="443" t="n">
        <v>0</v>
      </c>
      <c r="V45" s="443" t="n">
        <v>0</v>
      </c>
      <c r="W45" s="443" t="n">
        <v>0</v>
      </c>
      <c r="X45" s="443" t="n">
        <v>0</v>
      </c>
      <c r="Y45" s="443" t="n">
        <v>0</v>
      </c>
      <c r="Z45" s="443" t="n">
        <v>0</v>
      </c>
      <c r="AA45" s="443" t="n">
        <v>0</v>
      </c>
      <c r="AB45" s="443" t="n">
        <v>0</v>
      </c>
      <c r="AC45" s="443" t="n">
        <v>0</v>
      </c>
      <c r="AD45" s="443" t="n">
        <v>0</v>
      </c>
      <c r="AE45" s="443" t="n">
        <f aca="false">(V45+M45)/2</f>
        <v>0</v>
      </c>
      <c r="AF45" s="443" t="n">
        <f aca="false">(W45+N45)/2</f>
        <v>0</v>
      </c>
      <c r="AG45" s="443" t="n">
        <f aca="false">(X45+O45)/2</f>
        <v>0</v>
      </c>
      <c r="AH45" s="443" t="n">
        <f aca="false">(Y45+P45)/2</f>
        <v>0</v>
      </c>
      <c r="AI45" s="443" t="n">
        <f aca="false">(Z45+Q45)/2</f>
        <v>0</v>
      </c>
      <c r="AJ45" s="443" t="n">
        <f aca="false">(AA45+R45)/2</f>
        <v>0</v>
      </c>
      <c r="AK45" s="443" t="n">
        <f aca="false">(AB45+S45)/2</f>
        <v>0</v>
      </c>
      <c r="AL45" s="443" t="n">
        <f aca="false">(AC45+T45)/2</f>
        <v>0</v>
      </c>
      <c r="AM45" s="443" t="n">
        <f aca="false">(AD45+U45)/2</f>
        <v>0</v>
      </c>
      <c r="AN45" s="442" t="n">
        <v>0</v>
      </c>
      <c r="AO45" s="442" t="n">
        <v>0</v>
      </c>
      <c r="AP45" s="442" t="n">
        <v>0</v>
      </c>
      <c r="AQ45" s="442" t="n">
        <v>0</v>
      </c>
      <c r="AR45" s="443" t="n">
        <v>0</v>
      </c>
      <c r="AS45" s="443" t="n">
        <v>0</v>
      </c>
      <c r="AT45" s="443" t="n">
        <v>0</v>
      </c>
      <c r="AU45" s="443" t="n">
        <v>0</v>
      </c>
      <c r="AV45" s="443" t="n">
        <v>0</v>
      </c>
      <c r="AW45" s="442" t="n">
        <v>0</v>
      </c>
      <c r="AX45" s="442" t="n">
        <v>0</v>
      </c>
      <c r="AY45" s="442" t="n">
        <v>0</v>
      </c>
      <c r="AZ45" s="442" t="n">
        <v>0</v>
      </c>
      <c r="BA45" s="443" t="n">
        <v>0</v>
      </c>
      <c r="BB45" s="443" t="n">
        <v>0</v>
      </c>
      <c r="BC45" s="443" t="n">
        <v>0</v>
      </c>
      <c r="BD45" s="443" t="n">
        <v>0</v>
      </c>
      <c r="BE45" s="443" t="n">
        <v>0</v>
      </c>
      <c r="BF45" s="442" t="n">
        <v>0</v>
      </c>
      <c r="BG45" s="442" t="n">
        <v>0</v>
      </c>
      <c r="BH45" s="442" t="n">
        <v>0</v>
      </c>
      <c r="BI45" s="442" t="n">
        <v>0</v>
      </c>
      <c r="BJ45" s="443" t="n">
        <v>0</v>
      </c>
      <c r="BK45" s="443" t="n">
        <v>0</v>
      </c>
      <c r="BL45" s="443" t="n">
        <v>0</v>
      </c>
      <c r="BM45" s="443" t="n">
        <v>0</v>
      </c>
      <c r="BN45" s="443" t="n">
        <v>0</v>
      </c>
      <c r="BO45" s="442" t="n">
        <v>0</v>
      </c>
      <c r="BP45" s="442" t="n">
        <v>0</v>
      </c>
      <c r="BQ45" s="442" t="n">
        <v>0</v>
      </c>
      <c r="BR45" s="442" t="n">
        <v>0</v>
      </c>
      <c r="BS45" s="443" t="n">
        <v>0</v>
      </c>
      <c r="BT45" s="443" t="n">
        <v>0</v>
      </c>
      <c r="BU45" s="443" t="n">
        <v>0</v>
      </c>
      <c r="BV45" s="443" t="n">
        <v>0</v>
      </c>
      <c r="BW45" s="443" t="n">
        <v>0</v>
      </c>
    </row>
    <row r="46" customFormat="false" ht="14.5" hidden="false" customHeight="false" outlineLevel="0" collapsed="false">
      <c r="B46" s="432" t="s">
        <v>25</v>
      </c>
      <c r="C46" s="393" t="s">
        <v>808</v>
      </c>
      <c r="D46" s="442" t="n">
        <v>0</v>
      </c>
      <c r="E46" s="442" t="n">
        <v>0</v>
      </c>
      <c r="F46" s="442" t="n">
        <v>0</v>
      </c>
      <c r="G46" s="442" t="n">
        <v>0</v>
      </c>
      <c r="H46" s="443" t="n">
        <v>0</v>
      </c>
      <c r="I46" s="443" t="n">
        <v>0.08355964</v>
      </c>
      <c r="J46" s="443" t="n">
        <v>0.040535</v>
      </c>
      <c r="K46" s="443" t="n">
        <v>0</v>
      </c>
      <c r="L46" s="443" t="n">
        <v>1.10401169590643</v>
      </c>
      <c r="M46" s="443" t="n">
        <v>0</v>
      </c>
      <c r="N46" s="443" t="n">
        <v>0</v>
      </c>
      <c r="O46" s="443" t="n">
        <v>0</v>
      </c>
      <c r="P46" s="443" t="n">
        <v>0</v>
      </c>
      <c r="Q46" s="443" t="n">
        <v>0</v>
      </c>
      <c r="R46" s="443" t="n">
        <v>0.0844414007004064</v>
      </c>
      <c r="S46" s="443" t="n">
        <v>0.0409627444229173</v>
      </c>
      <c r="T46" s="443" t="n">
        <v>0</v>
      </c>
      <c r="U46" s="443" t="n">
        <v>1.1156617476089</v>
      </c>
      <c r="V46" s="443" t="n">
        <v>0</v>
      </c>
      <c r="W46" s="443" t="n">
        <v>0</v>
      </c>
      <c r="X46" s="443" t="n">
        <v>0</v>
      </c>
      <c r="Y46" s="443" t="n">
        <v>0</v>
      </c>
      <c r="Z46" s="443" t="n">
        <v>0</v>
      </c>
      <c r="AA46" s="443" t="n">
        <v>0.0844024984834098</v>
      </c>
      <c r="AB46" s="443" t="n">
        <v>0.0409438728556636</v>
      </c>
      <c r="AC46" s="443" t="n">
        <v>0</v>
      </c>
      <c r="AD46" s="443" t="n">
        <v>1.11514776140023</v>
      </c>
      <c r="AE46" s="443" t="n">
        <f aca="false">(V46+M46)/2</f>
        <v>0</v>
      </c>
      <c r="AF46" s="443" t="n">
        <f aca="false">(W46+N46)/2</f>
        <v>0</v>
      </c>
      <c r="AG46" s="443" t="n">
        <f aca="false">(X46+O46)/2</f>
        <v>0</v>
      </c>
      <c r="AH46" s="443" t="n">
        <f aca="false">(Y46+P46)/2</f>
        <v>0</v>
      </c>
      <c r="AI46" s="443" t="n">
        <f aca="false">(Z46+Q46)/2</f>
        <v>0</v>
      </c>
      <c r="AJ46" s="443" t="n">
        <f aca="false">(AA46+R46)/2</f>
        <v>0.0844219495919081</v>
      </c>
      <c r="AK46" s="443" t="n">
        <f aca="false">(AB46+S46)/2</f>
        <v>0.0409533086392904</v>
      </c>
      <c r="AL46" s="443" t="n">
        <f aca="false">(AC46+T46)/2</f>
        <v>0</v>
      </c>
      <c r="AM46" s="443" t="n">
        <f aca="false">(AD46+U46)/2</f>
        <v>1.11540475450457</v>
      </c>
      <c r="AN46" s="442" t="n">
        <v>0</v>
      </c>
      <c r="AO46" s="442" t="n">
        <v>0</v>
      </c>
      <c r="AP46" s="442" t="n">
        <v>0</v>
      </c>
      <c r="AQ46" s="442" t="n">
        <v>0</v>
      </c>
      <c r="AR46" s="443" t="n">
        <v>0</v>
      </c>
      <c r="AS46" s="443" t="n">
        <v>0.0862444299601293</v>
      </c>
      <c r="AT46" s="443" t="n">
        <v>0.0418373986344824</v>
      </c>
      <c r="AU46" s="443" t="n">
        <v>0</v>
      </c>
      <c r="AV46" s="443" t="n">
        <v>1.13948383912097</v>
      </c>
      <c r="AW46" s="442" t="n">
        <v>0</v>
      </c>
      <c r="AX46" s="442" t="n">
        <v>0</v>
      </c>
      <c r="AY46" s="442" t="n">
        <v>0</v>
      </c>
      <c r="AZ46" s="442" t="n">
        <v>0</v>
      </c>
      <c r="BA46" s="443" t="n">
        <v>0</v>
      </c>
      <c r="BB46" s="443" t="n">
        <v>0.088564416701699</v>
      </c>
      <c r="BC46" s="443" t="n">
        <v>0.0429628302731243</v>
      </c>
      <c r="BD46" s="443" t="n">
        <v>0</v>
      </c>
      <c r="BE46" s="443" t="n">
        <v>1.17013610733372</v>
      </c>
      <c r="BF46" s="442" t="n">
        <v>0</v>
      </c>
      <c r="BG46" s="442" t="n">
        <v>0</v>
      </c>
      <c r="BH46" s="442" t="n">
        <v>0</v>
      </c>
      <c r="BI46" s="442" t="n">
        <v>0</v>
      </c>
      <c r="BJ46" s="443" t="n">
        <v>0</v>
      </c>
      <c r="BK46" s="443" t="n">
        <v>0.0886841824019012</v>
      </c>
      <c r="BL46" s="443" t="n">
        <v>0.0430209289276625</v>
      </c>
      <c r="BM46" s="443" t="n">
        <v>0</v>
      </c>
      <c r="BN46" s="443" t="n">
        <v>1.1717184829135</v>
      </c>
      <c r="BO46" s="442" t="n">
        <v>0</v>
      </c>
      <c r="BP46" s="442" t="n">
        <v>0</v>
      </c>
      <c r="BQ46" s="442" t="n">
        <v>0</v>
      </c>
      <c r="BR46" s="442" t="n">
        <v>0</v>
      </c>
      <c r="BS46" s="443" t="n">
        <v>0</v>
      </c>
      <c r="BT46" s="443" t="n">
        <v>0.0886841824019012</v>
      </c>
      <c r="BU46" s="443" t="n">
        <v>0.0430209289276625</v>
      </c>
      <c r="BV46" s="443" t="n">
        <v>0</v>
      </c>
      <c r="BW46" s="443" t="n">
        <v>1.1717184829135</v>
      </c>
    </row>
    <row r="47" customFormat="false" ht="14.5" hidden="false" customHeight="false" outlineLevel="0" collapsed="false">
      <c r="B47" s="445" t="s">
        <v>677</v>
      </c>
      <c r="C47" s="393" t="s">
        <v>808</v>
      </c>
      <c r="D47" s="442" t="n">
        <v>0</v>
      </c>
      <c r="E47" s="442" t="n">
        <v>0</v>
      </c>
      <c r="F47" s="442" t="n">
        <v>0</v>
      </c>
      <c r="G47" s="442" t="n">
        <v>0</v>
      </c>
      <c r="H47" s="443" t="n">
        <v>0</v>
      </c>
      <c r="I47" s="443" t="n">
        <v>0.0742735801463711</v>
      </c>
      <c r="J47" s="443" t="n">
        <v>0.04422</v>
      </c>
      <c r="K47" s="443" t="n">
        <v>0</v>
      </c>
      <c r="L47" s="443" t="n">
        <v>0</v>
      </c>
      <c r="M47" s="443" t="n">
        <v>0</v>
      </c>
      <c r="N47" s="443" t="n">
        <v>0</v>
      </c>
      <c r="O47" s="443" t="n">
        <v>0</v>
      </c>
      <c r="P47" s="443" t="n">
        <v>0</v>
      </c>
      <c r="Q47" s="443" t="n">
        <v>0</v>
      </c>
      <c r="R47" s="443" t="n">
        <v>0.0725863682037231</v>
      </c>
      <c r="S47" s="443" t="n">
        <v>0.0432154905639817</v>
      </c>
      <c r="T47" s="443" t="n">
        <v>0</v>
      </c>
      <c r="U47" s="443" t="n">
        <v>0</v>
      </c>
      <c r="V47" s="443" t="n">
        <v>0</v>
      </c>
      <c r="W47" s="443" t="n">
        <v>0</v>
      </c>
      <c r="X47" s="443" t="n">
        <v>0</v>
      </c>
      <c r="Y47" s="443" t="n">
        <v>0</v>
      </c>
      <c r="Z47" s="443" t="n">
        <v>0</v>
      </c>
      <c r="AA47" s="443" t="n">
        <v>0.0716672374267695</v>
      </c>
      <c r="AB47" s="443" t="n">
        <v>0.0426682709082603</v>
      </c>
      <c r="AC47" s="443" t="n">
        <v>0</v>
      </c>
      <c r="AD47" s="443" t="n">
        <v>0</v>
      </c>
      <c r="AE47" s="443" t="n">
        <f aca="false">(V47+M47)/2</f>
        <v>0</v>
      </c>
      <c r="AF47" s="443" t="n">
        <f aca="false">(W47+N47)/2</f>
        <v>0</v>
      </c>
      <c r="AG47" s="443" t="n">
        <f aca="false">(X47+O47)/2</f>
        <v>0</v>
      </c>
      <c r="AH47" s="443" t="n">
        <f aca="false">(Y47+P47)/2</f>
        <v>0</v>
      </c>
      <c r="AI47" s="443" t="n">
        <f aca="false">(Z47+Q47)/2</f>
        <v>0</v>
      </c>
      <c r="AJ47" s="443" t="n">
        <f aca="false">(AA47+R47)/2</f>
        <v>0.0721268028152463</v>
      </c>
      <c r="AK47" s="443" t="n">
        <f aca="false">(AB47+S47)/2</f>
        <v>0.042941880736121</v>
      </c>
      <c r="AL47" s="443" t="n">
        <f aca="false">(AC47+T47)/2</f>
        <v>0</v>
      </c>
      <c r="AM47" s="443" t="n">
        <f aca="false">(AD47+U47)/2</f>
        <v>0</v>
      </c>
      <c r="AN47" s="442" t="n">
        <v>0</v>
      </c>
      <c r="AO47" s="442" t="n">
        <v>0</v>
      </c>
      <c r="AP47" s="442" t="n">
        <v>0</v>
      </c>
      <c r="AQ47" s="442" t="n">
        <v>0</v>
      </c>
      <c r="AR47" s="443" t="n">
        <v>0</v>
      </c>
      <c r="AS47" s="443" t="n">
        <v>0.0614924774981562</v>
      </c>
      <c r="AT47" s="443" t="n">
        <v>0.0366105599004349</v>
      </c>
      <c r="AU47" s="443" t="n">
        <v>0</v>
      </c>
      <c r="AV47" s="443" t="n">
        <v>0</v>
      </c>
      <c r="AW47" s="442" t="n">
        <v>0</v>
      </c>
      <c r="AX47" s="442" t="n">
        <v>0</v>
      </c>
      <c r="AY47" s="442" t="n">
        <v>0</v>
      </c>
      <c r="AZ47" s="442" t="n">
        <v>0</v>
      </c>
      <c r="BA47" s="443" t="n">
        <v>0</v>
      </c>
      <c r="BB47" s="443" t="n">
        <v>0.0477635676718445</v>
      </c>
      <c r="BC47" s="443" t="n">
        <v>0.0284368271771286</v>
      </c>
      <c r="BD47" s="443" t="n">
        <v>0</v>
      </c>
      <c r="BE47" s="443" t="n">
        <v>0</v>
      </c>
      <c r="BF47" s="442" t="n">
        <v>0</v>
      </c>
      <c r="BG47" s="442" t="n">
        <v>0</v>
      </c>
      <c r="BH47" s="442" t="n">
        <v>0</v>
      </c>
      <c r="BI47" s="442" t="n">
        <v>0</v>
      </c>
      <c r="BJ47" s="443" t="n">
        <v>0</v>
      </c>
      <c r="BK47" s="443" t="n">
        <v>0.0533999755108152</v>
      </c>
      <c r="BL47" s="443" t="n">
        <v>0.031792555474433</v>
      </c>
      <c r="BM47" s="443" t="n">
        <v>0</v>
      </c>
      <c r="BN47" s="443" t="n">
        <v>0</v>
      </c>
      <c r="BO47" s="442" t="n">
        <v>0</v>
      </c>
      <c r="BP47" s="442" t="n">
        <v>0</v>
      </c>
      <c r="BQ47" s="442" t="n">
        <v>0</v>
      </c>
      <c r="BR47" s="442" t="n">
        <v>0</v>
      </c>
      <c r="BS47" s="443" t="n">
        <v>0</v>
      </c>
      <c r="BT47" s="443" t="n">
        <v>0.0533999755108152</v>
      </c>
      <c r="BU47" s="443" t="n">
        <v>0.031792555474433</v>
      </c>
      <c r="BV47" s="443" t="n">
        <v>0</v>
      </c>
      <c r="BW47" s="443" t="n">
        <v>0</v>
      </c>
    </row>
    <row r="48" customFormat="false" ht="14.5" hidden="false" customHeight="false" outlineLevel="0" collapsed="false">
      <c r="B48" s="446" t="s">
        <v>843</v>
      </c>
      <c r="C48" s="393" t="s">
        <v>808</v>
      </c>
      <c r="D48" s="442" t="n">
        <v>0</v>
      </c>
      <c r="E48" s="442" t="n">
        <v>0</v>
      </c>
      <c r="F48" s="442" t="n">
        <v>0</v>
      </c>
      <c r="G48" s="442" t="n">
        <v>0</v>
      </c>
      <c r="H48" s="443" t="n">
        <v>0</v>
      </c>
      <c r="I48" s="443" t="n">
        <v>0</v>
      </c>
      <c r="J48" s="443" t="n">
        <v>0</v>
      </c>
      <c r="K48" s="443" t="n">
        <v>0</v>
      </c>
      <c r="L48" s="443" t="n">
        <v>0.34892</v>
      </c>
      <c r="M48" s="443" t="n">
        <v>0</v>
      </c>
      <c r="N48" s="443" t="n">
        <v>0</v>
      </c>
      <c r="O48" s="443" t="n">
        <v>0</v>
      </c>
      <c r="P48" s="443" t="n">
        <v>0</v>
      </c>
      <c r="Q48" s="443" t="n">
        <v>0</v>
      </c>
      <c r="R48" s="443" t="n">
        <v>0</v>
      </c>
      <c r="S48" s="443" t="n">
        <v>0</v>
      </c>
      <c r="T48" s="443" t="n">
        <v>0</v>
      </c>
      <c r="U48" s="443" t="n">
        <v>0.34892</v>
      </c>
      <c r="V48" s="443" t="n">
        <v>0</v>
      </c>
      <c r="W48" s="443" t="n">
        <v>0</v>
      </c>
      <c r="X48" s="443" t="n">
        <v>0</v>
      </c>
      <c r="Y48" s="443" t="n">
        <v>0</v>
      </c>
      <c r="Z48" s="443" t="n">
        <v>0</v>
      </c>
      <c r="AA48" s="443" t="n">
        <v>0</v>
      </c>
      <c r="AB48" s="443" t="n">
        <v>0</v>
      </c>
      <c r="AC48" s="443" t="n">
        <v>0</v>
      </c>
      <c r="AD48" s="443" t="n">
        <v>0.34892</v>
      </c>
      <c r="AE48" s="443" t="n">
        <f aca="false">(V48+M48)/2</f>
        <v>0</v>
      </c>
      <c r="AF48" s="443" t="n">
        <f aca="false">(W48+N48)/2</f>
        <v>0</v>
      </c>
      <c r="AG48" s="443" t="n">
        <f aca="false">(X48+O48)/2</f>
        <v>0</v>
      </c>
      <c r="AH48" s="443" t="n">
        <f aca="false">(Y48+P48)/2</f>
        <v>0</v>
      </c>
      <c r="AI48" s="443" t="n">
        <f aca="false">(Z48+Q48)/2</f>
        <v>0</v>
      </c>
      <c r="AJ48" s="443" t="n">
        <f aca="false">(AA48+R48)/2</f>
        <v>0</v>
      </c>
      <c r="AK48" s="443" t="n">
        <f aca="false">(AB48+S48)/2</f>
        <v>0</v>
      </c>
      <c r="AL48" s="443" t="n">
        <f aca="false">(AC48+T48)/2</f>
        <v>0</v>
      </c>
      <c r="AM48" s="443" t="n">
        <f aca="false">(AD48+U48)/2</f>
        <v>0.34892</v>
      </c>
      <c r="AN48" s="442" t="n">
        <v>0</v>
      </c>
      <c r="AO48" s="442" t="n">
        <v>0</v>
      </c>
      <c r="AP48" s="442" t="n">
        <v>0</v>
      </c>
      <c r="AQ48" s="442" t="n">
        <v>0</v>
      </c>
      <c r="AR48" s="443" t="n">
        <v>0</v>
      </c>
      <c r="AS48" s="443" t="n">
        <v>0</v>
      </c>
      <c r="AT48" s="443" t="n">
        <v>0</v>
      </c>
      <c r="AU48" s="443" t="n">
        <v>0</v>
      </c>
      <c r="AV48" s="443" t="n">
        <v>0.34892</v>
      </c>
      <c r="AW48" s="442" t="n">
        <v>0</v>
      </c>
      <c r="AX48" s="442" t="n">
        <v>0</v>
      </c>
      <c r="AY48" s="442" t="n">
        <v>0</v>
      </c>
      <c r="AZ48" s="442" t="n">
        <v>0</v>
      </c>
      <c r="BA48" s="443" t="n">
        <v>0</v>
      </c>
      <c r="BB48" s="443" t="n">
        <v>0</v>
      </c>
      <c r="BC48" s="443" t="n">
        <v>0</v>
      </c>
      <c r="BD48" s="443" t="n">
        <v>0</v>
      </c>
      <c r="BE48" s="443" t="n">
        <v>0.34892</v>
      </c>
      <c r="BF48" s="442" t="n">
        <v>0</v>
      </c>
      <c r="BG48" s="442" t="n">
        <v>0</v>
      </c>
      <c r="BH48" s="442" t="n">
        <v>0</v>
      </c>
      <c r="BI48" s="442" t="n">
        <v>0</v>
      </c>
      <c r="BJ48" s="443" t="n">
        <v>0</v>
      </c>
      <c r="BK48" s="443" t="n">
        <v>0</v>
      </c>
      <c r="BL48" s="443" t="n">
        <v>0</v>
      </c>
      <c r="BM48" s="443" t="n">
        <v>0</v>
      </c>
      <c r="BN48" s="443" t="n">
        <v>0.34892</v>
      </c>
      <c r="BO48" s="442" t="n">
        <v>0</v>
      </c>
      <c r="BP48" s="442" t="n">
        <v>0</v>
      </c>
      <c r="BQ48" s="442" t="n">
        <v>0</v>
      </c>
      <c r="BR48" s="442" t="n">
        <v>0</v>
      </c>
      <c r="BS48" s="443" t="n">
        <v>0</v>
      </c>
      <c r="BT48" s="443" t="n">
        <v>0</v>
      </c>
      <c r="BU48" s="443" t="n">
        <v>0</v>
      </c>
      <c r="BV48" s="443" t="n">
        <v>0</v>
      </c>
      <c r="BW48" s="443" t="n">
        <v>0.34892</v>
      </c>
    </row>
    <row r="49" customFormat="false" ht="14.5" hidden="false" customHeight="false" outlineLevel="0" collapsed="false">
      <c r="B49" s="446" t="s">
        <v>844</v>
      </c>
      <c r="C49" s="393" t="s">
        <v>808</v>
      </c>
      <c r="D49" s="442" t="n">
        <v>0</v>
      </c>
      <c r="E49" s="442" t="n">
        <v>0</v>
      </c>
      <c r="F49" s="442" t="n">
        <v>0</v>
      </c>
      <c r="G49" s="442" t="n">
        <v>0</v>
      </c>
      <c r="H49" s="443" t="n">
        <v>0</v>
      </c>
      <c r="I49" s="443" t="n">
        <v>0</v>
      </c>
      <c r="J49" s="443" t="n">
        <v>0</v>
      </c>
      <c r="K49" s="443" t="n">
        <v>0</v>
      </c>
      <c r="L49" s="443" t="n">
        <v>0</v>
      </c>
      <c r="M49" s="443" t="n">
        <v>0</v>
      </c>
      <c r="N49" s="443" t="n">
        <v>0</v>
      </c>
      <c r="O49" s="443" t="n">
        <v>0</v>
      </c>
      <c r="P49" s="443" t="n">
        <v>0</v>
      </c>
      <c r="Q49" s="443" t="n">
        <v>0</v>
      </c>
      <c r="R49" s="443" t="n">
        <v>0</v>
      </c>
      <c r="S49" s="443" t="n">
        <v>0</v>
      </c>
      <c r="T49" s="443" t="n">
        <v>0</v>
      </c>
      <c r="U49" s="443" t="n">
        <v>0</v>
      </c>
      <c r="V49" s="443" t="n">
        <v>0</v>
      </c>
      <c r="W49" s="443" t="n">
        <v>0</v>
      </c>
      <c r="X49" s="443" t="n">
        <v>0</v>
      </c>
      <c r="Y49" s="443" t="n">
        <v>0</v>
      </c>
      <c r="Z49" s="443" t="n">
        <v>0</v>
      </c>
      <c r="AA49" s="443" t="n">
        <v>0</v>
      </c>
      <c r="AB49" s="443" t="n">
        <v>0</v>
      </c>
      <c r="AC49" s="443" t="n">
        <v>0</v>
      </c>
      <c r="AD49" s="443" t="n">
        <v>0</v>
      </c>
      <c r="AE49" s="443" t="n">
        <f aca="false">(V49+M49)/2</f>
        <v>0</v>
      </c>
      <c r="AF49" s="443" t="n">
        <f aca="false">(W49+N49)/2</f>
        <v>0</v>
      </c>
      <c r="AG49" s="443" t="n">
        <f aca="false">(X49+O49)/2</f>
        <v>0</v>
      </c>
      <c r="AH49" s="443" t="n">
        <f aca="false">(Y49+P49)/2</f>
        <v>0</v>
      </c>
      <c r="AI49" s="443" t="n">
        <f aca="false">(Z49+Q49)/2</f>
        <v>0</v>
      </c>
      <c r="AJ49" s="443" t="n">
        <f aca="false">(AA49+R49)/2</f>
        <v>0</v>
      </c>
      <c r="AK49" s="443" t="n">
        <f aca="false">(AB49+S49)/2</f>
        <v>0</v>
      </c>
      <c r="AL49" s="443" t="n">
        <f aca="false">(AC49+T49)/2</f>
        <v>0</v>
      </c>
      <c r="AM49" s="443" t="n">
        <f aca="false">(AD49+U49)/2</f>
        <v>0</v>
      </c>
      <c r="AN49" s="442" t="n">
        <v>0</v>
      </c>
      <c r="AO49" s="442" t="n">
        <v>0</v>
      </c>
      <c r="AP49" s="442" t="n">
        <v>0</v>
      </c>
      <c r="AQ49" s="442" t="n">
        <v>0</v>
      </c>
      <c r="AR49" s="443" t="n">
        <v>0</v>
      </c>
      <c r="AS49" s="443" t="n">
        <v>0</v>
      </c>
      <c r="AT49" s="443" t="n">
        <v>0</v>
      </c>
      <c r="AU49" s="443" t="n">
        <v>0</v>
      </c>
      <c r="AV49" s="443" t="n">
        <v>0</v>
      </c>
      <c r="AW49" s="442" t="n">
        <v>0</v>
      </c>
      <c r="AX49" s="442" t="n">
        <v>0</v>
      </c>
      <c r="AY49" s="442" t="n">
        <v>0</v>
      </c>
      <c r="AZ49" s="442" t="n">
        <v>0</v>
      </c>
      <c r="BA49" s="443" t="n">
        <v>0</v>
      </c>
      <c r="BB49" s="443" t="n">
        <v>0</v>
      </c>
      <c r="BC49" s="443" t="n">
        <v>0</v>
      </c>
      <c r="BD49" s="443" t="n">
        <v>0</v>
      </c>
      <c r="BE49" s="443" t="n">
        <v>0</v>
      </c>
      <c r="BF49" s="442" t="n">
        <v>0</v>
      </c>
      <c r="BG49" s="442" t="n">
        <v>0</v>
      </c>
      <c r="BH49" s="442" t="n">
        <v>0</v>
      </c>
      <c r="BI49" s="442" t="n">
        <v>0</v>
      </c>
      <c r="BJ49" s="443" t="n">
        <v>0</v>
      </c>
      <c r="BK49" s="443" t="n">
        <v>0</v>
      </c>
      <c r="BL49" s="443" t="n">
        <v>0</v>
      </c>
      <c r="BM49" s="443" t="n">
        <v>0</v>
      </c>
      <c r="BN49" s="443" t="n">
        <v>0</v>
      </c>
      <c r="BO49" s="442" t="n">
        <v>0</v>
      </c>
      <c r="BP49" s="442" t="n">
        <v>0</v>
      </c>
      <c r="BQ49" s="442" t="n">
        <v>0</v>
      </c>
      <c r="BR49" s="442" t="n">
        <v>0</v>
      </c>
      <c r="BS49" s="443" t="n">
        <v>0</v>
      </c>
      <c r="BT49" s="443" t="n">
        <v>0</v>
      </c>
      <c r="BU49" s="443" t="n">
        <v>0</v>
      </c>
      <c r="BV49" s="443" t="n">
        <v>0</v>
      </c>
      <c r="BW49" s="443" t="n">
        <v>0</v>
      </c>
    </row>
    <row r="50" customFormat="false" ht="14.5" hidden="false" customHeight="false" outlineLevel="0" collapsed="false">
      <c r="B50" s="446" t="s">
        <v>845</v>
      </c>
      <c r="C50" s="393" t="s">
        <v>808</v>
      </c>
      <c r="D50" s="442" t="n">
        <v>0</v>
      </c>
      <c r="E50" s="442" t="n">
        <v>0</v>
      </c>
      <c r="F50" s="442" t="n">
        <v>0</v>
      </c>
      <c r="G50" s="442" t="n">
        <v>0</v>
      </c>
      <c r="H50" s="443" t="n">
        <v>0.0675361763445246</v>
      </c>
      <c r="I50" s="443" t="n">
        <v>-0.00903936370003312</v>
      </c>
      <c r="J50" s="443" t="n">
        <v>0.247593282681999</v>
      </c>
      <c r="K50" s="443" t="n">
        <v>1.073</v>
      </c>
      <c r="L50" s="443" t="n">
        <v>0.392837534862798</v>
      </c>
      <c r="M50" s="443" t="n">
        <v>0</v>
      </c>
      <c r="N50" s="443" t="n">
        <v>0</v>
      </c>
      <c r="O50" s="443" t="n">
        <v>0</v>
      </c>
      <c r="P50" s="443" t="n">
        <v>0</v>
      </c>
      <c r="Q50" s="443" t="n">
        <v>0.064915413810267</v>
      </c>
      <c r="R50" s="443" t="n">
        <v>-0.00917591800019633</v>
      </c>
      <c r="S50" s="443" t="n">
        <v>0.267268284926067</v>
      </c>
      <c r="T50" s="443" t="n">
        <v>1.13594553057574</v>
      </c>
      <c r="U50" s="443" t="n">
        <v>0.396834732233504</v>
      </c>
      <c r="V50" s="443" t="n">
        <v>0</v>
      </c>
      <c r="W50" s="443" t="n">
        <v>0</v>
      </c>
      <c r="X50" s="443" t="n">
        <v>0</v>
      </c>
      <c r="Y50" s="443" t="n">
        <v>0</v>
      </c>
      <c r="Z50" s="443" t="n">
        <v>0.0611634222276537</v>
      </c>
      <c r="AA50" s="443" t="n">
        <v>-0.00896754772067852</v>
      </c>
      <c r="AB50" s="443" t="n">
        <v>0.251926027363631</v>
      </c>
      <c r="AC50" s="443" t="n">
        <v>1.15307593404851</v>
      </c>
      <c r="AD50" s="443" t="n">
        <v>0.39129634450637</v>
      </c>
      <c r="AE50" s="443" t="n">
        <f aca="false">(V50+M50)/2</f>
        <v>0</v>
      </c>
      <c r="AF50" s="443" t="n">
        <f aca="false">(W50+N50)/2</f>
        <v>0</v>
      </c>
      <c r="AG50" s="443" t="n">
        <f aca="false">(X50+O50)/2</f>
        <v>0</v>
      </c>
      <c r="AH50" s="443" t="n">
        <f aca="false">(Y50+P50)/2</f>
        <v>0</v>
      </c>
      <c r="AI50" s="443" t="n">
        <f aca="false">(Z50+Q50)/2</f>
        <v>0.0630394180189603</v>
      </c>
      <c r="AJ50" s="443" t="n">
        <f aca="false">(AA50+R50)/2</f>
        <v>-0.00907173286043743</v>
      </c>
      <c r="AK50" s="443" t="n">
        <f aca="false">(AB50+S50)/2</f>
        <v>0.259597156144849</v>
      </c>
      <c r="AL50" s="443" t="n">
        <f aca="false">(AC50+T50)/2</f>
        <v>1.14451073231212</v>
      </c>
      <c r="AM50" s="443" t="n">
        <f aca="false">(AD50+U50)/2</f>
        <v>0.394065538369937</v>
      </c>
      <c r="AN50" s="442" t="n">
        <v>0</v>
      </c>
      <c r="AO50" s="442" t="n">
        <v>0</v>
      </c>
      <c r="AP50" s="442" t="n">
        <v>0</v>
      </c>
      <c r="AQ50" s="442" t="n">
        <v>0</v>
      </c>
      <c r="AR50" s="443" t="n">
        <v>0.0465253821664486</v>
      </c>
      <c r="AS50" s="443" t="n">
        <v>-0.00881570204854274</v>
      </c>
      <c r="AT50" s="443" t="n">
        <v>0.181243684981207</v>
      </c>
      <c r="AU50" s="443" t="n">
        <v>1.33651885995053</v>
      </c>
      <c r="AV50" s="443" t="n">
        <v>0.38743641009104</v>
      </c>
      <c r="AW50" s="442" t="n">
        <v>0</v>
      </c>
      <c r="AX50" s="442" t="n">
        <v>0</v>
      </c>
      <c r="AY50" s="442" t="n">
        <v>0</v>
      </c>
      <c r="AZ50" s="442" t="n">
        <v>0</v>
      </c>
      <c r="BA50" s="443" t="n">
        <v>0.0258489501786052</v>
      </c>
      <c r="BB50" s="443" t="n">
        <v>-0.00635865159862796</v>
      </c>
      <c r="BC50" s="443" t="n">
        <v>0.117180452200342</v>
      </c>
      <c r="BD50" s="443" t="n">
        <v>1.72780992009416</v>
      </c>
      <c r="BE50" s="443" t="n">
        <v>0.346148987071461</v>
      </c>
      <c r="BF50" s="442" t="n">
        <v>0</v>
      </c>
      <c r="BG50" s="442" t="n">
        <v>0</v>
      </c>
      <c r="BH50" s="442" t="n">
        <v>0</v>
      </c>
      <c r="BI50" s="442" t="n">
        <v>0</v>
      </c>
      <c r="BJ50" s="443" t="n">
        <v>0.0247257469759798</v>
      </c>
      <c r="BK50" s="443" t="n">
        <v>-0.00622427229409932</v>
      </c>
      <c r="BL50" s="443" t="n">
        <v>0.115699266051426</v>
      </c>
      <c r="BM50" s="443" t="n">
        <v>1.48031114152439</v>
      </c>
      <c r="BN50" s="443" t="n">
        <v>0.343860864785431</v>
      </c>
      <c r="BO50" s="442" t="n">
        <v>0</v>
      </c>
      <c r="BP50" s="442" t="n">
        <v>0</v>
      </c>
      <c r="BQ50" s="442" t="n">
        <v>0</v>
      </c>
      <c r="BR50" s="442" t="n">
        <v>0</v>
      </c>
      <c r="BS50" s="443" t="n">
        <v>0.0247257469759798</v>
      </c>
      <c r="BT50" s="443" t="n">
        <v>-0.00622427229409932</v>
      </c>
      <c r="BU50" s="443" t="n">
        <v>0.115699266051426</v>
      </c>
      <c r="BV50" s="447" t="n">
        <v>1.48031114152439</v>
      </c>
      <c r="BW50" s="443" t="n">
        <v>0.343860864785431</v>
      </c>
    </row>
    <row r="51" customFormat="false" ht="14.5" hidden="false" customHeight="false" outlineLevel="0" collapsed="false">
      <c r="C51" s="448"/>
      <c r="D51" s="448"/>
      <c r="E51" s="448"/>
      <c r="F51" s="448"/>
      <c r="G51" s="448"/>
      <c r="H51" s="448"/>
      <c r="I51" s="448"/>
      <c r="J51" s="448"/>
      <c r="K51" s="448"/>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W51" s="80"/>
      <c r="AX51" s="80"/>
      <c r="AY51" s="80"/>
      <c r="AZ51" s="80"/>
      <c r="BA51" s="80"/>
      <c r="BB51" s="80"/>
      <c r="BC51" s="80"/>
      <c r="BD51" s="80"/>
      <c r="BF51" s="80"/>
      <c r="BG51" s="80"/>
      <c r="BH51" s="80"/>
      <c r="BI51" s="80"/>
      <c r="BJ51" s="80"/>
      <c r="BK51" s="80"/>
      <c r="BL51" s="80"/>
      <c r="BM51" s="80"/>
      <c r="BO51" s="80"/>
      <c r="BP51" s="80"/>
      <c r="BQ51" s="80"/>
      <c r="BR51" s="80"/>
      <c r="BS51" s="80"/>
      <c r="BT51" s="80"/>
      <c r="BU51" s="80"/>
      <c r="BV51" s="80"/>
    </row>
    <row r="52" customFormat="false" ht="14.5" hidden="false" customHeight="false" outlineLevel="0" collapsed="false">
      <c r="B52" s="449" t="s">
        <v>52</v>
      </c>
      <c r="D52" s="80" t="n">
        <f aca="false">SUM(D39+D37+D33+D26+D22+D17+D14+D12+D6)</f>
        <v>12.4527173934811</v>
      </c>
      <c r="E52" s="80" t="n">
        <f aca="false">SUM(E39+E37+E33+E26+E22+E17+E14+E12+E6)</f>
        <v>1.36665209900678</v>
      </c>
      <c r="F52" s="80" t="n">
        <f aca="false">SUM(F39+F37+F33+F26+F22+F17+F14+F12+F6)</f>
        <v>4.930893985492</v>
      </c>
      <c r="G52" s="80" t="n">
        <f aca="false">SUM(G39+G37+G33+G26+G22+G17+G14+G12+G6)</f>
        <v>13.3075467951616</v>
      </c>
      <c r="H52" s="80" t="n">
        <f aca="false">SUM(H39+H37+H33+H26+H22+H17+H14+H12+H6)</f>
        <v>2.15476227413165</v>
      </c>
      <c r="I52" s="80" t="n">
        <f aca="false">SUM(I39+I37+I33+I26+I22+I17+I14+I12+I6)</f>
        <v>1.12758378603706</v>
      </c>
      <c r="J52" s="80" t="n">
        <f aca="false">SUM(J39+J37+J33+J26+J22+J17+J14+J12+J6)</f>
        <v>3.20181831480176</v>
      </c>
      <c r="K52" s="80" t="n">
        <f aca="false">SUM(K39+K37+K33+K26+K22+K17+K14+K12+K6)</f>
        <v>8.346785</v>
      </c>
      <c r="L52" s="80" t="n">
        <f aca="false">SUM(L39+L37+L33+L26+L22+L17+L14+L12+L6)</f>
        <v>3.75976923076923</v>
      </c>
      <c r="M52" s="80" t="n">
        <f aca="false">SUM(M39+M37+M33+M26+M22+M17+M14+M12+M6)</f>
        <v>12.364224140895</v>
      </c>
      <c r="N52" s="80" t="n">
        <f aca="false">SUM(N39+N37+N33+N26+N22+N17+N14+N12+N6)</f>
        <v>1.44780839179386</v>
      </c>
      <c r="O52" s="80" t="n">
        <f aca="false">SUM(O39+O37+O33+O26+O22+O17+O14+O12+O6)</f>
        <v>4.91439329541686</v>
      </c>
      <c r="P52" s="80" t="n">
        <f aca="false">SUM(P39+P37+P33+P26+P22+P17+P14+P12+P6)</f>
        <v>12.7800389170497</v>
      </c>
      <c r="Q52" s="80" t="n">
        <f aca="false">SUM(Q39+Q37+Q33+Q26+Q22+Q17+Q14+Q12+Q6)</f>
        <v>2.14081040233113</v>
      </c>
      <c r="R52" s="80" t="n">
        <f aca="false">SUM(R39+R37+R33+R26+R22+R17+R14+R12+R6)</f>
        <v>1.12630043737087</v>
      </c>
      <c r="S52" s="80" t="n">
        <f aca="false">SUM(S39+S37+S33+S26+S22+S17+S14+S12+S6)</f>
        <v>3.3011193757259</v>
      </c>
      <c r="T52" s="80" t="n">
        <f aca="false">SUM(T39+T37+T33+T26+T22+T17+T14+T12+T6)</f>
        <v>8.75327247490664</v>
      </c>
      <c r="U52" s="80" t="n">
        <f aca="false">SUM(U39+U37+U33+U26+U22+U17+U14+U12+U6)</f>
        <v>3.7980256048424</v>
      </c>
      <c r="V52" s="80" t="n">
        <f aca="false">SUM(V39+V37+V33+V26+V22+V17+V14+V12+V6)</f>
        <v>12.1175438008188</v>
      </c>
      <c r="W52" s="80" t="n">
        <f aca="false">SUM(W39+W37+W33+W26+W22+W17+W14+W12+W6)</f>
        <v>1.4361687976265</v>
      </c>
      <c r="X52" s="80" t="n">
        <f aca="false">SUM(X39+X37+X33+X26+X22+X17+X14+X12+X6)</f>
        <v>4.83975949076098</v>
      </c>
      <c r="Y52" s="80" t="n">
        <f aca="false">SUM(Y39+Y37+Y33+Y26+Y22+Y17+Y14+Y12+Y6)</f>
        <v>12.1570939074735</v>
      </c>
      <c r="Z52" s="80" t="n">
        <f aca="false">SUM(Z39+Z37+Z33+Z26+Z22+Z17+Z14+Z12+Z6)</f>
        <v>2.07172123353151</v>
      </c>
      <c r="AA52" s="80" t="n">
        <f aca="false">SUM(AA39+AA37+AA33+AA26+AA22+AA17+AA14+AA12+AA6)</f>
        <v>1.08780307680667</v>
      </c>
      <c r="AB52" s="80" t="n">
        <f aca="false">SUM(AB39+AB37+AB33+AB26+AB22+AB17+AB14+AB12+AB6)</f>
        <v>3.0587007522347</v>
      </c>
      <c r="AC52" s="80" t="n">
        <f aca="false">SUM(AC39+AC37+AC33+AC26+AC22+AC17+AC14+AC12+AC6)</f>
        <v>8.65075640550712</v>
      </c>
      <c r="AD52" s="80" t="n">
        <f aca="false">SUM(AD39+AD37+AD33+AD26+AD22+AD17+AD14+AD12+AD6)</f>
        <v>3.74501880707848</v>
      </c>
      <c r="AE52" s="80" t="n">
        <f aca="false">SUM(AE39+AE37+AE33+AE26+AE22+AE17+AE14+AE12+AE6)</f>
        <v>12.2408839708569</v>
      </c>
      <c r="AF52" s="80" t="n">
        <f aca="false">SUM(AF39+AF37+AF33+AF26+AF22+AF17+AF14+AF12+AF6)</f>
        <v>1.44198859471018</v>
      </c>
      <c r="AG52" s="80" t="n">
        <f aca="false">SUM(AG39+AG37+AG33+AG26+AG22+AG17+AG14+AG12+AG6)</f>
        <v>4.87707639308892</v>
      </c>
      <c r="AH52" s="80" t="n">
        <f aca="false">SUM(AH39+AH37+AH33+AH26+AH22+AH17+AH14+AH12+AH6)</f>
        <v>12.4685664122616</v>
      </c>
      <c r="AI52" s="80" t="n">
        <f aca="false">SUM(AI39+AI37+AI33+AI26+AI22+AI17+AI14+AI12+AI6)</f>
        <v>2.10626581793132</v>
      </c>
      <c r="AJ52" s="80" t="n">
        <f aca="false">SUM(AJ39+AJ37+AJ33+AJ26+AJ22+AJ17+AJ14+AJ12+AJ6)</f>
        <v>1.10705175708877</v>
      </c>
      <c r="AK52" s="80" t="n">
        <f aca="false">SUM(AK39+AK37+AK33+AK26+AK22+AK17+AK14+AK12+AK6)</f>
        <v>3.1799100639803</v>
      </c>
      <c r="AL52" s="80" t="n">
        <f aca="false">SUM(AL39+AL37+AL33+AL26+AL22+AL17+AL14+AL12+AL6)</f>
        <v>8.70201444020688</v>
      </c>
      <c r="AM52" s="80" t="n">
        <f aca="false">SUM(AM39+AM37+AM33+AM26+AM22+AM17+AM14+AM12+AM6)</f>
        <v>3.77152220596044</v>
      </c>
      <c r="AN52" s="80" t="n">
        <f aca="false">SUM(AN39+AN37+AN33+AN26+AN22+AN17+AN14+AN12+AN6)</f>
        <v>11.522328188409</v>
      </c>
      <c r="AO52" s="80" t="n">
        <f aca="false">SUM(AO39+AO37+AO33+AO26+AO22+AO17+AO14+AO12+AO6)</f>
        <v>1.64484567606376</v>
      </c>
      <c r="AP52" s="80" t="n">
        <f aca="false">SUM(AP39+AP37+AP33+AP26+AP22+AP17+AP14+AP12+AP6)</f>
        <v>4.61675521394758</v>
      </c>
      <c r="AQ52" s="80" t="n">
        <f aca="false">SUM(AQ39+AQ37+AQ33+AQ26+AQ22+AQ17+AQ14+AQ12+AQ6)</f>
        <v>9.67072386148369</v>
      </c>
      <c r="AR52" s="80" t="n">
        <f aca="false">SUM(AR39+AR37+AR33+AR26+AR22+AR17+AR14+AR12+AR6)</f>
        <v>1.88400540376148</v>
      </c>
      <c r="AS52" s="80" t="n">
        <f aca="false">SUM(AS39+AS37+AS33+AS26+AS22+AS17+AS14+AS12+AS6)</f>
        <v>0.990135876077033</v>
      </c>
      <c r="AT52" s="80" t="n">
        <f aca="false">SUM(AT39+AT37+AT33+AT26+AT22+AT17+AT14+AT12+AT6)</f>
        <v>2.06519215839992</v>
      </c>
      <c r="AU52" s="80" t="n">
        <f aca="false">SUM(AU39+AU37+AU33+AU26+AU22+AU17+AU14+AU12+AU6)</f>
        <v>9.33153944383011</v>
      </c>
      <c r="AV52" s="80" t="n">
        <f aca="false">SUM(AV39+AV37+AV33+AV26+AV22+AV17+AV14+AV12+AV6)</f>
        <v>3.70807614921201</v>
      </c>
      <c r="AW52" s="80" t="n">
        <f aca="false">SUM(AW39+AW37+AW33+AW26+AW22+AW17+AW14+AW12+AW6)</f>
        <v>11.2108239819425</v>
      </c>
      <c r="AX52" s="80" t="n">
        <f aca="false">SUM(AX39+AX37+AX33+AX26+AX22+AX17+AX14+AX12+AX6)</f>
        <v>2.19286457701941</v>
      </c>
      <c r="AY52" s="80" t="n">
        <f aca="false">SUM(AY39+AY37+AY33+AY26+AY22+AY17+AY14+AY12+AY6)</f>
        <v>3.27917720710739</v>
      </c>
      <c r="AZ52" s="80" t="n">
        <f aca="false">SUM(AZ39+AZ37+AZ33+AZ26+AZ22+AZ17+AZ14+AZ12+AZ6)</f>
        <v>6.37729839788033</v>
      </c>
      <c r="BA52" s="80" t="n">
        <f aca="false">SUM(BA39+BA37+BA33+BA26+BA22+BA17+BA14+BA12+BA6)</f>
        <v>1.27476297298898</v>
      </c>
      <c r="BB52" s="80" t="n">
        <f aca="false">SUM(BB39+BB37+BB33+BB26+BB22+BB17+BB14+BB12+BB6)</f>
        <v>0.770421004050912</v>
      </c>
      <c r="BC52" s="80" t="n">
        <f aca="false">SUM(BC39+BC37+BC33+BC26+BC22+BC17+BC14+BC12+BC6)</f>
        <v>1.13710545157889</v>
      </c>
      <c r="BD52" s="80" t="n">
        <f aca="false">SUM(BD39+BD37+BD33+BD26+BD22+BD17+BD14+BD12+BD6)</f>
        <v>10.5028185335908</v>
      </c>
      <c r="BE52" s="80" t="n">
        <f aca="false">SUM(BE39+BE37+BE33+BE26+BE22+BE17+BE14+BE12+BE6)</f>
        <v>3.31292250703018</v>
      </c>
      <c r="BF52" s="80" t="n">
        <f aca="false">SUM(BF39+BF37+BF33+BF26+BF22+BF17+BF14+BF12+BF6)</f>
        <v>11.2024213802317</v>
      </c>
      <c r="BG52" s="80" t="n">
        <f aca="false">SUM(BG39+BG37+BG33+BG26+BG22+BG17+BG14+BG12+BG6)</f>
        <v>2.25357126213052</v>
      </c>
      <c r="BH52" s="80" t="n">
        <f aca="false">SUM(BH39+BH37+BH33+BH26+BH22+BH17+BH14+BH12+BH6)</f>
        <v>3.41960032475618</v>
      </c>
      <c r="BI52" s="80" t="n">
        <f aca="false">SUM(BI39+BI37+BI33+BI26+BI22+BI17+BI14+BI12+BI6)</f>
        <v>5.52919740203738</v>
      </c>
      <c r="BJ52" s="80" t="n">
        <f aca="false">SUM(BJ39+BJ37+BJ33+BJ26+BJ22+BJ17+BJ14+BJ12+BJ6)</f>
        <v>1.24097278854042</v>
      </c>
      <c r="BK52" s="80" t="n">
        <f aca="false">SUM(BK39+BK37+BK33+BK26+BK22+BK17+BK14+BK12+BK6)</f>
        <v>0.7654795913283</v>
      </c>
      <c r="BL52" s="80" t="n">
        <f aca="false">SUM(BL39+BL37+BL33+BL26+BL22+BL17+BL14+BL12+BL6)</f>
        <v>1.10615785320665</v>
      </c>
      <c r="BM52" s="80" t="n">
        <f aca="false">SUM(BM39+BM37+BM33+BM26+BM22+BM17+BM14+BM12+BM6)</f>
        <v>9.07392910629203</v>
      </c>
      <c r="BN52" s="80" t="n">
        <f aca="false">SUM(BN39+BN37+BN33+BN26+BN22+BN17+BN14+BN12+BN6)</f>
        <v>3.29102334769893</v>
      </c>
      <c r="BO52" s="80" t="n">
        <f aca="false">SUM(BO39+BO37+BO33+BO26+BO22+BO17+BO14+BO12+BO6)</f>
        <v>11.2024213802317</v>
      </c>
      <c r="BP52" s="80" t="n">
        <f aca="false">SUM(BP39+BP37+BP33+BP26+BP22+BP17+BP14+BP12+BP6)</f>
        <v>2.2210575996403</v>
      </c>
      <c r="BQ52" s="80" t="n">
        <f aca="false">SUM(BQ39+BQ37+BQ33+BQ26+BQ22+BQ17+BQ14+BQ12+BQ6)</f>
        <v>3.26097614417362</v>
      </c>
      <c r="BR52" s="80" t="n">
        <f aca="false">SUM(BR39+BR37+BR33+BR26+BR22+BR17+BR14+BR12+BR6)</f>
        <v>6.20832860947014</v>
      </c>
      <c r="BS52" s="80" t="n">
        <f aca="false">SUM(BS39+BS37+BS33+BS26+BS22+BS17+BS14+BS12+BS6)</f>
        <v>1.24097278854042</v>
      </c>
      <c r="BT52" s="80" t="n">
        <f aca="false">SUM(BT39+BT37+BT33+BT26+BT22+BT17+BT14+BT12+BT6)</f>
        <v>0.7654795913283</v>
      </c>
      <c r="BU52" s="80" t="n">
        <f aca="false">SUM(BU39+BU37+BU33+BU26+BU22+BU17+BU14+BU12+BU6)</f>
        <v>1.10615785320665</v>
      </c>
      <c r="BV52" s="80" t="n">
        <f aca="false">SUM(BV39+BV37+BV33+BV26+BV22+BV17+BV14+BV12+BV6)</f>
        <v>10.5655034999219</v>
      </c>
      <c r="BW52" s="80" t="n">
        <f aca="false">SUM(BW39+BW37+BW33+BW26+BW22+BW17+BW14+BW12+BW6)</f>
        <v>3.29102334769893</v>
      </c>
    </row>
    <row r="54" customFormat="false" ht="14.5" hidden="false" customHeight="false" outlineLevel="0" collapsed="false">
      <c r="D54" s="47" t="n">
        <v>2014</v>
      </c>
      <c r="E54" s="47" t="n">
        <v>2019</v>
      </c>
      <c r="F54" s="47" t="n">
        <v>2030</v>
      </c>
      <c r="G54" s="47" t="n">
        <v>2049</v>
      </c>
      <c r="H54" s="47" t="n">
        <v>2050</v>
      </c>
      <c r="BO54" s="80" t="n">
        <f aca="false">BO52-AW52</f>
        <v>-0.00840260171073126</v>
      </c>
      <c r="BP54" s="80" t="n">
        <f aca="false">BP52-AX52</f>
        <v>0.0281930226208953</v>
      </c>
      <c r="BQ54" s="80" t="n">
        <f aca="false">BQ52-AY52</f>
        <v>-0.0182010629337706</v>
      </c>
      <c r="BR54" s="80" t="n">
        <f aca="false">BR52-AZ52</f>
        <v>-0.168969788410187</v>
      </c>
      <c r="BS54" s="80" t="n">
        <f aca="false">BS52-BA52</f>
        <v>-0.0337901844485591</v>
      </c>
      <c r="BT54" s="80" t="n">
        <f aca="false">BT52-BB52</f>
        <v>-0.00494141272261173</v>
      </c>
      <c r="BU54" s="80" t="n">
        <f aca="false">BU52-BC52</f>
        <v>-0.0309475983722416</v>
      </c>
      <c r="BV54" s="80" t="n">
        <f aca="false">BV52-BD52</f>
        <v>0.0626849663311102</v>
      </c>
      <c r="BW54" s="80" t="n">
        <f aca="false">BW52-BE52</f>
        <v>-0.021899159331245</v>
      </c>
    </row>
    <row r="55" customFormat="false" ht="14.5" hidden="false" customHeight="false" outlineLevel="0" collapsed="false">
      <c r="D55" s="47" t="n">
        <v>2014</v>
      </c>
      <c r="E55" s="47" t="n">
        <v>2019</v>
      </c>
      <c r="F55" s="47" t="n">
        <v>2030</v>
      </c>
      <c r="G55" s="47" t="n">
        <v>2050</v>
      </c>
    </row>
  </sheetData>
  <mergeCells count="9">
    <mergeCell ref="B4:C5"/>
    <mergeCell ref="D4:L4"/>
    <mergeCell ref="M4:U4"/>
    <mergeCell ref="V4:AD4"/>
    <mergeCell ref="AE4:AM4"/>
    <mergeCell ref="AN4:AV4"/>
    <mergeCell ref="AW4:BE4"/>
    <mergeCell ref="BF4:BN4"/>
    <mergeCell ref="BO4:B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9DC3E6"/>
    <pageSetUpPr fitToPage="false"/>
  </sheetPr>
  <dimension ref="A1:AG145"/>
  <sheetViews>
    <sheetView showFormulas="false" showGridLines="true" showRowColHeaders="true" showZeros="true" rightToLeft="false" tabSelected="false" showOutlineSymbols="true" defaultGridColor="true" view="normal" topLeftCell="A116" colorId="64" zoomScale="81" zoomScaleNormal="81" zoomScalePageLayoutView="100" workbookViewId="0">
      <selection pane="topLeft" activeCell="J133" activeCellId="0" sqref="J133"/>
    </sheetView>
  </sheetViews>
  <sheetFormatPr defaultRowHeight="14.5" zeroHeight="false" outlineLevelRow="0" outlineLevelCol="0"/>
  <cols>
    <col collapsed="false" customWidth="true" hidden="false" outlineLevel="0" max="1025" min="1" style="47" width="10.46"/>
  </cols>
  <sheetData>
    <row r="1" customFormat="false" ht="14.5" hidden="false" customHeight="false" outlineLevel="0" collapsed="false">
      <c r="A1" s="47" t="s">
        <v>34</v>
      </c>
    </row>
    <row r="2" customFormat="false" ht="14.5" hidden="false" customHeight="false" outlineLevel="0" collapsed="false">
      <c r="B2" s="3" t="s">
        <v>35</v>
      </c>
      <c r="C2" s="3"/>
      <c r="D2" s="3"/>
      <c r="E2" s="3"/>
    </row>
    <row r="3" customFormat="false" ht="14.5" hidden="true" customHeight="true" outlineLevel="0" collapsed="false">
      <c r="B3" s="3"/>
      <c r="C3" s="47" t="n">
        <f aca="false">(C9+0.16*C8)/C7</f>
        <v>0.44389662027833</v>
      </c>
      <c r="D3" s="47" t="n">
        <f aca="false">(D9+0.16*D8)/D7</f>
        <v>0.442519031141869</v>
      </c>
      <c r="E3" s="47" t="n">
        <f aca="false">(E9+0.16*E8)/E7</f>
        <v>0.422230769230769</v>
      </c>
      <c r="F3" s="47" t="n">
        <f aca="false">(F9+0.16*F8)/F7</f>
        <v>0.423689320388349</v>
      </c>
      <c r="G3" s="47" t="n">
        <f aca="false">(G9+0.16*G8)/G7</f>
        <v>0.416778615490062</v>
      </c>
      <c r="H3" s="47" t="n">
        <f aca="false">(H9+0.16*H8)/H7</f>
        <v>0.429611734253667</v>
      </c>
    </row>
    <row r="5" customFormat="false" ht="14.5" hidden="false" customHeight="false" outlineLevel="0" collapsed="false">
      <c r="B5" s="1"/>
      <c r="C5" s="48" t="s">
        <v>2</v>
      </c>
      <c r="D5" s="48"/>
      <c r="E5" s="48"/>
      <c r="F5" s="48"/>
      <c r="G5" s="48"/>
      <c r="H5" s="48"/>
      <c r="I5" s="1"/>
    </row>
    <row r="6" customFormat="false" ht="14.5" hidden="false" customHeight="false" outlineLevel="0" collapsed="false">
      <c r="B6" s="1" t="s">
        <v>5</v>
      </c>
      <c r="C6" s="7" t="n">
        <v>2015</v>
      </c>
      <c r="D6" s="7" t="n">
        <v>2016</v>
      </c>
      <c r="E6" s="7" t="n">
        <v>2017</v>
      </c>
      <c r="F6" s="7" t="n">
        <v>2018</v>
      </c>
      <c r="G6" s="7" t="n">
        <v>2019</v>
      </c>
      <c r="H6" s="7" t="n">
        <v>2020</v>
      </c>
      <c r="I6" s="1" t="s">
        <v>36</v>
      </c>
    </row>
    <row r="7" customFormat="false" ht="14.5" hidden="false" customHeight="false" outlineLevel="0" collapsed="false">
      <c r="B7" s="49" t="s">
        <v>6</v>
      </c>
      <c r="C7" s="7" t="n">
        <v>15.09</v>
      </c>
      <c r="D7" s="50" t="n">
        <v>14.45</v>
      </c>
      <c r="E7" s="7" t="n">
        <v>15.6</v>
      </c>
      <c r="F7" s="7" t="n">
        <v>15.45</v>
      </c>
      <c r="G7" s="7" t="n">
        <v>14.59</v>
      </c>
      <c r="H7" s="7" t="n">
        <v>11.59</v>
      </c>
      <c r="I7" s="1" t="s">
        <v>37</v>
      </c>
    </row>
    <row r="8" customFormat="false" ht="14.5" hidden="false" customHeight="false" outlineLevel="0" collapsed="false">
      <c r="B8" s="49" t="s">
        <v>7</v>
      </c>
      <c r="C8" s="7" t="n">
        <f aca="false">C7-C9</f>
        <v>9.99</v>
      </c>
      <c r="D8" s="7" t="n">
        <f aca="false">D7-D9</f>
        <v>9.59</v>
      </c>
      <c r="E8" s="7" t="n">
        <f aca="false">E7-E9</f>
        <v>10.73</v>
      </c>
      <c r="F8" s="7" t="n">
        <f aca="false">F7-F9</f>
        <v>10.6</v>
      </c>
      <c r="G8" s="7" t="n">
        <f aca="false">G7-G9</f>
        <v>10.13</v>
      </c>
      <c r="H8" s="7" t="n">
        <f aca="false">H7-H9</f>
        <v>7.87</v>
      </c>
      <c r="I8" s="1" t="s">
        <v>37</v>
      </c>
    </row>
    <row r="9" customFormat="false" ht="14.5" hidden="false" customHeight="false" outlineLevel="0" collapsed="false">
      <c r="B9" s="49" t="s">
        <v>8</v>
      </c>
      <c r="C9" s="7" t="n">
        <v>5.1</v>
      </c>
      <c r="D9" s="7" t="n">
        <v>4.86</v>
      </c>
      <c r="E9" s="7" t="n">
        <v>4.87</v>
      </c>
      <c r="F9" s="7" t="n">
        <v>4.85</v>
      </c>
      <c r="G9" s="7" t="n">
        <v>4.46</v>
      </c>
      <c r="H9" s="7" t="n">
        <v>3.72</v>
      </c>
      <c r="I9" s="1" t="s">
        <v>37</v>
      </c>
    </row>
    <row r="10" customFormat="false" ht="14.5" hidden="false" customHeight="false" outlineLevel="0" collapsed="false">
      <c r="B10" s="49" t="s">
        <v>38</v>
      </c>
      <c r="C10" s="51" t="n">
        <v>0</v>
      </c>
      <c r="D10" s="51" t="n">
        <v>0</v>
      </c>
      <c r="E10" s="51" t="n">
        <v>0</v>
      </c>
      <c r="F10" s="51" t="n">
        <v>0</v>
      </c>
      <c r="G10" s="51" t="n">
        <v>0</v>
      </c>
      <c r="H10" s="51" t="n">
        <v>0</v>
      </c>
    </row>
    <row r="11" customFormat="false" ht="14.5" hidden="false" customHeight="false" outlineLevel="0" collapsed="false">
      <c r="B11" s="49" t="s">
        <v>10</v>
      </c>
      <c r="C11" s="7" t="n">
        <v>0.893</v>
      </c>
      <c r="D11" s="7" t="n">
        <v>0.918</v>
      </c>
      <c r="E11" s="7" t="n">
        <v>0.942</v>
      </c>
      <c r="F11" s="7" t="n">
        <v>0.878</v>
      </c>
      <c r="G11" s="7" t="n">
        <v>0.894</v>
      </c>
      <c r="H11" s="52" t="n">
        <f aca="false">G11*0.897402216594645</f>
        <v>0.802277581635613</v>
      </c>
      <c r="I11" s="53" t="s">
        <v>39</v>
      </c>
    </row>
    <row r="12" customFormat="false" ht="14.5" hidden="false" customHeight="false" outlineLevel="0" collapsed="false">
      <c r="B12" s="54" t="s">
        <v>40</v>
      </c>
      <c r="C12" s="16" t="n">
        <v>0.472</v>
      </c>
      <c r="D12" s="16" t="n">
        <v>0.488</v>
      </c>
      <c r="E12" s="16" t="n">
        <v>0.508</v>
      </c>
      <c r="F12" s="16" t="n">
        <v>0.496</v>
      </c>
      <c r="G12" s="16" t="n">
        <v>0.476</v>
      </c>
      <c r="H12" s="16" t="n">
        <v>0.401</v>
      </c>
      <c r="I12" s="53" t="s">
        <v>39</v>
      </c>
    </row>
    <row r="13" customFormat="false" ht="14.5" hidden="false" customHeight="false" outlineLevel="0" collapsed="false">
      <c r="B13" s="55" t="s">
        <v>10</v>
      </c>
      <c r="C13" s="56" t="n">
        <v>0.596066308767123</v>
      </c>
      <c r="D13" s="56" t="n">
        <v>0.622612173</v>
      </c>
      <c r="E13" s="56" t="n">
        <v>0.6369988</v>
      </c>
      <c r="F13" s="56" t="n">
        <v>0.583051</v>
      </c>
      <c r="G13" s="56" t="n">
        <v>0.606045676</v>
      </c>
      <c r="H13" s="56" t="n">
        <v>0.543866733</v>
      </c>
      <c r="I13" s="57" t="s">
        <v>37</v>
      </c>
    </row>
    <row r="14" customFormat="false" ht="14.5" hidden="false" customHeight="false" outlineLevel="0" collapsed="false">
      <c r="B14" s="55" t="s">
        <v>41</v>
      </c>
      <c r="C14" s="58" t="n">
        <v>0.177</v>
      </c>
      <c r="D14" s="58" t="n">
        <v>0.194</v>
      </c>
      <c r="E14" s="58" t="n">
        <v>0.205</v>
      </c>
      <c r="F14" s="58" t="n">
        <v>0.2</v>
      </c>
      <c r="G14" s="58" t="n">
        <v>0.184</v>
      </c>
      <c r="H14" s="58" t="n">
        <v>0.125</v>
      </c>
      <c r="I14" s="57" t="s">
        <v>37</v>
      </c>
    </row>
    <row r="15" customFormat="false" ht="14.5" hidden="false" customHeight="false" outlineLevel="0" collapsed="false">
      <c r="B15" s="49" t="s">
        <v>12</v>
      </c>
      <c r="C15" s="7" t="n">
        <v>2.51</v>
      </c>
      <c r="D15" s="7" t="n">
        <v>2.24</v>
      </c>
      <c r="E15" s="7" t="n">
        <v>2.59</v>
      </c>
      <c r="F15" s="7" t="n">
        <v>2.16</v>
      </c>
      <c r="G15" s="7" t="n">
        <v>2.34</v>
      </c>
      <c r="H15" s="7" t="n">
        <v>2.27</v>
      </c>
      <c r="I15" s="1" t="s">
        <v>37</v>
      </c>
    </row>
    <row r="16" customFormat="false" ht="14.5" hidden="false" customHeight="false" outlineLevel="0" collapsed="false">
      <c r="B16" s="49" t="s">
        <v>13</v>
      </c>
      <c r="C16" s="7" t="n">
        <v>0.92</v>
      </c>
      <c r="D16" s="7" t="n">
        <v>0.92</v>
      </c>
      <c r="E16" s="7" t="n">
        <v>0.97</v>
      </c>
      <c r="F16" s="7" t="n">
        <v>0.89</v>
      </c>
      <c r="G16" s="7" t="n">
        <v>0.96</v>
      </c>
      <c r="H16" s="7" t="n">
        <v>0.89</v>
      </c>
      <c r="I16" s="1" t="s">
        <v>37</v>
      </c>
    </row>
    <row r="17" customFormat="false" ht="14.5" hidden="false" customHeight="false" outlineLevel="0" collapsed="false">
      <c r="B17" s="49" t="s">
        <v>14</v>
      </c>
      <c r="C17" s="7" t="n">
        <v>1.07</v>
      </c>
      <c r="D17" s="7" t="n">
        <v>1.1</v>
      </c>
      <c r="E17" s="7" t="n">
        <v>0.91</v>
      </c>
      <c r="F17" s="7" t="n">
        <v>1.11</v>
      </c>
      <c r="G17" s="7" t="n">
        <v>1.07</v>
      </c>
      <c r="H17" s="7" t="n">
        <v>1</v>
      </c>
      <c r="I17" s="1" t="s">
        <v>37</v>
      </c>
    </row>
    <row r="18" customFormat="false" ht="14.5" hidden="false" customHeight="false" outlineLevel="0" collapsed="false">
      <c r="B18" s="49" t="s">
        <v>15</v>
      </c>
      <c r="C18" s="7" t="n">
        <v>12.54</v>
      </c>
      <c r="D18" s="7" t="n">
        <v>12.67</v>
      </c>
      <c r="E18" s="7" t="n">
        <v>12.36</v>
      </c>
      <c r="F18" s="7" t="n">
        <v>12.84</v>
      </c>
      <c r="G18" s="7" t="n">
        <v>12.94</v>
      </c>
      <c r="H18" s="7" t="n">
        <v>11.77</v>
      </c>
      <c r="I18" s="1" t="s">
        <v>37</v>
      </c>
    </row>
    <row r="19" customFormat="false" ht="14.5" hidden="false" customHeight="false" outlineLevel="0" collapsed="false">
      <c r="B19" s="49" t="s">
        <v>16</v>
      </c>
      <c r="C19" s="20" t="n">
        <v>5.46248951071406</v>
      </c>
      <c r="D19" s="20" t="n">
        <v>5.16836899</v>
      </c>
      <c r="E19" s="20" t="n">
        <v>5.59963662</v>
      </c>
      <c r="F19" s="20" t="n">
        <v>5.66565545</v>
      </c>
      <c r="G19" s="20" t="n">
        <v>5.69713235</v>
      </c>
      <c r="H19" s="20" t="n">
        <v>5.02355585</v>
      </c>
      <c r="I19" s="59" t="s">
        <v>37</v>
      </c>
    </row>
    <row r="20" customFormat="false" ht="14.5" hidden="false" customHeight="false" outlineLevel="0" collapsed="false">
      <c r="B20" s="49" t="s">
        <v>17</v>
      </c>
      <c r="C20" s="7" t="n">
        <v>7.99</v>
      </c>
      <c r="D20" s="7" t="n">
        <v>7.98</v>
      </c>
      <c r="E20" s="7" t="n">
        <v>8.02</v>
      </c>
      <c r="F20" s="7" t="n">
        <v>7.87</v>
      </c>
      <c r="G20" s="7" t="n">
        <v>7.32</v>
      </c>
      <c r="H20" s="20" t="n">
        <f aca="false">G20*0.930316272251903</f>
        <v>6.80991511288393</v>
      </c>
      <c r="I20" s="53" t="s">
        <v>39</v>
      </c>
    </row>
    <row r="21" customFormat="false" ht="14.5" hidden="false" customHeight="false" outlineLevel="0" collapsed="false">
      <c r="B21" s="60" t="s">
        <v>17</v>
      </c>
      <c r="C21" s="61" t="n">
        <v>1.477</v>
      </c>
      <c r="D21" s="61" t="n">
        <v>1.423</v>
      </c>
      <c r="E21" s="61" t="n">
        <v>1.406</v>
      </c>
      <c r="F21" s="61" t="n">
        <v>1.303</v>
      </c>
      <c r="G21" s="61" t="n">
        <v>1.351</v>
      </c>
      <c r="H21" s="61" t="n">
        <v>1.385</v>
      </c>
      <c r="I21" s="57" t="s">
        <v>42</v>
      </c>
    </row>
    <row r="22" customFormat="false" ht="14.5" hidden="false" customHeight="false" outlineLevel="0" collapsed="false">
      <c r="B22" s="49" t="s">
        <v>18</v>
      </c>
      <c r="C22" s="7" t="n">
        <v>4.52</v>
      </c>
      <c r="D22" s="7" t="n">
        <v>4.68</v>
      </c>
      <c r="E22" s="7" t="n">
        <v>6.24</v>
      </c>
      <c r="F22" s="7" t="n">
        <v>5.09</v>
      </c>
      <c r="G22" s="7" t="n">
        <v>4.96</v>
      </c>
      <c r="H22" s="7" t="n">
        <v>3.38</v>
      </c>
      <c r="I22" s="1" t="s">
        <v>37</v>
      </c>
    </row>
    <row r="25" customFormat="false" ht="14.5" hidden="false" customHeight="false" outlineLevel="0" collapsed="false">
      <c r="B25" s="3" t="s">
        <v>43</v>
      </c>
      <c r="C25" s="3"/>
      <c r="D25" s="3"/>
      <c r="E25" s="3"/>
      <c r="G25" s="62"/>
    </row>
    <row r="26" customFormat="false" ht="14.5" hidden="false" customHeight="false" outlineLevel="0" collapsed="false">
      <c r="B26" s="63"/>
      <c r="C26" s="63"/>
      <c r="D26" s="63"/>
      <c r="E26" s="63"/>
      <c r="G26" s="62"/>
      <c r="M26" s="64"/>
    </row>
    <row r="27" customFormat="false" ht="15" hidden="false" customHeight="false" outlineLevel="0" collapsed="false">
      <c r="B27" s="47" t="s">
        <v>3</v>
      </c>
      <c r="D27" s="65" t="s">
        <v>44</v>
      </c>
      <c r="E27" s="65"/>
      <c r="F27" s="65"/>
      <c r="G27" s="65"/>
      <c r="H27" s="65"/>
      <c r="I27" s="65"/>
      <c r="J27" s="65"/>
      <c r="K27" s="65"/>
      <c r="L27" s="65"/>
      <c r="M27" s="65" t="s">
        <v>45</v>
      </c>
      <c r="N27" s="65"/>
      <c r="O27" s="65"/>
      <c r="P27" s="65"/>
      <c r="Q27" s="65"/>
      <c r="R27" s="65"/>
      <c r="S27" s="65"/>
      <c r="T27" s="65"/>
      <c r="U27" s="65"/>
    </row>
    <row r="28" customFormat="false" ht="14.5" hidden="false" customHeight="false" outlineLevel="0" collapsed="false">
      <c r="B28" s="66" t="s">
        <v>46</v>
      </c>
      <c r="C28" s="67"/>
      <c r="D28" s="68" t="n">
        <v>2015</v>
      </c>
      <c r="E28" s="68" t="n">
        <v>2019</v>
      </c>
      <c r="F28" s="69" t="n">
        <v>2020</v>
      </c>
      <c r="G28" s="69" t="n">
        <v>2025</v>
      </c>
      <c r="H28" s="69" t="n">
        <v>2030</v>
      </c>
      <c r="I28" s="69" t="n">
        <v>2035</v>
      </c>
      <c r="J28" s="69" t="n">
        <v>2040</v>
      </c>
      <c r="K28" s="69" t="n">
        <v>2045</v>
      </c>
      <c r="L28" s="70" t="n">
        <v>2050</v>
      </c>
      <c r="M28" s="68" t="n">
        <v>2015</v>
      </c>
      <c r="N28" s="71" t="n">
        <v>2019</v>
      </c>
      <c r="O28" s="69" t="n">
        <v>2020</v>
      </c>
      <c r="P28" s="69" t="n">
        <v>2025</v>
      </c>
      <c r="Q28" s="69" t="n">
        <v>2030</v>
      </c>
      <c r="R28" s="69" t="n">
        <v>2035</v>
      </c>
      <c r="S28" s="69" t="n">
        <v>2040</v>
      </c>
      <c r="T28" s="69" t="n">
        <v>2045</v>
      </c>
      <c r="U28" s="70" t="n">
        <v>2050</v>
      </c>
    </row>
    <row r="29" customFormat="false" ht="14.5" hidden="false" customHeight="false" outlineLevel="0" collapsed="false">
      <c r="B29" s="72" t="s">
        <v>6</v>
      </c>
      <c r="C29" s="73"/>
      <c r="D29" s="74" t="n">
        <f aca="false">'Pepit0 AME'!D52</f>
        <v>12.4527173934811</v>
      </c>
      <c r="E29" s="74" t="n">
        <f aca="false">'Pepit0 AME'!M52</f>
        <v>12.2408839708569</v>
      </c>
      <c r="F29" s="75" t="n">
        <f aca="false">$E29+($H29-$E29)*1/11</f>
        <v>12.2375717136051</v>
      </c>
      <c r="G29" s="75" t="n">
        <f aca="false">$E29+($H29-$E29)*6/11</f>
        <v>12.2210104273461</v>
      </c>
      <c r="H29" s="75" t="n">
        <f aca="false">'Pepit0 AME'!V52</f>
        <v>12.2044491410871</v>
      </c>
      <c r="I29" s="75" t="n">
        <f aca="false">$H29+($L29-$H29)*5/20</f>
        <v>12.3717496423968</v>
      </c>
      <c r="J29" s="75" t="n">
        <f aca="false">$H29+($L29-$H29)*10/20</f>
        <v>12.5390501437065</v>
      </c>
      <c r="K29" s="75" t="n">
        <f aca="false">$H29+($L29-$H29)*15/20</f>
        <v>12.7063506450162</v>
      </c>
      <c r="L29" s="76" t="n">
        <f aca="false">'Pepit0 AME'!AW52</f>
        <v>12.8736511463258</v>
      </c>
      <c r="M29" s="74" t="n">
        <f aca="false">D29/$D29</f>
        <v>1</v>
      </c>
      <c r="N29" s="74" t="n">
        <f aca="false">E29/$D29</f>
        <v>0.982988980161461</v>
      </c>
      <c r="O29" s="74" t="n">
        <f aca="false">F29/$D29</f>
        <v>0.982722993457745</v>
      </c>
      <c r="P29" s="74" t="n">
        <f aca="false">G29/$D29</f>
        <v>0.981393059939163</v>
      </c>
      <c r="Q29" s="74" t="n">
        <f aca="false">H29/$D29</f>
        <v>0.980063126420582</v>
      </c>
      <c r="R29" s="74" t="n">
        <f aca="false">I29/$D29</f>
        <v>0.993497985337181</v>
      </c>
      <c r="S29" s="74" t="n">
        <f aca="false">J29/$D29</f>
        <v>1.00693284425378</v>
      </c>
      <c r="T29" s="74" t="n">
        <f aca="false">K29/$D29</f>
        <v>1.02036770317038</v>
      </c>
      <c r="U29" s="74" t="n">
        <f aca="false">L29/$D29</f>
        <v>1.03380256208697</v>
      </c>
    </row>
    <row r="30" customFormat="false" ht="14.5" hidden="false" customHeight="false" outlineLevel="0" collapsed="false">
      <c r="B30" s="72" t="s">
        <v>47</v>
      </c>
      <c r="C30" s="73"/>
      <c r="D30" s="74" t="n">
        <f aca="false">'Pepit0 AME'!E52</f>
        <v>1.36665209900678</v>
      </c>
      <c r="E30" s="74" t="n">
        <f aca="false">'Pepit0 AME'!N52</f>
        <v>1.44198859471018</v>
      </c>
      <c r="F30" s="75" t="n">
        <f aca="false">$E30+($H30-$E30)*1/11</f>
        <v>1.46242913024648</v>
      </c>
      <c r="G30" s="75" t="n">
        <f aca="false">$E30+($H30-$E30)*6/11</f>
        <v>1.56463180792798</v>
      </c>
      <c r="H30" s="75" t="n">
        <f aca="false">'Pepit0 AME'!W52</f>
        <v>1.66683448560948</v>
      </c>
      <c r="I30" s="75" t="n">
        <f aca="false">$H30+($L30-$H30)*5/20</f>
        <v>1.79969888900466</v>
      </c>
      <c r="J30" s="75" t="n">
        <f aca="false">$H30+($L30-$H30)*10/20</f>
        <v>1.93256329239984</v>
      </c>
      <c r="K30" s="75" t="n">
        <f aca="false">$H30+($L30-$H30)*15/20</f>
        <v>2.06542769579502</v>
      </c>
      <c r="L30" s="76" t="n">
        <f aca="false">'Pepit0 AME'!AX52</f>
        <v>2.1982920991902</v>
      </c>
      <c r="M30" s="74" t="n">
        <f aca="false">D30/$D30</f>
        <v>1</v>
      </c>
      <c r="N30" s="74" t="n">
        <f aca="false">E30/$D30</f>
        <v>1.05512485273915</v>
      </c>
      <c r="O30" s="74" t="n">
        <f aca="false">F30/$D30</f>
        <v>1.07008150158282</v>
      </c>
      <c r="P30" s="74" t="n">
        <f aca="false">G30/$D30</f>
        <v>1.14486474580113</v>
      </c>
      <c r="Q30" s="74" t="n">
        <f aca="false">H30/$D30</f>
        <v>1.21964799001945</v>
      </c>
      <c r="R30" s="74" t="n">
        <f aca="false">I30/$D30</f>
        <v>1.31686688244404</v>
      </c>
      <c r="S30" s="74" t="n">
        <f aca="false">J30/$D30</f>
        <v>1.41408577486863</v>
      </c>
      <c r="T30" s="74" t="n">
        <f aca="false">K30/$D30</f>
        <v>1.51130466729322</v>
      </c>
      <c r="U30" s="74" t="n">
        <f aca="false">L30/$D30</f>
        <v>1.60852355971781</v>
      </c>
    </row>
    <row r="31" customFormat="false" ht="14.5" hidden="false" customHeight="false" outlineLevel="0" collapsed="false">
      <c r="B31" s="72" t="s">
        <v>16</v>
      </c>
      <c r="C31" s="73"/>
      <c r="D31" s="74" t="n">
        <f aca="false">'Pepit0 AME'!F52</f>
        <v>4.930893985492</v>
      </c>
      <c r="E31" s="74" t="n">
        <f aca="false">'Pepit0 AME'!O52</f>
        <v>4.87707639308892</v>
      </c>
      <c r="F31" s="75" t="n">
        <f aca="false">$E31+($H31-$E31)*1/11</f>
        <v>4.87416780094018</v>
      </c>
      <c r="G31" s="75" t="n">
        <f aca="false">$E31+($H31-$E31)*6/11</f>
        <v>4.85962484019648</v>
      </c>
      <c r="H31" s="75" t="n">
        <f aca="false">'Pepit0 AME'!X52</f>
        <v>4.84508187945277</v>
      </c>
      <c r="I31" s="75" t="n">
        <f aca="false">$H31+($L31-$H31)*5/20</f>
        <v>4.67657975931444</v>
      </c>
      <c r="J31" s="75" t="n">
        <f aca="false">$H31+($L31-$H31)*10/20</f>
        <v>4.50807763917612</v>
      </c>
      <c r="K31" s="75" t="n">
        <f aca="false">$H31+($L31-$H31)*15/20</f>
        <v>4.33957551903779</v>
      </c>
      <c r="L31" s="76" t="n">
        <f aca="false">'Pepit0 AME'!AY52</f>
        <v>4.17107339889946</v>
      </c>
      <c r="M31" s="74" t="n">
        <f aca="false">D31/$D31</f>
        <v>1</v>
      </c>
      <c r="N31" s="74" t="n">
        <f aca="false">E31/$D31</f>
        <v>0.989085631822257</v>
      </c>
      <c r="O31" s="74" t="n">
        <f aca="false">F31/$D31</f>
        <v>0.988495760663539</v>
      </c>
      <c r="P31" s="74" t="n">
        <f aca="false">G31/$D31</f>
        <v>0.985546404869946</v>
      </c>
      <c r="Q31" s="74" t="n">
        <f aca="false">H31/$D31</f>
        <v>0.982597049076353</v>
      </c>
      <c r="R31" s="74" t="n">
        <f aca="false">I31/$D31</f>
        <v>0.948424316781944</v>
      </c>
      <c r="S31" s="74" t="n">
        <f aca="false">J31/$D31</f>
        <v>0.914251584487535</v>
      </c>
      <c r="T31" s="74" t="n">
        <f aca="false">K31/$D31</f>
        <v>0.880078852193126</v>
      </c>
      <c r="U31" s="74" t="n">
        <f aca="false">L31/$D31</f>
        <v>0.845906119898717</v>
      </c>
    </row>
    <row r="32" customFormat="false" ht="14.5" hidden="false" customHeight="false" outlineLevel="0" collapsed="false">
      <c r="B32" s="72" t="s">
        <v>15</v>
      </c>
      <c r="C32" s="73"/>
      <c r="D32" s="74" t="n">
        <f aca="false">'Pepit0 AME'!G52</f>
        <v>13.3075467951616</v>
      </c>
      <c r="E32" s="74" t="n">
        <f aca="false">'Pepit0 AME'!P52</f>
        <v>12.3783057421263</v>
      </c>
      <c r="F32" s="75" t="n">
        <f aca="false">$E32+($H32-$E32)*1/11</f>
        <v>12.3017477662241</v>
      </c>
      <c r="G32" s="75" t="n">
        <f aca="false">$E32+($H32-$E32)*6/11</f>
        <v>11.9189578867132</v>
      </c>
      <c r="H32" s="75" t="n">
        <f aca="false">'Pepit0 AME'!Y52</f>
        <v>11.5361680072023</v>
      </c>
      <c r="I32" s="75" t="n">
        <f aca="false">$H32+($L32-$H32)*5/20</f>
        <v>10.8782604087328</v>
      </c>
      <c r="J32" s="75" t="n">
        <f aca="false">$H32+($L32-$H32)*10/20</f>
        <v>10.2203528102633</v>
      </c>
      <c r="K32" s="75" t="n">
        <f aca="false">$H32+($L32-$H32)*15/20</f>
        <v>9.56244521179378</v>
      </c>
      <c r="L32" s="76" t="n">
        <f aca="false">'Pepit0 AME'!AZ52</f>
        <v>8.90453761332428</v>
      </c>
      <c r="M32" s="74" t="n">
        <f aca="false">D32/$D32</f>
        <v>1</v>
      </c>
      <c r="N32" s="74" t="n">
        <f aca="false">E32/$D32</f>
        <v>0.930171874099799</v>
      </c>
      <c r="O32" s="74" t="n">
        <f aca="false">F32/$D32</f>
        <v>0.924418899710108</v>
      </c>
      <c r="P32" s="74" t="n">
        <f aca="false">G32/$D32</f>
        <v>0.895654027761652</v>
      </c>
      <c r="Q32" s="74" t="n">
        <f aca="false">H32/$D32</f>
        <v>0.866889155813196</v>
      </c>
      <c r="R32" s="74" t="n">
        <f aca="false">I32/$D32</f>
        <v>0.817450471989917</v>
      </c>
      <c r="S32" s="74" t="n">
        <f aca="false">J32/$D32</f>
        <v>0.768011788166637</v>
      </c>
      <c r="T32" s="74" t="n">
        <f aca="false">K32/$D32</f>
        <v>0.718573104343357</v>
      </c>
      <c r="U32" s="74" t="n">
        <f aca="false">L32/$D32</f>
        <v>0.669134420520077</v>
      </c>
      <c r="W32" s="47" t="s">
        <v>48</v>
      </c>
    </row>
    <row r="33" customFormat="false" ht="14.5" hidden="false" customHeight="false" outlineLevel="0" collapsed="false">
      <c r="B33" s="72" t="s">
        <v>49</v>
      </c>
      <c r="C33" s="73"/>
      <c r="D33" s="74" t="n">
        <f aca="false">'Pepit0 AME'!H52</f>
        <v>2.15476227413165</v>
      </c>
      <c r="E33" s="74" t="n">
        <f aca="false">'Pepit0 AME'!Q52</f>
        <v>2.09748049504575</v>
      </c>
      <c r="F33" s="75" t="n">
        <f aca="false">$E33+($H33-$E33)*1/11</f>
        <v>2.09809749402886</v>
      </c>
      <c r="G33" s="75" t="n">
        <f aca="false">$E33+($H33-$E33)*6/11</f>
        <v>2.10118248894442</v>
      </c>
      <c r="H33" s="75" t="n">
        <f aca="false">'Pepit0 AME'!Z52</f>
        <v>2.10426748385997</v>
      </c>
      <c r="I33" s="75" t="n">
        <f aca="false">$H33+($L33-$H33)*5/20</f>
        <v>2.07683277134111</v>
      </c>
      <c r="J33" s="75" t="n">
        <f aca="false">$H33+($L33-$H33)*10/20</f>
        <v>2.04939805882225</v>
      </c>
      <c r="K33" s="75" t="n">
        <f aca="false">$H33+($L33-$H33)*15/20</f>
        <v>2.02196334630339</v>
      </c>
      <c r="L33" s="76" t="n">
        <f aca="false">'Pepit0 AME'!BA52</f>
        <v>1.99452863378453</v>
      </c>
      <c r="M33" s="74" t="n">
        <f aca="false">D33/$D33</f>
        <v>1</v>
      </c>
      <c r="N33" s="74" t="n">
        <f aca="false">E33/$D33</f>
        <v>0.973416195478465</v>
      </c>
      <c r="O33" s="74" t="n">
        <f aca="false">F33/$D33</f>
        <v>0.97370253749889</v>
      </c>
      <c r="P33" s="74" t="n">
        <f aca="false">G33/$D33</f>
        <v>0.975134247601016</v>
      </c>
      <c r="Q33" s="74" t="n">
        <f aca="false">H33/$D33</f>
        <v>0.976565957703143</v>
      </c>
      <c r="R33" s="74" t="n">
        <f aca="false">I33/$D33</f>
        <v>0.963833828108978</v>
      </c>
      <c r="S33" s="74" t="n">
        <f aca="false">J33/$D33</f>
        <v>0.951101698514813</v>
      </c>
      <c r="T33" s="74" t="n">
        <f aca="false">K33/$D33</f>
        <v>0.938369568920648</v>
      </c>
      <c r="U33" s="74" t="n">
        <f aca="false">L33/$D33</f>
        <v>0.925637439326483</v>
      </c>
    </row>
    <row r="34" customFormat="false" ht="14.5" hidden="false" customHeight="false" outlineLevel="0" collapsed="false">
      <c r="B34" s="72" t="s">
        <v>50</v>
      </c>
      <c r="C34" s="73"/>
      <c r="D34" s="74" t="n">
        <f aca="false">'Pepit0 AME'!I52</f>
        <v>1.12758378603706</v>
      </c>
      <c r="E34" s="74" t="n">
        <f aca="false">'Pepit0 AME'!R52</f>
        <v>1.10705175708877</v>
      </c>
      <c r="F34" s="75" t="n">
        <f aca="false">$E34+($H34-$E34)*1/11</f>
        <v>1.10604849833493</v>
      </c>
      <c r="G34" s="75" t="n">
        <f aca="false">$E34+($H34-$E34)*6/11</f>
        <v>1.10103220456572</v>
      </c>
      <c r="H34" s="75" t="n">
        <f aca="false">'Pepit0 AME'!AA52</f>
        <v>1.09601591079652</v>
      </c>
      <c r="I34" s="75" t="n">
        <f aca="false">$H34+($L34-$H34)*5/20</f>
        <v>1.08132044164578</v>
      </c>
      <c r="J34" s="75" t="n">
        <f aca="false">$H34+($L34-$H34)*10/20</f>
        <v>1.06662497249505</v>
      </c>
      <c r="K34" s="75" t="n">
        <f aca="false">$H34+($L34-$H34)*15/20</f>
        <v>1.05192950334431</v>
      </c>
      <c r="L34" s="76" t="n">
        <f aca="false">'Pepit0 AME'!BB52</f>
        <v>1.03723403419358</v>
      </c>
      <c r="M34" s="74" t="n">
        <f aca="false">D34/$D34</f>
        <v>1</v>
      </c>
      <c r="N34" s="74" t="n">
        <f aca="false">E34/$D34</f>
        <v>0.981791127894409</v>
      </c>
      <c r="O34" s="74" t="n">
        <f aca="false">F34/$D34</f>
        <v>0.980901385804938</v>
      </c>
      <c r="P34" s="74" t="n">
        <f aca="false">G34/$D34</f>
        <v>0.976452675357587</v>
      </c>
      <c r="Q34" s="74" t="n">
        <f aca="false">H34/$D34</f>
        <v>0.972003964910235</v>
      </c>
      <c r="R34" s="74" t="n">
        <f aca="false">I34/$D34</f>
        <v>0.958971257866458</v>
      </c>
      <c r="S34" s="74" t="n">
        <f aca="false">J34/$D34</f>
        <v>0.945938550822681</v>
      </c>
      <c r="T34" s="74" t="n">
        <f aca="false">K34/$D34</f>
        <v>0.932905843778905</v>
      </c>
      <c r="U34" s="74" t="n">
        <f aca="false">L34/$D34</f>
        <v>0.919873136735128</v>
      </c>
    </row>
    <row r="35" customFormat="false" ht="14.5" hidden="false" customHeight="false" outlineLevel="0" collapsed="false">
      <c r="B35" s="72" t="s">
        <v>12</v>
      </c>
      <c r="C35" s="73"/>
      <c r="D35" s="74" t="n">
        <f aca="false">'Pepit0 AME'!J52</f>
        <v>3.20181831480176</v>
      </c>
      <c r="E35" s="74" t="n">
        <f aca="false">'Pepit0 AME'!S52</f>
        <v>3.1799100639803</v>
      </c>
      <c r="F35" s="75" t="n">
        <f aca="false">$E35+($H35-$E35)*1/11</f>
        <v>3.13256777000997</v>
      </c>
      <c r="G35" s="75" t="n">
        <f aca="false">$E35+($H35-$E35)*6/11</f>
        <v>2.89585630015829</v>
      </c>
      <c r="H35" s="75" t="n">
        <f aca="false">'Pepit0 AME'!AB52</f>
        <v>2.65914483030662</v>
      </c>
      <c r="I35" s="75" t="n">
        <f aca="false">$H35+($L35-$H35)*5/20</f>
        <v>2.44023899116007</v>
      </c>
      <c r="J35" s="75" t="n">
        <f aca="false">$H35+($L35-$H35)*10/20</f>
        <v>2.22133315201352</v>
      </c>
      <c r="K35" s="75" t="n">
        <f aca="false">$H35+($L35-$H35)*15/20</f>
        <v>2.00242731286697</v>
      </c>
      <c r="L35" s="76" t="n">
        <f aca="false">'Pepit0 AME'!BC52</f>
        <v>1.78352147372043</v>
      </c>
      <c r="M35" s="74" t="n">
        <f aca="false">D35/$D35</f>
        <v>1</v>
      </c>
      <c r="N35" s="74" t="n">
        <f aca="false">E35/$D35</f>
        <v>0.993157559652844</v>
      </c>
      <c r="O35" s="74" t="n">
        <f aca="false">F35/$D35</f>
        <v>0.978371494574924</v>
      </c>
      <c r="P35" s="74" t="n">
        <f aca="false">G35/$D35</f>
        <v>0.904441169185325</v>
      </c>
      <c r="Q35" s="74" t="n">
        <f aca="false">H35/$D35</f>
        <v>0.830510843795726</v>
      </c>
      <c r="R35" s="74" t="n">
        <f aca="false">I35/$D35</f>
        <v>0.762141618054663</v>
      </c>
      <c r="S35" s="74" t="n">
        <f aca="false">J35/$D35</f>
        <v>0.693772392313601</v>
      </c>
      <c r="T35" s="74" t="n">
        <f aca="false">K35/$D35</f>
        <v>0.625403166572539</v>
      </c>
      <c r="U35" s="74" t="n">
        <f aca="false">L35/$D35</f>
        <v>0.557033940831477</v>
      </c>
    </row>
    <row r="36" customFormat="false" ht="14.5" hidden="false" customHeight="false" outlineLevel="0" collapsed="false">
      <c r="B36" s="72" t="s">
        <v>51</v>
      </c>
      <c r="C36" s="73"/>
      <c r="D36" s="74" t="n">
        <f aca="false">'Pepit0 AME'!K52</f>
        <v>8.346785</v>
      </c>
      <c r="E36" s="74" t="n">
        <f aca="false">'Pepit0 AME'!T52</f>
        <v>8.70201444020688</v>
      </c>
      <c r="F36" s="75" t="n">
        <f aca="false">$E36+($H36-$E36)*1/11</f>
        <v>8.79188362564656</v>
      </c>
      <c r="G36" s="75" t="n">
        <f aca="false">$E36+($H36-$E36)*6/11</f>
        <v>9.24122955284495</v>
      </c>
      <c r="H36" s="75" t="n">
        <f aca="false">'Pepit0 AME'!AC52</f>
        <v>9.69057548004334</v>
      </c>
      <c r="I36" s="75" t="n">
        <f aca="false">$H36+($L36-$H36)*5/20</f>
        <v>10.2614184502852</v>
      </c>
      <c r="J36" s="75" t="n">
        <f aca="false">$H36+($L36-$H36)*10/20</f>
        <v>10.8322614205271</v>
      </c>
      <c r="K36" s="75" t="n">
        <f aca="false">$H36+($L36-$H36)*15/20</f>
        <v>11.403104390769</v>
      </c>
      <c r="L36" s="76" t="n">
        <f aca="false">'Pepit0 AME'!BD52</f>
        <v>11.9739473610109</v>
      </c>
      <c r="M36" s="74" t="n">
        <f aca="false">D36/$D36</f>
        <v>1</v>
      </c>
      <c r="N36" s="74" t="n">
        <f aca="false">E36/$D36</f>
        <v>1.04255883435441</v>
      </c>
      <c r="O36" s="74" t="n">
        <f aca="false">F36/$D36</f>
        <v>1.05332575664122</v>
      </c>
      <c r="P36" s="74" t="n">
        <f aca="false">G36/$D36</f>
        <v>1.10716036807525</v>
      </c>
      <c r="Q36" s="74" t="n">
        <f aca="false">H36/$D36</f>
        <v>1.16099497950928</v>
      </c>
      <c r="R36" s="74" t="n">
        <f aca="false">I36/$D36</f>
        <v>1.22938573957341</v>
      </c>
      <c r="S36" s="74" t="n">
        <f aca="false">J36/$D36</f>
        <v>1.29777649963754</v>
      </c>
      <c r="T36" s="74" t="n">
        <f aca="false">K36/$D36</f>
        <v>1.36616725970167</v>
      </c>
      <c r="U36" s="74" t="n">
        <f aca="false">L36/$D36</f>
        <v>1.4345580197658</v>
      </c>
    </row>
    <row r="37" customFormat="false" ht="14.5" hidden="false" customHeight="false" outlineLevel="0" collapsed="false">
      <c r="B37" s="72" t="s">
        <v>18</v>
      </c>
      <c r="C37" s="73"/>
      <c r="D37" s="74" t="n">
        <f aca="false">'Pepit0 AME'!L52</f>
        <v>3.75976923076923</v>
      </c>
      <c r="E37" s="74" t="n">
        <f aca="false">'Pepit0 AME'!U52</f>
        <v>3.77152220596044</v>
      </c>
      <c r="F37" s="75" t="n">
        <f aca="false">$E37+($H37-$E37)*1/11</f>
        <v>3.78157076463692</v>
      </c>
      <c r="G37" s="75" t="n">
        <f aca="false">$E37+($H37-$E37)*6/11</f>
        <v>3.8318135580193</v>
      </c>
      <c r="H37" s="75" t="n">
        <f aca="false">'Pepit0 AME'!AD52</f>
        <v>3.88205635140168</v>
      </c>
      <c r="I37" s="75" t="n">
        <f aca="false">$H37+($L37-$H37)*5/20</f>
        <v>3.9154158763694</v>
      </c>
      <c r="J37" s="75" t="n">
        <f aca="false">$H37+($L37-$H37)*10/20</f>
        <v>3.94877540133712</v>
      </c>
      <c r="K37" s="75" t="n">
        <f aca="false">$H37+($L37-$H37)*15/20</f>
        <v>3.98213492630484</v>
      </c>
      <c r="L37" s="76" t="n">
        <f aca="false">'Pepit0 AME'!BE52</f>
        <v>4.01549445127256</v>
      </c>
      <c r="M37" s="74" t="n">
        <f aca="false">D37/$D37</f>
        <v>1</v>
      </c>
      <c r="N37" s="74" t="n">
        <f aca="false">E37/$D37</f>
        <v>1.00312598313083</v>
      </c>
      <c r="O37" s="74" t="n">
        <f aca="false">F37/$D37</f>
        <v>1.00579863617407</v>
      </c>
      <c r="P37" s="74" t="n">
        <f aca="false">G37/$D37</f>
        <v>1.01916190139024</v>
      </c>
      <c r="Q37" s="74" t="n">
        <f aca="false">H37/$D37</f>
        <v>1.03252516660642</v>
      </c>
      <c r="R37" s="74" t="n">
        <f aca="false">I37/$D37</f>
        <v>1.04139792525732</v>
      </c>
      <c r="S37" s="74" t="n">
        <f aca="false">J37/$D37</f>
        <v>1.05027068390823</v>
      </c>
      <c r="T37" s="74" t="n">
        <f aca="false">K37/$D37</f>
        <v>1.05914344255914</v>
      </c>
      <c r="U37" s="74" t="n">
        <f aca="false">L37/$D37</f>
        <v>1.06801620121004</v>
      </c>
    </row>
    <row r="38" customFormat="false" ht="15" hidden="false" customHeight="false" outlineLevel="0" collapsed="false">
      <c r="B38" s="77" t="s">
        <v>52</v>
      </c>
      <c r="C38" s="78"/>
      <c r="D38" s="79" t="n">
        <f aca="false">SUM(D29:D37)</f>
        <v>50.6485288788812</v>
      </c>
      <c r="E38" s="79" t="n">
        <f aca="false">SUM(E29:E37)</f>
        <v>49.7962336630644</v>
      </c>
      <c r="F38" s="79" t="n">
        <f aca="false">SUM(F29:F37)</f>
        <v>49.7860845636731</v>
      </c>
      <c r="G38" s="79" t="n">
        <f aca="false">SUM(G29:G37)</f>
        <v>49.7353390667164</v>
      </c>
      <c r="H38" s="79" t="n">
        <f aca="false">SUM(H29:H37)</f>
        <v>49.6845935697597</v>
      </c>
      <c r="I38" s="79" t="n">
        <f aca="false">SUM(I29:I37)</f>
        <v>49.5015152302502</v>
      </c>
      <c r="J38" s="79" t="n">
        <f aca="false">SUM(J29:J37)</f>
        <v>49.3184368907407</v>
      </c>
      <c r="K38" s="79" t="n">
        <f aca="false">SUM(K29:K37)</f>
        <v>49.1353585512312</v>
      </c>
      <c r="L38" s="79" t="n">
        <f aca="false">SUM(L29:L37)</f>
        <v>48.9522802117217</v>
      </c>
      <c r="M38" s="74" t="n">
        <f aca="false">D38/$D38</f>
        <v>1</v>
      </c>
      <c r="N38" s="74" t="n">
        <f aca="false">E38/$D38</f>
        <v>0.983172359895092</v>
      </c>
      <c r="O38" s="74" t="n">
        <f aca="false">F38/$D38</f>
        <v>0.982971976989291</v>
      </c>
      <c r="P38" s="74" t="n">
        <f aca="false">G38/$D38</f>
        <v>0.981970062460282</v>
      </c>
      <c r="Q38" s="74" t="n">
        <f aca="false">H38/$D38</f>
        <v>0.980968147931273</v>
      </c>
      <c r="R38" s="74" t="n">
        <f aca="false">I38/$D38</f>
        <v>0.977353465657928</v>
      </c>
      <c r="S38" s="74" t="n">
        <f aca="false">J38/$D38</f>
        <v>0.973738783384583</v>
      </c>
      <c r="T38" s="74" t="n">
        <f aca="false">K38/$D38</f>
        <v>0.970124101111237</v>
      </c>
      <c r="U38" s="74" t="n">
        <f aca="false">L38/$D38</f>
        <v>0.966509418837893</v>
      </c>
    </row>
    <row r="39" customFormat="false" ht="14.5" hidden="false" customHeight="false" outlineLevel="0" collapsed="false">
      <c r="B39" s="63"/>
      <c r="C39" s="63"/>
      <c r="D39" s="63"/>
      <c r="E39" s="63"/>
      <c r="G39" s="62"/>
    </row>
    <row r="40" customFormat="false" ht="15" hidden="false" customHeight="false" outlineLevel="0" collapsed="false">
      <c r="B40" s="47" t="s">
        <v>4</v>
      </c>
      <c r="D40" s="65" t="s">
        <v>44</v>
      </c>
      <c r="E40" s="65"/>
      <c r="F40" s="65"/>
      <c r="G40" s="65"/>
      <c r="H40" s="65"/>
      <c r="I40" s="65"/>
      <c r="J40" s="65"/>
      <c r="K40" s="65"/>
      <c r="L40" s="65"/>
      <c r="M40" s="65" t="s">
        <v>45</v>
      </c>
      <c r="N40" s="65"/>
      <c r="O40" s="65"/>
      <c r="P40" s="65"/>
      <c r="Q40" s="65"/>
      <c r="R40" s="65"/>
      <c r="S40" s="65"/>
      <c r="T40" s="65"/>
      <c r="U40" s="65"/>
    </row>
    <row r="41" customFormat="false" ht="14.5" hidden="false" customHeight="false" outlineLevel="0" collapsed="false">
      <c r="B41" s="66" t="s">
        <v>46</v>
      </c>
      <c r="C41" s="67"/>
      <c r="D41" s="68" t="n">
        <v>2015</v>
      </c>
      <c r="E41" s="68" t="n">
        <v>2019</v>
      </c>
      <c r="F41" s="69" t="n">
        <v>2020</v>
      </c>
      <c r="G41" s="69" t="n">
        <v>2025</v>
      </c>
      <c r="H41" s="69" t="n">
        <v>2030</v>
      </c>
      <c r="I41" s="69" t="n">
        <v>2035</v>
      </c>
      <c r="J41" s="69" t="n">
        <v>2040</v>
      </c>
      <c r="K41" s="69" t="n">
        <v>2045</v>
      </c>
      <c r="L41" s="70" t="n">
        <v>2050</v>
      </c>
      <c r="M41" s="68" t="n">
        <v>2015</v>
      </c>
      <c r="N41" s="71" t="n">
        <v>2019</v>
      </c>
      <c r="O41" s="69" t="n">
        <v>2020</v>
      </c>
      <c r="P41" s="69" t="n">
        <v>2025</v>
      </c>
      <c r="Q41" s="69" t="n">
        <v>2030</v>
      </c>
      <c r="R41" s="69" t="n">
        <v>2035</v>
      </c>
      <c r="S41" s="69" t="n">
        <v>2040</v>
      </c>
      <c r="T41" s="69" t="n">
        <v>2045</v>
      </c>
      <c r="U41" s="70" t="n">
        <v>2050</v>
      </c>
    </row>
    <row r="42" customFormat="false" ht="14.5" hidden="false" customHeight="false" outlineLevel="0" collapsed="false">
      <c r="B42" s="72" t="s">
        <v>6</v>
      </c>
      <c r="C42" s="73"/>
      <c r="D42" s="74" t="n">
        <f aca="false">'Pepit0 AMS'!D52</f>
        <v>12.4527173934811</v>
      </c>
      <c r="E42" s="74" t="n">
        <f aca="false">'Pepit0 AMS'!AE52</f>
        <v>12.2408839708569</v>
      </c>
      <c r="F42" s="75" t="n">
        <f aca="false">$E42+($H42-$E42)*1/11</f>
        <v>12.1755607179071</v>
      </c>
      <c r="G42" s="75" t="n">
        <f aca="false">$E42+($H42-$E42)*6/11</f>
        <v>11.8489444531581</v>
      </c>
      <c r="H42" s="75" t="n">
        <f aca="false">'Pepit0 AMS'!AN52</f>
        <v>11.522328188409</v>
      </c>
      <c r="I42" s="75" t="n">
        <f aca="false">$H42+($L42-$H42)*5/20</f>
        <v>11.4423514863647</v>
      </c>
      <c r="J42" s="75" t="n">
        <f aca="false">$H42+($L42-$H42)*10/20</f>
        <v>11.3623747843204</v>
      </c>
      <c r="K42" s="75" t="n">
        <f aca="false">$H42+($L42-$H42)*15/20</f>
        <v>11.282398082276</v>
      </c>
      <c r="L42" s="76" t="n">
        <f aca="false">'Pepit0 AMS'!BO52</f>
        <v>11.2024213802317</v>
      </c>
      <c r="M42" s="74" t="n">
        <f aca="false">D42/$D42</f>
        <v>1</v>
      </c>
      <c r="N42" s="74" t="n">
        <f aca="false">E42/$D42</f>
        <v>0.982988980161461</v>
      </c>
      <c r="O42" s="74" t="n">
        <f aca="false">F42/$D42</f>
        <v>0.977743277485834</v>
      </c>
      <c r="P42" s="74" t="n">
        <f aca="false">G42/$D42</f>
        <v>0.951514764107699</v>
      </c>
      <c r="Q42" s="74" t="n">
        <f aca="false">H42/$D42</f>
        <v>0.925286250729565</v>
      </c>
      <c r="R42" s="74" t="n">
        <f aca="false">I42/$D42</f>
        <v>0.918863821028704</v>
      </c>
      <c r="S42" s="74" t="n">
        <f aca="false">J42/$D42</f>
        <v>0.912441391327843</v>
      </c>
      <c r="T42" s="74" t="n">
        <f aca="false">K42/$D42</f>
        <v>0.906018961626983</v>
      </c>
      <c r="U42" s="74" t="n">
        <f aca="false">L42/$D42</f>
        <v>0.899596531926122</v>
      </c>
    </row>
    <row r="43" customFormat="false" ht="14.5" hidden="false" customHeight="false" outlineLevel="0" collapsed="false">
      <c r="B43" s="72" t="s">
        <v>47</v>
      </c>
      <c r="C43" s="73"/>
      <c r="D43" s="74" t="n">
        <f aca="false">'Pepit0 AMS'!E52</f>
        <v>1.36665209900678</v>
      </c>
      <c r="E43" s="74" t="n">
        <f aca="false">'Pepit0 AMS'!AF52</f>
        <v>1.44198859471018</v>
      </c>
      <c r="F43" s="75" t="n">
        <f aca="false">$E43+($H43-$E43)*1/11</f>
        <v>1.4604301475605</v>
      </c>
      <c r="G43" s="75" t="n">
        <f aca="false">$E43+($H43-$E43)*6/11</f>
        <v>1.55263791181213</v>
      </c>
      <c r="H43" s="75" t="n">
        <f aca="false">'Pepit0 AMS'!AO52</f>
        <v>1.64484567606376</v>
      </c>
      <c r="I43" s="75" t="n">
        <f aca="false">$H43+($L43-$H43)*5/20</f>
        <v>1.78889865695789</v>
      </c>
      <c r="J43" s="75" t="n">
        <f aca="false">$H43+($L43-$H43)*10/20</f>
        <v>1.93295163785203</v>
      </c>
      <c r="K43" s="75" t="n">
        <f aca="false">$H43+($L43-$H43)*15/20</f>
        <v>2.07700461874616</v>
      </c>
      <c r="L43" s="76" t="n">
        <f aca="false">'Pepit0 AMS'!BP52</f>
        <v>2.2210575996403</v>
      </c>
      <c r="M43" s="74" t="n">
        <f aca="false">D43/$D43</f>
        <v>1</v>
      </c>
      <c r="N43" s="74" t="n">
        <f aca="false">E43/$D43</f>
        <v>1.05512485273915</v>
      </c>
      <c r="O43" s="74" t="n">
        <f aca="false">F43/$D43</f>
        <v>1.06861881573363</v>
      </c>
      <c r="P43" s="74" t="n">
        <f aca="false">G43/$D43</f>
        <v>1.13608863070603</v>
      </c>
      <c r="Q43" s="74" t="n">
        <f aca="false">H43/$D43</f>
        <v>1.20355844567843</v>
      </c>
      <c r="R43" s="74" t="n">
        <f aca="false">I43/$D43</f>
        <v>1.30896418939245</v>
      </c>
      <c r="S43" s="74" t="n">
        <f aca="false">J43/$D43</f>
        <v>1.41436993310647</v>
      </c>
      <c r="T43" s="74" t="n">
        <f aca="false">K43/$D43</f>
        <v>1.51977567682049</v>
      </c>
      <c r="U43" s="74" t="n">
        <f aca="false">L43/$D43</f>
        <v>1.62518142053451</v>
      </c>
    </row>
    <row r="44" customFormat="false" ht="14.5" hidden="false" customHeight="false" outlineLevel="0" collapsed="false">
      <c r="B44" s="72" t="s">
        <v>16</v>
      </c>
      <c r="C44" s="73"/>
      <c r="D44" s="74" t="n">
        <f aca="false">'Pepit0 AMS'!F52</f>
        <v>4.930893985492</v>
      </c>
      <c r="E44" s="74" t="n">
        <f aca="false">'Pepit0 AMS'!AG52</f>
        <v>4.87707639308892</v>
      </c>
      <c r="F44" s="75" t="n">
        <f aca="false">$E44+($H44-$E44)*1/11</f>
        <v>4.8534108313488</v>
      </c>
      <c r="G44" s="75" t="n">
        <f aca="false">$E44+($H44-$E44)*6/11</f>
        <v>4.73508302264819</v>
      </c>
      <c r="H44" s="75" t="n">
        <f aca="false">'Pepit0 AMS'!AP52</f>
        <v>4.61675521394758</v>
      </c>
      <c r="I44" s="75" t="n">
        <f aca="false">$H44+($L44-$H44)*5/20</f>
        <v>4.27781044650409</v>
      </c>
      <c r="J44" s="75" t="n">
        <f aca="false">$H44+($L44-$H44)*10/20</f>
        <v>3.9388656790606</v>
      </c>
      <c r="K44" s="75" t="n">
        <f aca="false">$H44+($L44-$H44)*15/20</f>
        <v>3.59992091161711</v>
      </c>
      <c r="L44" s="76" t="n">
        <f aca="false">'Pepit0 AMS'!BQ52</f>
        <v>3.26097614417362</v>
      </c>
      <c r="M44" s="74" t="n">
        <f aca="false">D44/$D44</f>
        <v>1</v>
      </c>
      <c r="N44" s="74" t="n">
        <f aca="false">E44/$D44</f>
        <v>0.989085631822257</v>
      </c>
      <c r="O44" s="74" t="n">
        <f aca="false">F44/$D44</f>
        <v>0.984286185350735</v>
      </c>
      <c r="P44" s="74" t="n">
        <f aca="false">G44/$D44</f>
        <v>0.960288952993122</v>
      </c>
      <c r="Q44" s="74" t="n">
        <f aca="false">H44/$D44</f>
        <v>0.936291720635509</v>
      </c>
      <c r="R44" s="74" t="n">
        <f aca="false">I44/$D44</f>
        <v>0.867552711352252</v>
      </c>
      <c r="S44" s="74" t="n">
        <f aca="false">J44/$D44</f>
        <v>0.798813702068995</v>
      </c>
      <c r="T44" s="74" t="n">
        <f aca="false">K44/$D44</f>
        <v>0.730074692785737</v>
      </c>
      <c r="U44" s="74" t="n">
        <f aca="false">L44/$D44</f>
        <v>0.66133568350248</v>
      </c>
    </row>
    <row r="45" customFormat="false" ht="14.5" hidden="false" customHeight="false" outlineLevel="0" collapsed="false">
      <c r="B45" s="72" t="s">
        <v>15</v>
      </c>
      <c r="C45" s="73"/>
      <c r="D45" s="74" t="n">
        <f aca="false">'Pepit0 AMS'!G52</f>
        <v>13.3075467951616</v>
      </c>
      <c r="E45" s="74" t="n">
        <f aca="false">'Pepit0 AMS'!AH52</f>
        <v>12.4685664122616</v>
      </c>
      <c r="F45" s="75" t="n">
        <f aca="false">$E45+($H45-$E45)*1/11</f>
        <v>12.2142170894636</v>
      </c>
      <c r="G45" s="75" t="n">
        <f aca="false">$E45+($H45-$E45)*6/11</f>
        <v>10.9424704754737</v>
      </c>
      <c r="H45" s="75" t="n">
        <f aca="false">'Pepit0 AMS'!AQ52</f>
        <v>9.67072386148369</v>
      </c>
      <c r="I45" s="75" t="n">
        <f aca="false">$H45+($L45-$H45)*5/20</f>
        <v>8.8051250484803</v>
      </c>
      <c r="J45" s="75" t="n">
        <f aca="false">$H45+($L45-$H45)*10/20</f>
        <v>7.93952623547691</v>
      </c>
      <c r="K45" s="75" t="n">
        <f aca="false">$H45+($L45-$H45)*15/20</f>
        <v>7.07392742247353</v>
      </c>
      <c r="L45" s="76" t="n">
        <f aca="false">'Pepit0 AMS'!BR52</f>
        <v>6.20832860947014</v>
      </c>
      <c r="M45" s="74" t="n">
        <f aca="false">D45/$D45</f>
        <v>1</v>
      </c>
      <c r="N45" s="74" t="n">
        <f aca="false">E45/$D45</f>
        <v>0.936954541974256</v>
      </c>
      <c r="O45" s="74" t="n">
        <f aca="false">F45/$D45</f>
        <v>0.917841378089649</v>
      </c>
      <c r="P45" s="74" t="n">
        <f aca="false">G45/$D45</f>
        <v>0.822275558666616</v>
      </c>
      <c r="Q45" s="74" t="n">
        <f aca="false">H45/$D45</f>
        <v>0.726709739243583</v>
      </c>
      <c r="R45" s="74" t="n">
        <f aca="false">I45/$D45</f>
        <v>0.661664030494462</v>
      </c>
      <c r="S45" s="74" t="n">
        <f aca="false">J45/$D45</f>
        <v>0.59661832174534</v>
      </c>
      <c r="T45" s="74" t="n">
        <f aca="false">K45/$D45</f>
        <v>0.531572612996219</v>
      </c>
      <c r="U45" s="74" t="n">
        <f aca="false">L45/$D45</f>
        <v>0.466526904247098</v>
      </c>
      <c r="W45" s="47" t="s">
        <v>53</v>
      </c>
    </row>
    <row r="46" customFormat="false" ht="14.5" hidden="false" customHeight="false" outlineLevel="0" collapsed="false">
      <c r="B46" s="72" t="s">
        <v>49</v>
      </c>
      <c r="C46" s="73"/>
      <c r="D46" s="74" t="n">
        <f aca="false">'Pepit0 AMS'!H52</f>
        <v>2.15476227413165</v>
      </c>
      <c r="E46" s="74" t="n">
        <f aca="false">'Pepit0 AMS'!AI52</f>
        <v>2.10626581793132</v>
      </c>
      <c r="F46" s="75" t="n">
        <f aca="false">$E46+($H46-$E46)*1/11</f>
        <v>2.08606032573406</v>
      </c>
      <c r="G46" s="75" t="n">
        <f aca="false">$E46+($H46-$E46)*6/11</f>
        <v>1.98503286474777</v>
      </c>
      <c r="H46" s="75" t="n">
        <f aca="false">'Pepit0 AMS'!AR52</f>
        <v>1.88400540376148</v>
      </c>
      <c r="I46" s="75" t="n">
        <f aca="false">$H46+($L46-$H46)*5/20</f>
        <v>1.72324724995621</v>
      </c>
      <c r="J46" s="75" t="n">
        <f aca="false">$H46+($L46-$H46)*10/20</f>
        <v>1.56248909615095</v>
      </c>
      <c r="K46" s="75" t="n">
        <f aca="false">$H46+($L46-$H46)*15/20</f>
        <v>1.40173094234568</v>
      </c>
      <c r="L46" s="76" t="n">
        <f aca="false">'Pepit0 AMS'!BS52</f>
        <v>1.24097278854042</v>
      </c>
      <c r="M46" s="74" t="n">
        <f aca="false">D46/$D46</f>
        <v>1</v>
      </c>
      <c r="N46" s="74" t="n">
        <f aca="false">E46/$D46</f>
        <v>0.977493361201588</v>
      </c>
      <c r="O46" s="74" t="n">
        <f aca="false">F46/$D46</f>
        <v>0.968116228308633</v>
      </c>
      <c r="P46" s="74" t="n">
        <f aca="false">G46/$D46</f>
        <v>0.921230563843858</v>
      </c>
      <c r="Q46" s="74" t="n">
        <f aca="false">H46/$D46</f>
        <v>0.874344899379084</v>
      </c>
      <c r="R46" s="74" t="n">
        <f aca="false">I46/$D46</f>
        <v>0.799738918136884</v>
      </c>
      <c r="S46" s="74" t="n">
        <f aca="false">J46/$D46</f>
        <v>0.725132936894684</v>
      </c>
      <c r="T46" s="74" t="n">
        <f aca="false">K46/$D46</f>
        <v>0.650526955652484</v>
      </c>
      <c r="U46" s="74" t="n">
        <f aca="false">L46/$D46</f>
        <v>0.575920974410284</v>
      </c>
    </row>
    <row r="47" customFormat="false" ht="14.5" hidden="false" customHeight="false" outlineLevel="0" collapsed="false">
      <c r="B47" s="72" t="s">
        <v>50</v>
      </c>
      <c r="C47" s="73"/>
      <c r="D47" s="74" t="n">
        <f aca="false">'Pepit0 AMS'!I52</f>
        <v>1.12758378603706</v>
      </c>
      <c r="E47" s="74" t="n">
        <f aca="false">'Pepit0 AMS'!AJ52</f>
        <v>1.10705175708877</v>
      </c>
      <c r="F47" s="75" t="n">
        <f aca="false">$E47+($H47-$E47)*1/11</f>
        <v>1.09642304063316</v>
      </c>
      <c r="G47" s="75" t="n">
        <f aca="false">$E47+($H47-$E47)*6/11</f>
        <v>1.0432794583551</v>
      </c>
      <c r="H47" s="75" t="n">
        <f aca="false">'Pepit0 AMS'!AS52</f>
        <v>0.990135876077032</v>
      </c>
      <c r="I47" s="75" t="n">
        <f aca="false">$H47+($L47-$H47)*5/20</f>
        <v>0.933971804889849</v>
      </c>
      <c r="J47" s="75" t="n">
        <f aca="false">$H47+($L47-$H47)*10/20</f>
        <v>0.877807733702666</v>
      </c>
      <c r="K47" s="75" t="n">
        <f aca="false">$H47+($L47-$H47)*15/20</f>
        <v>0.821643662515483</v>
      </c>
      <c r="L47" s="76" t="n">
        <f aca="false">'Pepit0 AMS'!BT52</f>
        <v>0.7654795913283</v>
      </c>
      <c r="M47" s="74" t="n">
        <f aca="false">D47/$D47</f>
        <v>1</v>
      </c>
      <c r="N47" s="74" t="n">
        <f aca="false">E47/$D47</f>
        <v>0.981791127894409</v>
      </c>
      <c r="O47" s="74" t="n">
        <f aca="false">F47/$D47</f>
        <v>0.972365028843297</v>
      </c>
      <c r="P47" s="74" t="n">
        <f aca="false">G47/$D47</f>
        <v>0.92523453358774</v>
      </c>
      <c r="Q47" s="74" t="n">
        <f aca="false">H47/$D47</f>
        <v>0.878104038332182</v>
      </c>
      <c r="R47" s="74" t="n">
        <f aca="false">I47/$D47</f>
        <v>0.828294816274658</v>
      </c>
      <c r="S47" s="74" t="n">
        <f aca="false">J47/$D47</f>
        <v>0.778485594217135</v>
      </c>
      <c r="T47" s="74" t="n">
        <f aca="false">K47/$D47</f>
        <v>0.728676372159611</v>
      </c>
      <c r="U47" s="74" t="n">
        <f aca="false">L47/$D47</f>
        <v>0.678867150102088</v>
      </c>
    </row>
    <row r="48" customFormat="false" ht="14.5" hidden="false" customHeight="false" outlineLevel="0" collapsed="false">
      <c r="B48" s="72" t="s">
        <v>12</v>
      </c>
      <c r="C48" s="73"/>
      <c r="D48" s="74" t="n">
        <f aca="false">'Pepit0 AMS'!J52</f>
        <v>3.20181831480176</v>
      </c>
      <c r="E48" s="74" t="n">
        <f aca="false">'Pepit0 AMS'!AK52</f>
        <v>3.1799100639803</v>
      </c>
      <c r="F48" s="75" t="n">
        <f aca="false">$E48+($H48-$E48)*1/11</f>
        <v>3.0785720725639</v>
      </c>
      <c r="G48" s="75" t="n">
        <f aca="false">$E48+($H48-$E48)*6/11</f>
        <v>2.57188211548191</v>
      </c>
      <c r="H48" s="75" t="n">
        <f aca="false">'Pepit0 AMS'!AT52</f>
        <v>2.06519215839992</v>
      </c>
      <c r="I48" s="75" t="n">
        <f aca="false">$H48+($L48-$H48)*5/20</f>
        <v>1.8254335821016</v>
      </c>
      <c r="J48" s="75" t="n">
        <f aca="false">$H48+($L48-$H48)*10/20</f>
        <v>1.58567500580329</v>
      </c>
      <c r="K48" s="75" t="n">
        <f aca="false">$H48+($L48-$H48)*15/20</f>
        <v>1.34591642950497</v>
      </c>
      <c r="L48" s="76" t="n">
        <f aca="false">'Pepit0 AMS'!BU52</f>
        <v>1.10615785320665</v>
      </c>
      <c r="M48" s="74" t="n">
        <f aca="false">D48/$D48</f>
        <v>1</v>
      </c>
      <c r="N48" s="74" t="n">
        <f aca="false">E48/$D48</f>
        <v>0.993157559652844</v>
      </c>
      <c r="O48" s="74" t="n">
        <f aca="false">F48/$D48</f>
        <v>0.961507421683453</v>
      </c>
      <c r="P48" s="74" t="n">
        <f aca="false">G48/$D48</f>
        <v>0.803256731836499</v>
      </c>
      <c r="Q48" s="74" t="n">
        <f aca="false">H48/$D48</f>
        <v>0.645006041989545</v>
      </c>
      <c r="R48" s="74" t="n">
        <f aca="false">I48/$D48</f>
        <v>0.57012403660219</v>
      </c>
      <c r="S48" s="74" t="n">
        <f aca="false">J48/$D48</f>
        <v>0.495242031214835</v>
      </c>
      <c r="T48" s="74" t="n">
        <f aca="false">K48/$D48</f>
        <v>0.42036002582748</v>
      </c>
      <c r="U48" s="74" t="n">
        <f aca="false">L48/$D48</f>
        <v>0.345478020440126</v>
      </c>
    </row>
    <row r="49" customFormat="false" ht="14.5" hidden="false" customHeight="false" outlineLevel="0" collapsed="false">
      <c r="B49" s="72" t="s">
        <v>51</v>
      </c>
      <c r="C49" s="73"/>
      <c r="D49" s="74" t="n">
        <f aca="false">'Pepit0 AMS'!K52</f>
        <v>8.346785</v>
      </c>
      <c r="E49" s="74" t="n">
        <f aca="false">'Pepit0 AMS'!AL52</f>
        <v>8.70201444020688</v>
      </c>
      <c r="F49" s="75" t="n">
        <f aca="false">$E49+($H49-$E49)*1/11</f>
        <v>8.75924398599081</v>
      </c>
      <c r="G49" s="75" t="n">
        <f aca="false">$E49+($H49-$E49)*6/11</f>
        <v>9.04539171491046</v>
      </c>
      <c r="H49" s="75" t="n">
        <f aca="false">'Pepit0 AMS'!AU52</f>
        <v>9.33153944383011</v>
      </c>
      <c r="I49" s="75" t="n">
        <f aca="false">$H49+($L49-$H49)*5/20</f>
        <v>9.64003045785306</v>
      </c>
      <c r="J49" s="75" t="n">
        <f aca="false">$H49+($L49-$H49)*10/20</f>
        <v>9.948521471876</v>
      </c>
      <c r="K49" s="75" t="n">
        <f aca="false">$H49+($L49-$H49)*15/20</f>
        <v>10.2570124858989</v>
      </c>
      <c r="L49" s="76" t="n">
        <f aca="false">'Pepit0 AMS'!BV52</f>
        <v>10.5655034999219</v>
      </c>
      <c r="M49" s="74" t="n">
        <f aca="false">D49/$D49</f>
        <v>1</v>
      </c>
      <c r="N49" s="74" t="n">
        <f aca="false">E49/$D49</f>
        <v>1.04255883435441</v>
      </c>
      <c r="O49" s="74" t="n">
        <f aca="false">F49/$D49</f>
        <v>1.04941531212207</v>
      </c>
      <c r="P49" s="74" t="n">
        <f aca="false">G49/$D49</f>
        <v>1.08369770096037</v>
      </c>
      <c r="Q49" s="74" t="n">
        <f aca="false">H49/$D49</f>
        <v>1.11798008979866</v>
      </c>
      <c r="R49" s="74" t="n">
        <f aca="false">I49/$D49</f>
        <v>1.15493935184063</v>
      </c>
      <c r="S49" s="74" t="n">
        <f aca="false">J49/$D49</f>
        <v>1.19189861388259</v>
      </c>
      <c r="T49" s="74" t="n">
        <f aca="false">K49/$D49</f>
        <v>1.22885787592456</v>
      </c>
      <c r="U49" s="74" t="n">
        <f aca="false">L49/$D49</f>
        <v>1.26581713796652</v>
      </c>
    </row>
    <row r="50" customFormat="false" ht="14.5" hidden="false" customHeight="false" outlineLevel="0" collapsed="false">
      <c r="B50" s="72" t="s">
        <v>18</v>
      </c>
      <c r="C50" s="73"/>
      <c r="D50" s="74" t="n">
        <f aca="false">'Pepit0 AMS'!L52</f>
        <v>3.75976923076923</v>
      </c>
      <c r="E50" s="74" t="n">
        <f aca="false">'Pepit0 AMS'!AM52</f>
        <v>3.77152220596044</v>
      </c>
      <c r="F50" s="75" t="n">
        <f aca="false">$E50+($H50-$E50)*1/11</f>
        <v>3.76575438261967</v>
      </c>
      <c r="G50" s="75" t="n">
        <f aca="false">$E50+($H50-$E50)*6/11</f>
        <v>3.73691526591584</v>
      </c>
      <c r="H50" s="75" t="n">
        <f aca="false">'Pepit0 AMS'!AV52</f>
        <v>3.70807614921201</v>
      </c>
      <c r="I50" s="75" t="n">
        <f aca="false">$H50+($L50-$H50)*5/20</f>
        <v>3.60381294883374</v>
      </c>
      <c r="J50" s="75" t="n">
        <f aca="false">$H50+($L50-$H50)*10/20</f>
        <v>3.49954974845547</v>
      </c>
      <c r="K50" s="75" t="n">
        <f aca="false">$H50+($L50-$H50)*15/20</f>
        <v>3.3952865480772</v>
      </c>
      <c r="L50" s="76" t="n">
        <f aca="false">'Pepit0 AMS'!BW52</f>
        <v>3.29102334769893</v>
      </c>
      <c r="M50" s="74" t="n">
        <f aca="false">D50/$D50</f>
        <v>1</v>
      </c>
      <c r="N50" s="74" t="n">
        <f aca="false">E50/$D50</f>
        <v>1.00312598313083</v>
      </c>
      <c r="O50" s="74" t="n">
        <f aca="false">F50/$D50</f>
        <v>1.00159189340704</v>
      </c>
      <c r="P50" s="74" t="n">
        <f aca="false">G50/$D50</f>
        <v>0.993921444788058</v>
      </c>
      <c r="Q50" s="74" t="n">
        <f aca="false">H50/$D50</f>
        <v>0.986250996169079</v>
      </c>
      <c r="R50" s="74" t="n">
        <f aca="false">I50/$D50</f>
        <v>0.958519719598965</v>
      </c>
      <c r="S50" s="74" t="n">
        <f aca="false">J50/$D50</f>
        <v>0.93078844302885</v>
      </c>
      <c r="T50" s="74" t="n">
        <f aca="false">K50/$D50</f>
        <v>0.903057166458735</v>
      </c>
      <c r="U50" s="74" t="n">
        <f aca="false">L50/$D50</f>
        <v>0.875325889888621</v>
      </c>
    </row>
    <row r="51" customFormat="false" ht="15" hidden="false" customHeight="false" outlineLevel="0" collapsed="false">
      <c r="B51" s="77" t="s">
        <v>52</v>
      </c>
      <c r="C51" s="78"/>
      <c r="D51" s="79" t="n">
        <f aca="false">SUM(D42:D50)</f>
        <v>50.6485288788812</v>
      </c>
      <c r="E51" s="79" t="n">
        <f aca="false">SUM(E42:E50)</f>
        <v>49.8952796560854</v>
      </c>
      <c r="F51" s="79" t="n">
        <f aca="false">SUM(F42:F50)</f>
        <v>49.4896725938217</v>
      </c>
      <c r="G51" s="79" t="n">
        <f aca="false">SUM(G42:G50)</f>
        <v>47.4616372825031</v>
      </c>
      <c r="H51" s="79" t="n">
        <f aca="false">SUM(H42:H50)</f>
        <v>45.4336019711846</v>
      </c>
      <c r="I51" s="79" t="n">
        <f aca="false">SUM(I42:I50)</f>
        <v>44.0406816819414</v>
      </c>
      <c r="J51" s="79" t="n">
        <f aca="false">SUM(J42:J50)</f>
        <v>42.6477613926983</v>
      </c>
      <c r="K51" s="79" t="n">
        <f aca="false">SUM(K42:K50)</f>
        <v>41.2548411034551</v>
      </c>
      <c r="L51" s="79" t="n">
        <f aca="false">SUM(L42:L50)</f>
        <v>39.861920814212</v>
      </c>
      <c r="M51" s="74" t="n">
        <f aca="false">D51/$D51</f>
        <v>1</v>
      </c>
      <c r="N51" s="74" t="n">
        <f aca="false">E51/$D51</f>
        <v>0.985127915075339</v>
      </c>
      <c r="O51" s="74" t="n">
        <f aca="false">F51/$D51</f>
        <v>0.977119645709141</v>
      </c>
      <c r="P51" s="74" t="n">
        <f aca="false">G51/$D51</f>
        <v>0.937078298878154</v>
      </c>
      <c r="Q51" s="74" t="n">
        <f aca="false">H51/$D51</f>
        <v>0.897036952047167</v>
      </c>
      <c r="R51" s="74" t="n">
        <f aca="false">I51/$D51</f>
        <v>0.869535259104138</v>
      </c>
      <c r="S51" s="74" t="n">
        <f aca="false">J51/$D51</f>
        <v>0.842033566161109</v>
      </c>
      <c r="T51" s="74" t="n">
        <f aca="false">K51/$D51</f>
        <v>0.814531873218079</v>
      </c>
      <c r="U51" s="74" t="n">
        <f aca="false">L51/$D51</f>
        <v>0.78703018027505</v>
      </c>
    </row>
    <row r="53" customFormat="false" ht="14.5" hidden="false" customHeight="false" outlineLevel="0" collapsed="false">
      <c r="G53" s="80"/>
    </row>
    <row r="54" customFormat="false" ht="14.5" hidden="false" customHeight="false" outlineLevel="0" collapsed="false">
      <c r="F54" s="80"/>
      <c r="G54" s="80"/>
    </row>
    <row r="55" customFormat="false" ht="14.5" hidden="false" customHeight="false" outlineLevel="0" collapsed="false">
      <c r="F55" s="80"/>
    </row>
    <row r="56" customFormat="false" ht="15" hidden="false" customHeight="false" outlineLevel="0" collapsed="false">
      <c r="B56" s="3" t="s">
        <v>54</v>
      </c>
      <c r="C56" s="3"/>
      <c r="D56" s="3"/>
      <c r="E56" s="3"/>
      <c r="G56" s="81"/>
    </row>
    <row r="57" customFormat="false" ht="14.5" hidden="false" customHeight="false" outlineLevel="0" collapsed="false">
      <c r="Y57" s="82"/>
      <c r="Z57" s="83"/>
      <c r="AA57" s="83"/>
      <c r="AB57" s="83"/>
      <c r="AC57" s="83"/>
      <c r="AD57" s="83"/>
      <c r="AE57" s="83"/>
      <c r="AF57" s="83"/>
      <c r="AG57" s="84"/>
    </row>
    <row r="58" customFormat="false" ht="15" hidden="false" customHeight="false" outlineLevel="0" collapsed="false">
      <c r="Y58" s="85"/>
      <c r="Z58" s="86" t="s">
        <v>55</v>
      </c>
      <c r="AA58" s="86"/>
      <c r="AB58" s="86"/>
      <c r="AC58" s="86"/>
      <c r="AD58" s="86"/>
      <c r="AE58" s="86"/>
      <c r="AF58" s="86"/>
      <c r="AG58" s="87"/>
    </row>
    <row r="59" customFormat="false" ht="15" hidden="false" customHeight="false" outlineLevel="0" collapsed="false">
      <c r="C59" s="88" t="s">
        <v>56</v>
      </c>
      <c r="D59" s="88"/>
      <c r="E59" s="88"/>
      <c r="F59" s="88"/>
      <c r="G59" s="88"/>
      <c r="Y59" s="85"/>
      <c r="Z59" s="86"/>
      <c r="AA59" s="86"/>
      <c r="AB59" s="86"/>
      <c r="AC59" s="86"/>
      <c r="AD59" s="86"/>
      <c r="AE59" s="86"/>
      <c r="AF59" s="86"/>
      <c r="AG59" s="87"/>
    </row>
    <row r="60" customFormat="false" ht="14.5" hidden="false" customHeight="false" outlineLevel="0" collapsed="false">
      <c r="C60" s="89" t="s">
        <v>57</v>
      </c>
      <c r="D60" s="89"/>
      <c r="E60" s="90" t="s">
        <v>58</v>
      </c>
      <c r="F60" s="90"/>
      <c r="G60" s="90"/>
      <c r="Y60" s="85"/>
      <c r="Z60" s="91" t="s">
        <v>6</v>
      </c>
      <c r="AA60" s="91"/>
      <c r="AB60" s="91" t="n">
        <v>2015</v>
      </c>
      <c r="AC60" s="91" t="n">
        <v>2016</v>
      </c>
      <c r="AD60" s="91" t="n">
        <v>2017</v>
      </c>
      <c r="AE60" s="91" t="n">
        <v>2018</v>
      </c>
      <c r="AF60" s="91" t="n">
        <v>2019</v>
      </c>
      <c r="AG60" s="87"/>
    </row>
    <row r="61" customFormat="false" ht="14.5" hidden="false" customHeight="false" outlineLevel="0" collapsed="false">
      <c r="B61" s="92" t="s">
        <v>59</v>
      </c>
      <c r="C61" s="93" t="n">
        <v>2014</v>
      </c>
      <c r="D61" s="94" t="n">
        <v>2019</v>
      </c>
      <c r="E61" s="95" t="n">
        <v>2015</v>
      </c>
      <c r="F61" s="96" t="n">
        <v>2019</v>
      </c>
      <c r="G61" s="97" t="n">
        <v>2020</v>
      </c>
      <c r="Y61" s="85"/>
      <c r="Z61" s="91" t="s">
        <v>60</v>
      </c>
      <c r="AA61" s="91" t="s">
        <v>61</v>
      </c>
      <c r="AB61" s="91" t="n">
        <v>16327.6561146285</v>
      </c>
      <c r="AC61" s="91" t="n">
        <v>15675.6610228298</v>
      </c>
      <c r="AD61" s="91" t="n">
        <v>16835.6878224974</v>
      </c>
      <c r="AE61" s="91" t="n">
        <v>15387.355</v>
      </c>
      <c r="AF61" s="91" t="n">
        <v>14449.651</v>
      </c>
      <c r="AG61" s="87"/>
    </row>
    <row r="62" customFormat="false" ht="14.5" hidden="false" customHeight="true" outlineLevel="0" collapsed="false">
      <c r="B62" s="92" t="s">
        <v>6</v>
      </c>
      <c r="C62" s="93" t="n">
        <v>1.21</v>
      </c>
      <c r="D62" s="94" t="n">
        <v>1.18</v>
      </c>
      <c r="E62" s="98" t="n">
        <f aca="false">C7/D42</f>
        <v>1.21178370336257</v>
      </c>
      <c r="F62" s="99" t="n">
        <f aca="false">G7/E42</f>
        <v>1.19190738469018</v>
      </c>
      <c r="G62" s="100" t="n">
        <f aca="false">H7/F42</f>
        <v>0.951906878748846</v>
      </c>
      <c r="W62" s="101"/>
      <c r="Y62" s="85"/>
      <c r="Z62" s="91" t="s">
        <v>60</v>
      </c>
      <c r="AA62" s="91" t="s">
        <v>62</v>
      </c>
      <c r="AB62" s="91" t="n">
        <v>12130</v>
      </c>
      <c r="AC62" s="91" t="n">
        <v>12656</v>
      </c>
      <c r="AD62" s="91" t="n">
        <v>12818</v>
      </c>
      <c r="AE62" s="91" t="n">
        <v>12656</v>
      </c>
      <c r="AF62" s="91" t="n">
        <v>12222</v>
      </c>
      <c r="AG62" s="87"/>
    </row>
    <row r="63" customFormat="false" ht="14.5" hidden="false" customHeight="false" outlineLevel="0" collapsed="false">
      <c r="B63" s="92" t="s">
        <v>63</v>
      </c>
      <c r="C63" s="93" t="n">
        <v>0.73</v>
      </c>
      <c r="D63" s="94" t="n">
        <v>0.67</v>
      </c>
      <c r="E63" s="98" t="n">
        <f aca="false">C11/D43</f>
        <v>0.653421599139235</v>
      </c>
      <c r="F63" s="99" t="n">
        <f aca="false">G11/E43</f>
        <v>0.619977164368407</v>
      </c>
      <c r="G63" s="100" t="n">
        <f aca="false">H11/F43</f>
        <v>0.549343344476786</v>
      </c>
      <c r="W63" s="101"/>
      <c r="Y63" s="85"/>
      <c r="Z63" s="91" t="s">
        <v>60</v>
      </c>
      <c r="AA63" s="91" t="s">
        <v>64</v>
      </c>
      <c r="AB63" s="91" t="n">
        <v>12816</v>
      </c>
      <c r="AC63" s="91" t="n">
        <v>12671</v>
      </c>
      <c r="AD63" s="91" t="n">
        <v>13758</v>
      </c>
      <c r="AE63" s="91" t="n">
        <v>13328</v>
      </c>
      <c r="AF63" s="91" t="n">
        <v>12543</v>
      </c>
      <c r="AG63" s="87"/>
    </row>
    <row r="64" customFormat="false" ht="14.5" hidden="false" customHeight="false" outlineLevel="0" collapsed="false">
      <c r="B64" s="92" t="s">
        <v>65</v>
      </c>
      <c r="C64" s="93" t="n">
        <v>0.99</v>
      </c>
      <c r="D64" s="94" t="n">
        <v>0.99</v>
      </c>
      <c r="E64" s="98" t="n">
        <f aca="false">C18/D45</f>
        <v>0.942322442522562</v>
      </c>
      <c r="F64" s="99" t="n">
        <f aca="false">G18/E45</f>
        <v>1.03780976674871</v>
      </c>
      <c r="G64" s="100" t="n">
        <f aca="false">H18/F45</f>
        <v>0.963631145065627</v>
      </c>
      <c r="W64" s="101"/>
      <c r="Y64" s="85"/>
      <c r="Z64" s="91" t="s">
        <v>60</v>
      </c>
      <c r="AA64" s="91" t="s">
        <v>66</v>
      </c>
      <c r="AB64" s="91" t="n">
        <v>686</v>
      </c>
      <c r="AC64" s="91" t="n">
        <v>15</v>
      </c>
      <c r="AD64" s="91" t="n">
        <v>940</v>
      </c>
      <c r="AE64" s="91" t="n">
        <v>672</v>
      </c>
      <c r="AF64" s="91" t="n">
        <v>321</v>
      </c>
      <c r="AG64" s="87"/>
    </row>
    <row r="65" customFormat="false" ht="14.5" hidden="false" customHeight="false" outlineLevel="0" collapsed="false">
      <c r="B65" s="92" t="s">
        <v>67</v>
      </c>
      <c r="C65" s="93" t="n">
        <v>0.92</v>
      </c>
      <c r="D65" s="94" t="n">
        <v>0.93</v>
      </c>
      <c r="E65" s="98" t="n">
        <f aca="false">C19/D44</f>
        <v>1.10780915728186</v>
      </c>
      <c r="F65" s="99" t="n">
        <f aca="false">G19/E44</f>
        <v>1.16814498909083</v>
      </c>
      <c r="G65" s="100" t="n">
        <f aca="false">H19/F44</f>
        <v>1.03505679295728</v>
      </c>
      <c r="W65" s="101"/>
      <c r="Y65" s="85"/>
      <c r="Z65" s="91" t="s">
        <v>60</v>
      </c>
      <c r="AA65" s="91" t="s">
        <v>68</v>
      </c>
      <c r="AB65" s="102" t="n">
        <f aca="false">AB64/AB61</f>
        <v>0.042014603638387</v>
      </c>
      <c r="AC65" s="102" t="n">
        <f aca="false">AC64/AC61</f>
        <v>0.000956897446184517</v>
      </c>
      <c r="AD65" s="102" t="n">
        <f aca="false">AD64/AD61</f>
        <v>0.0558337746524311</v>
      </c>
      <c r="AE65" s="102" t="n">
        <f aca="false">AE64/AE61</f>
        <v>0.043672223068877</v>
      </c>
      <c r="AF65" s="102" t="n">
        <f aca="false">AF64/AF61</f>
        <v>0.0222150694158634</v>
      </c>
      <c r="AG65" s="87"/>
    </row>
    <row r="66" customFormat="false" ht="14.5" hidden="false" customHeight="false" outlineLevel="0" collapsed="false">
      <c r="B66" s="92" t="s">
        <v>69</v>
      </c>
      <c r="C66" s="93" t="n">
        <v>0.57</v>
      </c>
      <c r="D66" s="94" t="n">
        <v>0.62</v>
      </c>
      <c r="E66" s="98" t="n">
        <f aca="false">C17/D46</f>
        <v>0.496574500512453</v>
      </c>
      <c r="F66" s="99" t="n">
        <f aca="false">G17/E46</f>
        <v>0.508008054297205</v>
      </c>
      <c r="G66" s="100" t="n">
        <f aca="false">H17/F46</f>
        <v>0.479372522291804</v>
      </c>
      <c r="W66" s="101"/>
      <c r="Y66" s="85"/>
      <c r="Z66" s="91" t="s">
        <v>57</v>
      </c>
      <c r="AA66" s="91" t="s">
        <v>70</v>
      </c>
      <c r="AB66" s="103" t="n">
        <f aca="false">K7-D42</f>
        <v>-12.4527173934811</v>
      </c>
      <c r="AC66" s="91"/>
      <c r="AD66" s="91"/>
      <c r="AE66" s="91"/>
      <c r="AF66" s="103" t="n">
        <f aca="false">L7-E42</f>
        <v>-12.2408839708569</v>
      </c>
      <c r="AG66" s="87"/>
    </row>
    <row r="67" customFormat="false" ht="14.5" hidden="false" customHeight="false" outlineLevel="0" collapsed="false">
      <c r="B67" s="92" t="s">
        <v>13</v>
      </c>
      <c r="C67" s="93" t="n">
        <v>1.06</v>
      </c>
      <c r="D67" s="94" t="n">
        <v>1.06</v>
      </c>
      <c r="E67" s="98" t="n">
        <f aca="false">C16/D47</f>
        <v>0.815903892369169</v>
      </c>
      <c r="F67" s="99" t="n">
        <f aca="false">G16/E47</f>
        <v>0.867168128186277</v>
      </c>
      <c r="G67" s="100" t="n">
        <f aca="false">H16/F47</f>
        <v>0.811730479036673</v>
      </c>
      <c r="W67" s="101"/>
      <c r="Y67" s="85"/>
      <c r="Z67" s="91" t="s">
        <v>57</v>
      </c>
      <c r="AA67" s="91" t="s">
        <v>68</v>
      </c>
      <c r="AB67" s="104" t="e">
        <f aca="false">AB66/K7</f>
        <v>#DIV/0!</v>
      </c>
      <c r="AC67" s="104"/>
      <c r="AD67" s="104"/>
      <c r="AE67" s="104"/>
      <c r="AF67" s="104" t="e">
        <f aca="false">AF66/L7</f>
        <v>#DIV/0!</v>
      </c>
      <c r="AG67" s="87"/>
    </row>
    <row r="68" customFormat="false" ht="14.5" hidden="false" customHeight="false" outlineLevel="0" collapsed="false">
      <c r="B68" s="92" t="s">
        <v>12</v>
      </c>
      <c r="C68" s="93" t="n">
        <v>1.05</v>
      </c>
      <c r="D68" s="94" t="n">
        <v>1.04</v>
      </c>
      <c r="E68" s="98" t="n">
        <f aca="false">C15/D48</f>
        <v>0.783929552903255</v>
      </c>
      <c r="F68" s="99" t="n">
        <f aca="false">G15/E48</f>
        <v>0.735869868304079</v>
      </c>
      <c r="G68" s="100" t="n">
        <f aca="false">H15/F48</f>
        <v>0.737354834155139</v>
      </c>
      <c r="W68" s="101"/>
      <c r="Y68" s="85"/>
      <c r="Z68" s="86"/>
      <c r="AA68" s="86"/>
      <c r="AB68" s="86"/>
      <c r="AC68" s="86"/>
      <c r="AD68" s="86"/>
      <c r="AE68" s="86"/>
      <c r="AF68" s="86"/>
      <c r="AG68" s="87"/>
    </row>
    <row r="69" customFormat="false" ht="14.5" hidden="false" customHeight="false" outlineLevel="0" collapsed="false">
      <c r="B69" s="92" t="s">
        <v>71</v>
      </c>
      <c r="C69" s="93" t="n">
        <v>1.52</v>
      </c>
      <c r="D69" s="94" t="n">
        <v>1.52</v>
      </c>
      <c r="E69" s="98" t="n">
        <f aca="false">C22/D50</f>
        <v>1.20220144444217</v>
      </c>
      <c r="F69" s="99" t="n">
        <f aca="false">G22/E50</f>
        <v>1.31511886425097</v>
      </c>
      <c r="G69" s="100" t="n">
        <f aca="false">H22/F50</f>
        <v>0.897562521761889</v>
      </c>
      <c r="W69" s="101"/>
      <c r="Y69" s="85"/>
      <c r="Z69" s="91" t="s">
        <v>10</v>
      </c>
      <c r="AA69" s="91"/>
      <c r="AB69" s="91" t="n">
        <v>2015</v>
      </c>
      <c r="AC69" s="91" t="n">
        <v>2016</v>
      </c>
      <c r="AD69" s="91" t="n">
        <v>2017</v>
      </c>
      <c r="AE69" s="91" t="n">
        <v>2018</v>
      </c>
      <c r="AF69" s="91" t="n">
        <v>2019</v>
      </c>
      <c r="AG69" s="87"/>
    </row>
    <row r="70" customFormat="false" ht="15" hidden="false" customHeight="false" outlineLevel="0" collapsed="false">
      <c r="B70" s="92" t="s">
        <v>72</v>
      </c>
      <c r="C70" s="105" t="n">
        <v>0.56</v>
      </c>
      <c r="D70" s="106" t="n">
        <v>0.59</v>
      </c>
      <c r="E70" s="107" t="n">
        <f aca="false">C20/D49</f>
        <v>0.957254799302965</v>
      </c>
      <c r="F70" s="108" t="n">
        <f aca="false">G20/E49</f>
        <v>0.841184538395914</v>
      </c>
      <c r="G70" s="109" t="n">
        <f aca="false">H20/F49</f>
        <v>0.777454666609977</v>
      </c>
      <c r="W70" s="101"/>
      <c r="Y70" s="85"/>
      <c r="Z70" s="91" t="s">
        <v>60</v>
      </c>
      <c r="AA70" s="91" t="s">
        <v>61</v>
      </c>
      <c r="AB70" s="91" t="n">
        <v>892.634</v>
      </c>
      <c r="AC70" s="91" t="n">
        <v>917.872</v>
      </c>
      <c r="AD70" s="91" t="n">
        <v>941.537</v>
      </c>
      <c r="AE70" s="91" t="n">
        <v>878</v>
      </c>
      <c r="AF70" s="91" t="n">
        <v>894</v>
      </c>
      <c r="AG70" s="87"/>
    </row>
    <row r="71" customFormat="false" ht="15" hidden="false" customHeight="false" outlineLevel="0" collapsed="false">
      <c r="Y71" s="85"/>
      <c r="Z71" s="91" t="s">
        <v>60</v>
      </c>
      <c r="AA71" s="91" t="s">
        <v>62</v>
      </c>
      <c r="AB71" s="91" t="n">
        <v>539.459</v>
      </c>
      <c r="AC71" s="91" t="n">
        <v>587.942</v>
      </c>
      <c r="AD71" s="91" t="n">
        <v>558.463</v>
      </c>
      <c r="AE71" s="91" t="n">
        <v>558</v>
      </c>
      <c r="AF71" s="91" t="n">
        <v>544</v>
      </c>
      <c r="AG71" s="87"/>
    </row>
    <row r="72" customFormat="false" ht="14.5" hidden="false" customHeight="false" outlineLevel="0" collapsed="false">
      <c r="B72" s="47" t="s">
        <v>3</v>
      </c>
      <c r="C72" s="47" t="s">
        <v>56</v>
      </c>
      <c r="D72" s="110" t="s">
        <v>73</v>
      </c>
      <c r="E72" s="111" t="s">
        <v>74</v>
      </c>
      <c r="F72" s="111" t="s">
        <v>74</v>
      </c>
      <c r="G72" s="111" t="s">
        <v>74</v>
      </c>
      <c r="H72" s="111" t="s">
        <v>74</v>
      </c>
      <c r="I72" s="111" t="s">
        <v>74</v>
      </c>
      <c r="J72" s="112" t="s">
        <v>74</v>
      </c>
      <c r="Y72" s="85"/>
      <c r="Z72" s="91" t="s">
        <v>60</v>
      </c>
      <c r="AA72" s="91" t="s">
        <v>64</v>
      </c>
      <c r="AB72" s="91" t="n">
        <v>254.227</v>
      </c>
      <c r="AC72" s="91" t="n">
        <v>262.318</v>
      </c>
      <c r="AD72" s="91" t="n">
        <v>299.586</v>
      </c>
      <c r="AE72" s="91" t="n">
        <v>250</v>
      </c>
      <c r="AF72" s="91" t="n">
        <v>262</v>
      </c>
      <c r="AG72" s="87"/>
    </row>
    <row r="73" customFormat="false" ht="14.5" hidden="false" customHeight="false" outlineLevel="0" collapsed="false">
      <c r="B73" s="92" t="s">
        <v>59</v>
      </c>
      <c r="C73" s="96" t="n">
        <f aca="false">F61</f>
        <v>2019</v>
      </c>
      <c r="D73" s="95" t="n">
        <f aca="false">G61</f>
        <v>2020</v>
      </c>
      <c r="E73" s="96" t="n">
        <v>2025</v>
      </c>
      <c r="F73" s="96" t="n">
        <v>2030</v>
      </c>
      <c r="G73" s="96" t="n">
        <v>2035</v>
      </c>
      <c r="H73" s="96" t="n">
        <v>2040</v>
      </c>
      <c r="I73" s="96" t="n">
        <v>2045</v>
      </c>
      <c r="J73" s="97" t="n">
        <v>2050</v>
      </c>
      <c r="L73" s="47" t="s">
        <v>75</v>
      </c>
      <c r="Y73" s="85"/>
      <c r="Z73" s="91" t="s">
        <v>60</v>
      </c>
      <c r="AA73" s="91" t="s">
        <v>66</v>
      </c>
      <c r="AB73" s="91" t="n">
        <f aca="false">AB72-AB71</f>
        <v>-285.232</v>
      </c>
      <c r="AC73" s="91" t="n">
        <f aca="false">AC72-AC71</f>
        <v>-325.624</v>
      </c>
      <c r="AD73" s="91" t="n">
        <f aca="false">AD72-AD71</f>
        <v>-258.877</v>
      </c>
      <c r="AE73" s="91" t="n">
        <f aca="false">AE72-AE71</f>
        <v>-308</v>
      </c>
      <c r="AF73" s="91" t="n">
        <f aca="false">AF72-AF71</f>
        <v>-282</v>
      </c>
      <c r="AG73" s="87"/>
    </row>
    <row r="74" customFormat="false" ht="14.5" hidden="false" customHeight="false" outlineLevel="0" collapsed="false">
      <c r="B74" s="92" t="s">
        <v>6</v>
      </c>
      <c r="C74" s="99" t="n">
        <f aca="false">F62</f>
        <v>1.19190738469018</v>
      </c>
      <c r="D74" s="98" t="n">
        <f aca="false">G62</f>
        <v>0.951906878748846</v>
      </c>
      <c r="E74" s="99" t="n">
        <f aca="false">$C74</f>
        <v>1.19190738469018</v>
      </c>
      <c r="F74" s="99" t="n">
        <f aca="false">$C74</f>
        <v>1.19190738469018</v>
      </c>
      <c r="G74" s="99" t="n">
        <f aca="false">$C74</f>
        <v>1.19190738469018</v>
      </c>
      <c r="H74" s="99" t="n">
        <f aca="false">$C74</f>
        <v>1.19190738469018</v>
      </c>
      <c r="I74" s="99" t="n">
        <f aca="false">$C74</f>
        <v>1.19190738469018</v>
      </c>
      <c r="J74" s="100" t="n">
        <f aca="false">$C74</f>
        <v>1.19190738469018</v>
      </c>
      <c r="Y74" s="85"/>
      <c r="Z74" s="91" t="s">
        <v>60</v>
      </c>
      <c r="AA74" s="91" t="s">
        <v>68</v>
      </c>
      <c r="AB74" s="102" t="n">
        <f aca="false">AB73/AB70</f>
        <v>-0.319539699361664</v>
      </c>
      <c r="AC74" s="102" t="n">
        <f aca="false">AC73/AC70</f>
        <v>-0.354759705056914</v>
      </c>
      <c r="AD74" s="102" t="n">
        <f aca="false">AD73/AD70</f>
        <v>-0.274951488895285</v>
      </c>
      <c r="AE74" s="102" t="n">
        <f aca="false">AE73/AE70</f>
        <v>-0.350797266514806</v>
      </c>
      <c r="AF74" s="102" t="n">
        <f aca="false">AF73/AF70</f>
        <v>-0.315436241610738</v>
      </c>
      <c r="AG74" s="87"/>
    </row>
    <row r="75" customFormat="false" ht="14.5" hidden="false" customHeight="false" outlineLevel="0" collapsed="false">
      <c r="B75" s="92" t="s">
        <v>63</v>
      </c>
      <c r="C75" s="99" t="n">
        <f aca="false">F63</f>
        <v>0.619977164368407</v>
      </c>
      <c r="D75" s="98" t="n">
        <f aca="false">G63</f>
        <v>0.549343344476786</v>
      </c>
      <c r="E75" s="99" t="n">
        <f aca="false">$C75</f>
        <v>0.619977164368407</v>
      </c>
      <c r="F75" s="99" t="n">
        <f aca="false">$C75</f>
        <v>0.619977164368407</v>
      </c>
      <c r="G75" s="99" t="n">
        <f aca="false">$C75</f>
        <v>0.619977164368407</v>
      </c>
      <c r="H75" s="99" t="n">
        <f aca="false">$C75</f>
        <v>0.619977164368407</v>
      </c>
      <c r="I75" s="99" t="n">
        <f aca="false">$C75</f>
        <v>0.619977164368407</v>
      </c>
      <c r="J75" s="100" t="n">
        <f aca="false">$C75</f>
        <v>0.619977164368407</v>
      </c>
      <c r="Y75" s="85"/>
      <c r="Z75" s="91" t="s">
        <v>57</v>
      </c>
      <c r="AA75" s="91" t="s">
        <v>70</v>
      </c>
      <c r="AB75" s="103" t="n">
        <f aca="false">K11-D43</f>
        <v>-1.36665209900678</v>
      </c>
      <c r="AC75" s="91"/>
      <c r="AD75" s="91"/>
      <c r="AE75" s="91"/>
      <c r="AF75" s="103" t="n">
        <f aca="false">L11-E43</f>
        <v>-1.44198859471018</v>
      </c>
      <c r="AG75" s="87"/>
    </row>
    <row r="76" customFormat="false" ht="14.5" hidden="false" customHeight="false" outlineLevel="0" collapsed="false">
      <c r="B76" s="92" t="s">
        <v>65</v>
      </c>
      <c r="C76" s="99" t="n">
        <f aca="false">F64</f>
        <v>1.03780976674871</v>
      </c>
      <c r="D76" s="98" t="n">
        <f aca="false">G64</f>
        <v>0.963631145065627</v>
      </c>
      <c r="E76" s="99" t="n">
        <f aca="false">$C76</f>
        <v>1.03780976674871</v>
      </c>
      <c r="F76" s="99" t="n">
        <f aca="false">$C76</f>
        <v>1.03780976674871</v>
      </c>
      <c r="G76" s="99" t="n">
        <f aca="false">$C76</f>
        <v>1.03780976674871</v>
      </c>
      <c r="H76" s="99" t="n">
        <f aca="false">$C76</f>
        <v>1.03780976674871</v>
      </c>
      <c r="I76" s="99" t="n">
        <f aca="false">$C76</f>
        <v>1.03780976674871</v>
      </c>
      <c r="J76" s="100" t="n">
        <f aca="false">$C76</f>
        <v>1.03780976674871</v>
      </c>
      <c r="Y76" s="85"/>
      <c r="Z76" s="91" t="s">
        <v>57</v>
      </c>
      <c r="AA76" s="91" t="s">
        <v>68</v>
      </c>
      <c r="AB76" s="104" t="e">
        <f aca="false">AB75/K11</f>
        <v>#DIV/0!</v>
      </c>
      <c r="AC76" s="104"/>
      <c r="AD76" s="104"/>
      <c r="AE76" s="104"/>
      <c r="AF76" s="104" t="e">
        <f aca="false">AF75/L11</f>
        <v>#DIV/0!</v>
      </c>
      <c r="AG76" s="87"/>
    </row>
    <row r="77" customFormat="false" ht="14.5" hidden="false" customHeight="false" outlineLevel="0" collapsed="false">
      <c r="B77" s="92" t="s">
        <v>67</v>
      </c>
      <c r="C77" s="99" t="n">
        <f aca="false">F65</f>
        <v>1.16814498909083</v>
      </c>
      <c r="D77" s="98" t="n">
        <f aca="false">G65</f>
        <v>1.03505679295728</v>
      </c>
      <c r="E77" s="99" t="n">
        <f aca="false">$C77</f>
        <v>1.16814498909083</v>
      </c>
      <c r="F77" s="99" t="n">
        <f aca="false">$C77</f>
        <v>1.16814498909083</v>
      </c>
      <c r="G77" s="99" t="n">
        <f aca="false">$C77</f>
        <v>1.16814498909083</v>
      </c>
      <c r="H77" s="99" t="n">
        <f aca="false">$C77</f>
        <v>1.16814498909083</v>
      </c>
      <c r="I77" s="99" t="n">
        <f aca="false">$C77</f>
        <v>1.16814498909083</v>
      </c>
      <c r="J77" s="100" t="n">
        <f aca="false">$C77</f>
        <v>1.16814498909083</v>
      </c>
      <c r="Y77" s="85"/>
      <c r="Z77" s="86"/>
      <c r="AA77" s="86"/>
      <c r="AB77" s="86"/>
      <c r="AC77" s="86"/>
      <c r="AD77" s="86"/>
      <c r="AE77" s="86"/>
      <c r="AF77" s="86"/>
      <c r="AG77" s="87"/>
    </row>
    <row r="78" customFormat="false" ht="14.5" hidden="false" customHeight="false" outlineLevel="0" collapsed="false">
      <c r="B78" s="92" t="s">
        <v>69</v>
      </c>
      <c r="C78" s="99" t="n">
        <f aca="false">F66</f>
        <v>0.508008054297205</v>
      </c>
      <c r="D78" s="98" t="n">
        <f aca="false">G66</f>
        <v>0.479372522291804</v>
      </c>
      <c r="E78" s="99" t="n">
        <f aca="false">$C78</f>
        <v>0.508008054297205</v>
      </c>
      <c r="F78" s="99" t="n">
        <f aca="false">$C78</f>
        <v>0.508008054297205</v>
      </c>
      <c r="G78" s="99" t="n">
        <f aca="false">$C78</f>
        <v>0.508008054297205</v>
      </c>
      <c r="H78" s="99" t="n">
        <f aca="false">$C78</f>
        <v>0.508008054297205</v>
      </c>
      <c r="I78" s="99" t="n">
        <f aca="false">$C78</f>
        <v>0.508008054297205</v>
      </c>
      <c r="J78" s="100" t="n">
        <f aca="false">$C78</f>
        <v>0.508008054297205</v>
      </c>
      <c r="Y78" s="85"/>
      <c r="Z78" s="91" t="s">
        <v>16</v>
      </c>
      <c r="AA78" s="91"/>
      <c r="AB78" s="91" t="n">
        <v>2015</v>
      </c>
      <c r="AC78" s="91" t="n">
        <v>2016</v>
      </c>
      <c r="AD78" s="91" t="n">
        <v>2017</v>
      </c>
      <c r="AE78" s="91" t="n">
        <v>2018</v>
      </c>
      <c r="AF78" s="91" t="n">
        <v>2019</v>
      </c>
      <c r="AG78" s="87"/>
    </row>
    <row r="79" customFormat="false" ht="14.5" hidden="false" customHeight="false" outlineLevel="0" collapsed="false">
      <c r="B79" s="92" t="s">
        <v>13</v>
      </c>
      <c r="C79" s="99" t="n">
        <f aca="false">F67</f>
        <v>0.867168128186277</v>
      </c>
      <c r="D79" s="98" t="n">
        <f aca="false">G67</f>
        <v>0.811730479036673</v>
      </c>
      <c r="E79" s="99" t="n">
        <f aca="false">$C79</f>
        <v>0.867168128186277</v>
      </c>
      <c r="F79" s="99" t="n">
        <f aca="false">$C79</f>
        <v>0.867168128186277</v>
      </c>
      <c r="G79" s="99" t="n">
        <f aca="false">$C79</f>
        <v>0.867168128186277</v>
      </c>
      <c r="H79" s="99" t="n">
        <f aca="false">$C79</f>
        <v>0.867168128186277</v>
      </c>
      <c r="I79" s="99" t="n">
        <f aca="false">$C79</f>
        <v>0.867168128186277</v>
      </c>
      <c r="J79" s="100" t="n">
        <f aca="false">$C79</f>
        <v>0.867168128186277</v>
      </c>
      <c r="Y79" s="85"/>
      <c r="Z79" s="91" t="s">
        <v>60</v>
      </c>
      <c r="AA79" s="91" t="s">
        <v>61</v>
      </c>
      <c r="AB79" s="91" t="n">
        <v>3825</v>
      </c>
      <c r="AC79" s="91" t="n">
        <v>3712</v>
      </c>
      <c r="AD79" s="91" t="n">
        <v>4064</v>
      </c>
      <c r="AE79" s="91" t="n">
        <v>4175</v>
      </c>
      <c r="AF79" s="91" t="n">
        <v>4185</v>
      </c>
      <c r="AG79" s="87"/>
    </row>
    <row r="80" customFormat="false" ht="14.5" hidden="false" customHeight="false" outlineLevel="0" collapsed="false">
      <c r="B80" s="92" t="s">
        <v>12</v>
      </c>
      <c r="C80" s="99" t="n">
        <f aca="false">F68</f>
        <v>0.735869868304079</v>
      </c>
      <c r="D80" s="98" t="n">
        <f aca="false">G68</f>
        <v>0.737354834155139</v>
      </c>
      <c r="E80" s="99" t="n">
        <f aca="false">$C80</f>
        <v>0.735869868304079</v>
      </c>
      <c r="F80" s="99" t="n">
        <f aca="false">$C80</f>
        <v>0.735869868304079</v>
      </c>
      <c r="G80" s="99" t="n">
        <f aca="false">$C80</f>
        <v>0.735869868304079</v>
      </c>
      <c r="H80" s="99" t="n">
        <f aca="false">$C80</f>
        <v>0.735869868304079</v>
      </c>
      <c r="I80" s="99" t="n">
        <f aca="false">$C80</f>
        <v>0.735869868304079</v>
      </c>
      <c r="J80" s="100" t="n">
        <f aca="false">$C80</f>
        <v>0.735869868304079</v>
      </c>
      <c r="Y80" s="85"/>
      <c r="Z80" s="91" t="s">
        <v>60</v>
      </c>
      <c r="AA80" s="91" t="s">
        <v>62</v>
      </c>
      <c r="AB80" s="91" t="n">
        <v>135.441</v>
      </c>
      <c r="AC80" s="91" t="n">
        <v>169.043</v>
      </c>
      <c r="AD80" s="91" t="n">
        <v>171.094</v>
      </c>
      <c r="AE80" s="91" t="n">
        <v>164.520969</v>
      </c>
      <c r="AF80" s="91" t="n">
        <v>165.291982</v>
      </c>
      <c r="AG80" s="87"/>
    </row>
    <row r="81" customFormat="false" ht="14.5" hidden="false" customHeight="false" outlineLevel="0" collapsed="false">
      <c r="B81" s="92" t="s">
        <v>71</v>
      </c>
      <c r="C81" s="99" t="n">
        <f aca="false">F69</f>
        <v>1.31511886425097</v>
      </c>
      <c r="D81" s="98" t="n">
        <f aca="false">G69</f>
        <v>0.897562521761889</v>
      </c>
      <c r="E81" s="99" t="n">
        <f aca="false">$C81</f>
        <v>1.31511886425097</v>
      </c>
      <c r="F81" s="99" t="n">
        <f aca="false">$C81</f>
        <v>1.31511886425097</v>
      </c>
      <c r="G81" s="99" t="n">
        <f aca="false">$C81</f>
        <v>1.31511886425097</v>
      </c>
      <c r="H81" s="99" t="n">
        <f aca="false">$C81</f>
        <v>1.31511886425097</v>
      </c>
      <c r="I81" s="99" t="n">
        <f aca="false">$C81</f>
        <v>1.31511886425097</v>
      </c>
      <c r="J81" s="100" t="n">
        <f aca="false">$C81</f>
        <v>1.31511886425097</v>
      </c>
      <c r="Y81" s="85"/>
      <c r="Z81" s="91" t="s">
        <v>60</v>
      </c>
      <c r="AA81" s="91" t="s">
        <v>64</v>
      </c>
      <c r="AB81" s="91" t="n">
        <v>171.441</v>
      </c>
      <c r="AC81" s="91" t="n">
        <v>171.34</v>
      </c>
      <c r="AD81" s="91" t="n">
        <v>172.675</v>
      </c>
      <c r="AE81" s="91" t="n">
        <v>179.332775</v>
      </c>
      <c r="AF81" s="91" t="n">
        <v>162.901858</v>
      </c>
      <c r="AG81" s="87"/>
    </row>
    <row r="82" customFormat="false" ht="15" hidden="false" customHeight="false" outlineLevel="0" collapsed="false">
      <c r="B82" s="92" t="s">
        <v>72</v>
      </c>
      <c r="C82" s="99" t="n">
        <f aca="false">F70</f>
        <v>0.841184538395914</v>
      </c>
      <c r="D82" s="107" t="n">
        <f aca="false">G70</f>
        <v>0.777454666609977</v>
      </c>
      <c r="E82" s="108" t="n">
        <f aca="false">$C82</f>
        <v>0.841184538395914</v>
      </c>
      <c r="F82" s="108" t="n">
        <f aca="false">$C82</f>
        <v>0.841184538395914</v>
      </c>
      <c r="G82" s="108" t="n">
        <f aca="false">$C82</f>
        <v>0.841184538395914</v>
      </c>
      <c r="H82" s="108" t="n">
        <f aca="false">$C82</f>
        <v>0.841184538395914</v>
      </c>
      <c r="I82" s="108" t="n">
        <f aca="false">$C82</f>
        <v>0.841184538395914</v>
      </c>
      <c r="J82" s="109" t="n">
        <f aca="false">$C82</f>
        <v>0.841184538395914</v>
      </c>
      <c r="Y82" s="85"/>
      <c r="Z82" s="91" t="s">
        <v>60</v>
      </c>
      <c r="AA82" s="91" t="s">
        <v>66</v>
      </c>
      <c r="AB82" s="91" t="n">
        <f aca="false">AB81-AB80</f>
        <v>36</v>
      </c>
      <c r="AC82" s="91" t="n">
        <f aca="false">AC81-AC80</f>
        <v>2.297</v>
      </c>
      <c r="AD82" s="91" t="n">
        <f aca="false">AD81-AD80</f>
        <v>1.58100000000002</v>
      </c>
      <c r="AE82" s="91" t="n">
        <f aca="false">AE81-AE80</f>
        <v>14.811806</v>
      </c>
      <c r="AF82" s="91" t="n">
        <f aca="false">AF81-AF80</f>
        <v>-2.39012399999999</v>
      </c>
      <c r="AG82" s="87"/>
    </row>
    <row r="83" customFormat="false" ht="15" hidden="false" customHeight="false" outlineLevel="0" collapsed="false">
      <c r="Y83" s="85"/>
      <c r="Z83" s="91" t="s">
        <v>60</v>
      </c>
      <c r="AA83" s="91" t="s">
        <v>68</v>
      </c>
      <c r="AB83" s="102" t="n">
        <f aca="false">AB82/AB79</f>
        <v>0.00941176470588235</v>
      </c>
      <c r="AC83" s="102" t="n">
        <f aca="false">AC82/AC79</f>
        <v>0.000618803879310344</v>
      </c>
      <c r="AD83" s="102" t="n">
        <f aca="false">AD82/AD79</f>
        <v>0.000389025590551185</v>
      </c>
      <c r="AE83" s="102" t="n">
        <f aca="false">AE82/AE79</f>
        <v>0.00354773796407185</v>
      </c>
      <c r="AF83" s="102" t="n">
        <f aca="false">AF82/AF79</f>
        <v>-0.000571116845878133</v>
      </c>
      <c r="AG83" s="87"/>
    </row>
    <row r="84" customFormat="false" ht="14.5" hidden="false" customHeight="false" outlineLevel="0" collapsed="false">
      <c r="B84" s="47" t="s">
        <v>4</v>
      </c>
      <c r="C84" s="47" t="s">
        <v>56</v>
      </c>
      <c r="D84" s="110" t="s">
        <v>73</v>
      </c>
      <c r="E84" s="111" t="s">
        <v>74</v>
      </c>
      <c r="F84" s="111" t="s">
        <v>74</v>
      </c>
      <c r="G84" s="111" t="s">
        <v>74</v>
      </c>
      <c r="H84" s="111" t="s">
        <v>74</v>
      </c>
      <c r="I84" s="111" t="s">
        <v>74</v>
      </c>
      <c r="J84" s="112" t="s">
        <v>74</v>
      </c>
      <c r="Y84" s="85"/>
      <c r="Z84" s="91" t="s">
        <v>57</v>
      </c>
      <c r="AA84" s="91" t="s">
        <v>70</v>
      </c>
      <c r="AB84" s="103" t="n">
        <f aca="false">K19-D44</f>
        <v>-4.930893985492</v>
      </c>
      <c r="AC84" s="91"/>
      <c r="AD84" s="91"/>
      <c r="AE84" s="91"/>
      <c r="AF84" s="103" t="n">
        <f aca="false">L19-E44</f>
        <v>-4.87707639308892</v>
      </c>
      <c r="AG84" s="87"/>
    </row>
    <row r="85" customFormat="false" ht="14.5" hidden="false" customHeight="false" outlineLevel="0" collapsed="false">
      <c r="B85" s="92" t="s">
        <v>59</v>
      </c>
      <c r="C85" s="96" t="n">
        <f aca="false">F61</f>
        <v>2019</v>
      </c>
      <c r="D85" s="95" t="n">
        <f aca="false">G61</f>
        <v>2020</v>
      </c>
      <c r="E85" s="96" t="n">
        <v>2025</v>
      </c>
      <c r="F85" s="96" t="n">
        <v>2030</v>
      </c>
      <c r="G85" s="96" t="n">
        <v>2035</v>
      </c>
      <c r="H85" s="96" t="n">
        <v>2040</v>
      </c>
      <c r="I85" s="96" t="n">
        <v>2045</v>
      </c>
      <c r="J85" s="97" t="n">
        <v>2050</v>
      </c>
      <c r="Y85" s="85"/>
      <c r="Z85" s="91" t="s">
        <v>57</v>
      </c>
      <c r="AA85" s="91" t="s">
        <v>68</v>
      </c>
      <c r="AB85" s="104" t="e">
        <f aca="false">AB84/K19</f>
        <v>#DIV/0!</v>
      </c>
      <c r="AC85" s="104"/>
      <c r="AD85" s="104"/>
      <c r="AE85" s="104"/>
      <c r="AF85" s="104" t="e">
        <f aca="false">AF84/L19</f>
        <v>#DIV/0!</v>
      </c>
      <c r="AG85" s="87"/>
    </row>
    <row r="86" customFormat="false" ht="14.5" hidden="false" customHeight="false" outlineLevel="0" collapsed="false">
      <c r="B86" s="92" t="s">
        <v>6</v>
      </c>
      <c r="C86" s="99" t="n">
        <f aca="false">F62</f>
        <v>1.19190738469018</v>
      </c>
      <c r="D86" s="98" t="n">
        <f aca="false">G62</f>
        <v>0.951906878748846</v>
      </c>
      <c r="E86" s="99" t="n">
        <f aca="false">$C86</f>
        <v>1.19190738469018</v>
      </c>
      <c r="F86" s="99" t="n">
        <f aca="false">$C86</f>
        <v>1.19190738469018</v>
      </c>
      <c r="G86" s="99" t="n">
        <f aca="false">$C86</f>
        <v>1.19190738469018</v>
      </c>
      <c r="H86" s="99" t="n">
        <f aca="false">$C86</f>
        <v>1.19190738469018</v>
      </c>
      <c r="I86" s="99" t="n">
        <f aca="false">$C86</f>
        <v>1.19190738469018</v>
      </c>
      <c r="J86" s="100" t="n">
        <f aca="false">$C86</f>
        <v>1.19190738469018</v>
      </c>
      <c r="L86" s="47" t="s">
        <v>76</v>
      </c>
      <c r="Y86" s="85"/>
      <c r="Z86" s="86"/>
      <c r="AA86" s="86"/>
      <c r="AB86" s="86"/>
      <c r="AC86" s="86"/>
      <c r="AD86" s="86"/>
      <c r="AE86" s="86"/>
      <c r="AF86" s="86"/>
      <c r="AG86" s="87"/>
    </row>
    <row r="87" customFormat="false" ht="14.5" hidden="false" customHeight="false" outlineLevel="0" collapsed="false">
      <c r="B87" s="92" t="s">
        <v>63</v>
      </c>
      <c r="C87" s="99" t="n">
        <f aca="false">F63</f>
        <v>0.619977164368407</v>
      </c>
      <c r="D87" s="98" t="n">
        <f aca="false">G63</f>
        <v>0.549343344476786</v>
      </c>
      <c r="E87" s="113" t="n">
        <v>0.64</v>
      </c>
      <c r="F87" s="113" t="n">
        <v>0.68</v>
      </c>
      <c r="G87" s="96" t="n">
        <f aca="false">(F87+H87)/2</f>
        <v>0.7225</v>
      </c>
      <c r="H87" s="96" t="n">
        <f aca="false">(F87+J87)/2</f>
        <v>0.765</v>
      </c>
      <c r="I87" s="96" t="n">
        <f aca="false">(H87+J87)/2</f>
        <v>0.8075</v>
      </c>
      <c r="J87" s="114" t="n">
        <v>0.85</v>
      </c>
      <c r="Y87" s="85"/>
      <c r="Z87" s="91" t="s">
        <v>17</v>
      </c>
      <c r="AA87" s="91"/>
      <c r="AB87" s="91" t="n">
        <v>2015</v>
      </c>
      <c r="AC87" s="91" t="n">
        <v>2016</v>
      </c>
      <c r="AD87" s="91" t="n">
        <v>2017</v>
      </c>
      <c r="AE87" s="91" t="n">
        <v>2018</v>
      </c>
      <c r="AF87" s="91" t="n">
        <v>2019</v>
      </c>
      <c r="AG87" s="87"/>
    </row>
    <row r="88" customFormat="false" ht="14.5" hidden="false" customHeight="false" outlineLevel="0" collapsed="false">
      <c r="B88" s="92" t="s">
        <v>65</v>
      </c>
      <c r="C88" s="99" t="n">
        <f aca="false">F64</f>
        <v>1.03780976674871</v>
      </c>
      <c r="D88" s="98" t="n">
        <f aca="false">G64</f>
        <v>0.963631145065627</v>
      </c>
      <c r="E88" s="99" t="n">
        <f aca="false">$C88</f>
        <v>1.03780976674871</v>
      </c>
      <c r="F88" s="99" t="n">
        <f aca="false">$C88</f>
        <v>1.03780976674871</v>
      </c>
      <c r="G88" s="99" t="n">
        <f aca="false">$C88</f>
        <v>1.03780976674871</v>
      </c>
      <c r="H88" s="99" t="n">
        <f aca="false">$C88</f>
        <v>1.03780976674871</v>
      </c>
      <c r="I88" s="99" t="n">
        <f aca="false">$C88</f>
        <v>1.03780976674871</v>
      </c>
      <c r="J88" s="100" t="n">
        <f aca="false">$C88</f>
        <v>1.03780976674871</v>
      </c>
      <c r="Y88" s="85"/>
      <c r="Z88" s="91" t="s">
        <v>60</v>
      </c>
      <c r="AA88" s="91" t="s">
        <v>61</v>
      </c>
      <c r="AB88" s="91" t="n">
        <v>7985.515</v>
      </c>
      <c r="AC88" s="91" t="n">
        <v>7983.5149</v>
      </c>
      <c r="AD88" s="91" t="n">
        <v>8021.4</v>
      </c>
      <c r="AE88" s="91" t="n">
        <v>7869.7</v>
      </c>
      <c r="AF88" s="91" t="n">
        <v>7322.7</v>
      </c>
      <c r="AG88" s="87"/>
    </row>
    <row r="89" customFormat="false" ht="14.5" hidden="false" customHeight="false" outlineLevel="0" collapsed="false">
      <c r="B89" s="92" t="s">
        <v>67</v>
      </c>
      <c r="C89" s="99" t="n">
        <f aca="false">F65</f>
        <v>1.16814498909083</v>
      </c>
      <c r="D89" s="98" t="n">
        <f aca="false">G65</f>
        <v>1.03505679295728</v>
      </c>
      <c r="E89" s="99" t="n">
        <f aca="false">$C89</f>
        <v>1.16814498909083</v>
      </c>
      <c r="F89" s="99" t="n">
        <f aca="false">$C89</f>
        <v>1.16814498909083</v>
      </c>
      <c r="G89" s="99" t="n">
        <f aca="false">$C89</f>
        <v>1.16814498909083</v>
      </c>
      <c r="H89" s="99" t="n">
        <f aca="false">$C89</f>
        <v>1.16814498909083</v>
      </c>
      <c r="I89" s="99" t="n">
        <f aca="false">$C89</f>
        <v>1.16814498909083</v>
      </c>
      <c r="J89" s="100" t="n">
        <f aca="false">$C89</f>
        <v>1.16814498909083</v>
      </c>
      <c r="Y89" s="85"/>
      <c r="Z89" s="91" t="s">
        <v>60</v>
      </c>
      <c r="AA89" s="91" t="s">
        <v>62</v>
      </c>
      <c r="AB89" s="91" t="n">
        <v>5254.312</v>
      </c>
      <c r="AC89" s="91" t="n">
        <v>5101.359</v>
      </c>
      <c r="AD89" s="91" t="n">
        <v>5124.052</v>
      </c>
      <c r="AE89" s="91" t="n">
        <v>5042.7</v>
      </c>
      <c r="AF89" s="91" t="n">
        <v>5180.7</v>
      </c>
      <c r="AG89" s="87"/>
    </row>
    <row r="90" customFormat="false" ht="14.5" hidden="false" customHeight="false" outlineLevel="0" collapsed="false">
      <c r="B90" s="92" t="s">
        <v>69</v>
      </c>
      <c r="C90" s="99" t="n">
        <f aca="false">F66</f>
        <v>0.508008054297205</v>
      </c>
      <c r="D90" s="98" t="n">
        <f aca="false">G66</f>
        <v>0.479372522291804</v>
      </c>
      <c r="E90" s="113" t="n">
        <v>0.68</v>
      </c>
      <c r="F90" s="113" t="n">
        <v>0.7</v>
      </c>
      <c r="G90" s="96" t="n">
        <f aca="false">(F90+H90)/2</f>
        <v>0.725</v>
      </c>
      <c r="H90" s="96" t="n">
        <f aca="false">(F90+J90)/2</f>
        <v>0.75</v>
      </c>
      <c r="I90" s="96" t="n">
        <f aca="false">(H90+J90)/2</f>
        <v>0.775</v>
      </c>
      <c r="J90" s="114" t="n">
        <v>0.8</v>
      </c>
      <c r="Y90" s="85"/>
      <c r="Z90" s="91" t="s">
        <v>60</v>
      </c>
      <c r="AA90" s="91" t="s">
        <v>64</v>
      </c>
      <c r="AB90" s="91" t="n">
        <v>4404.2</v>
      </c>
      <c r="AC90" s="91" t="n">
        <v>4268.745</v>
      </c>
      <c r="AD90" s="91" t="n">
        <v>4280.996</v>
      </c>
      <c r="AE90" s="91" t="n">
        <v>4144.8</v>
      </c>
      <c r="AF90" s="91" t="n">
        <v>3996.9</v>
      </c>
      <c r="AG90" s="87"/>
    </row>
    <row r="91" customFormat="false" ht="14.5" hidden="false" customHeight="false" outlineLevel="0" collapsed="false">
      <c r="B91" s="92" t="s">
        <v>13</v>
      </c>
      <c r="C91" s="99" t="n">
        <f aca="false">F67</f>
        <v>0.867168128186277</v>
      </c>
      <c r="D91" s="98" t="n">
        <f aca="false">G67</f>
        <v>0.811730479036673</v>
      </c>
      <c r="E91" s="113" t="n">
        <v>0.9</v>
      </c>
      <c r="F91" s="113" t="n">
        <v>0.93</v>
      </c>
      <c r="G91" s="96" t="n">
        <v>0.96</v>
      </c>
      <c r="H91" s="96" t="n">
        <v>0.99</v>
      </c>
      <c r="I91" s="96" t="n">
        <v>1</v>
      </c>
      <c r="J91" s="114" t="n">
        <v>1</v>
      </c>
      <c r="M91" s="115"/>
      <c r="Y91" s="85"/>
      <c r="Z91" s="91" t="s">
        <v>60</v>
      </c>
      <c r="AA91" s="91" t="s">
        <v>66</v>
      </c>
      <c r="AB91" s="91" t="n">
        <f aca="false">AB90-AB89</f>
        <v>-850.112</v>
      </c>
      <c r="AC91" s="91" t="n">
        <f aca="false">AC90-AC89</f>
        <v>-832.614</v>
      </c>
      <c r="AD91" s="91" t="n">
        <f aca="false">AD90-AD89</f>
        <v>-843.056</v>
      </c>
      <c r="AE91" s="91" t="n">
        <f aca="false">AE90-AE89</f>
        <v>-897.900000000001</v>
      </c>
      <c r="AF91" s="91" t="n">
        <f aca="false">AF90-AF89</f>
        <v>-1183.8</v>
      </c>
      <c r="AG91" s="87"/>
    </row>
    <row r="92" customFormat="false" ht="14.5" hidden="false" customHeight="false" outlineLevel="0" collapsed="false">
      <c r="B92" s="92" t="s">
        <v>12</v>
      </c>
      <c r="C92" s="99" t="n">
        <f aca="false">F68</f>
        <v>0.735869868304079</v>
      </c>
      <c r="D92" s="98" t="n">
        <f aca="false">G68</f>
        <v>0.737354834155139</v>
      </c>
      <c r="E92" s="113" t="n">
        <v>0.77</v>
      </c>
      <c r="F92" s="113" t="n">
        <v>0.8</v>
      </c>
      <c r="G92" s="96" t="n">
        <f aca="false">(F92+H92)/2</f>
        <v>0.825</v>
      </c>
      <c r="H92" s="96" t="n">
        <f aca="false">(F92+J92)/2</f>
        <v>0.85</v>
      </c>
      <c r="I92" s="96" t="n">
        <f aca="false">(H92+J92)/2</f>
        <v>0.875</v>
      </c>
      <c r="J92" s="114" t="n">
        <v>0.9</v>
      </c>
      <c r="Y92" s="85"/>
      <c r="Z92" s="91" t="s">
        <v>60</v>
      </c>
      <c r="AA92" s="91" t="s">
        <v>68</v>
      </c>
      <c r="AB92" s="102" t="n">
        <f aca="false">AB91/AB88</f>
        <v>-0.106456753258869</v>
      </c>
      <c r="AC92" s="102" t="n">
        <f aca="false">AC91/AC88</f>
        <v>-0.104291657299969</v>
      </c>
      <c r="AD92" s="102" t="n">
        <f aca="false">AD91/AD88</f>
        <v>-0.105100855212307</v>
      </c>
      <c r="AE92" s="102" t="n">
        <f aca="false">AE91/AE88</f>
        <v>-0.114095835927672</v>
      </c>
      <c r="AF92" s="102" t="n">
        <f aca="false">AF91/AF88</f>
        <v>-0.161661682166414</v>
      </c>
      <c r="AG92" s="87"/>
    </row>
    <row r="93" customFormat="false" ht="14.5" hidden="false" customHeight="false" outlineLevel="0" collapsed="false">
      <c r="B93" s="92" t="s">
        <v>71</v>
      </c>
      <c r="C93" s="99" t="n">
        <f aca="false">F69</f>
        <v>1.31511886425097</v>
      </c>
      <c r="D93" s="98" t="n">
        <f aca="false">G69</f>
        <v>0.897562521761889</v>
      </c>
      <c r="E93" s="99" t="n">
        <f aca="false">$C93</f>
        <v>1.31511886425097</v>
      </c>
      <c r="F93" s="99" t="n">
        <f aca="false">$C93</f>
        <v>1.31511886425097</v>
      </c>
      <c r="G93" s="99" t="n">
        <f aca="false">$C93</f>
        <v>1.31511886425097</v>
      </c>
      <c r="H93" s="99" t="n">
        <f aca="false">$C93</f>
        <v>1.31511886425097</v>
      </c>
      <c r="I93" s="99" t="n">
        <f aca="false">$C93</f>
        <v>1.31511886425097</v>
      </c>
      <c r="J93" s="100" t="n">
        <f aca="false">$C93</f>
        <v>1.31511886425097</v>
      </c>
      <c r="Y93" s="85"/>
      <c r="Z93" s="91" t="s">
        <v>57</v>
      </c>
      <c r="AA93" s="91" t="s">
        <v>70</v>
      </c>
      <c r="AB93" s="103" t="n">
        <f aca="false">K20-D49</f>
        <v>-8.346785</v>
      </c>
      <c r="AC93" s="91"/>
      <c r="AD93" s="91"/>
      <c r="AE93" s="91"/>
      <c r="AF93" s="103" t="n">
        <f aca="false">L20-E49</f>
        <v>-8.70201444020688</v>
      </c>
      <c r="AG93" s="87"/>
    </row>
    <row r="94" customFormat="false" ht="15" hidden="false" customHeight="false" outlineLevel="0" collapsed="false">
      <c r="B94" s="92" t="s">
        <v>72</v>
      </c>
      <c r="C94" s="99" t="n">
        <f aca="false">F70</f>
        <v>0.841184538395914</v>
      </c>
      <c r="D94" s="107" t="n">
        <f aca="false">G70</f>
        <v>0.777454666609977</v>
      </c>
      <c r="E94" s="116" t="n">
        <v>0.87</v>
      </c>
      <c r="F94" s="116" t="n">
        <v>0.9</v>
      </c>
      <c r="G94" s="117" t="n">
        <f aca="false">(F94+H94)/2</f>
        <v>0.925</v>
      </c>
      <c r="H94" s="117" t="n">
        <f aca="false">(F94+J94)/2</f>
        <v>0.95</v>
      </c>
      <c r="I94" s="117" t="n">
        <f aca="false">(H94+J94)/2</f>
        <v>0.975</v>
      </c>
      <c r="J94" s="118" t="n">
        <v>1</v>
      </c>
      <c r="Y94" s="85"/>
      <c r="Z94" s="91" t="s">
        <v>57</v>
      </c>
      <c r="AA94" s="91" t="s">
        <v>68</v>
      </c>
      <c r="AB94" s="104" t="e">
        <f aca="false">AB93/K20</f>
        <v>#DIV/0!</v>
      </c>
      <c r="AC94" s="104"/>
      <c r="AD94" s="104"/>
      <c r="AE94" s="104"/>
      <c r="AF94" s="104" t="e">
        <f aca="false">AF93/L20</f>
        <v>#DIV/0!</v>
      </c>
      <c r="AG94" s="87"/>
    </row>
    <row r="95" customFormat="false" ht="15" hidden="false" customHeight="false" outlineLevel="0" collapsed="false">
      <c r="Y95" s="119"/>
      <c r="Z95" s="120"/>
      <c r="AA95" s="120"/>
      <c r="AB95" s="120"/>
      <c r="AC95" s="120"/>
      <c r="AD95" s="120"/>
      <c r="AE95" s="120"/>
      <c r="AF95" s="120"/>
      <c r="AG95" s="121"/>
    </row>
    <row r="97" customFormat="false" ht="14.5" hidden="false" customHeight="false" outlineLevel="0" collapsed="false">
      <c r="B97" s="3" t="s">
        <v>77</v>
      </c>
      <c r="C97" s="3"/>
      <c r="D97" s="3"/>
      <c r="E97" s="3"/>
    </row>
    <row r="98" customFormat="false" ht="15" hidden="false" customHeight="false" outlineLevel="0" collapsed="false"/>
    <row r="99" customFormat="false" ht="14.5" hidden="false" customHeight="false" outlineLevel="0" collapsed="false">
      <c r="B99" s="47" t="s">
        <v>3</v>
      </c>
      <c r="C99" s="47" t="s">
        <v>56</v>
      </c>
      <c r="D99" s="110" t="s">
        <v>73</v>
      </c>
      <c r="E99" s="111" t="s">
        <v>74</v>
      </c>
      <c r="F99" s="111" t="s">
        <v>74</v>
      </c>
      <c r="G99" s="111" t="s">
        <v>74</v>
      </c>
      <c r="H99" s="111" t="s">
        <v>74</v>
      </c>
      <c r="I99" s="111" t="s">
        <v>74</v>
      </c>
      <c r="J99" s="111" t="s">
        <v>74</v>
      </c>
      <c r="N99" s="122"/>
      <c r="O99" s="122"/>
      <c r="P99" s="123" t="s">
        <v>78</v>
      </c>
      <c r="Q99" s="123"/>
      <c r="R99" s="123"/>
      <c r="S99" s="123"/>
      <c r="T99" s="123"/>
      <c r="U99" s="123"/>
    </row>
    <row r="100" customFormat="false" ht="14.5" hidden="false" customHeight="false" outlineLevel="0" collapsed="false">
      <c r="B100" s="1" t="s">
        <v>5</v>
      </c>
      <c r="C100" s="96" t="n">
        <v>2019</v>
      </c>
      <c r="D100" s="95" t="n">
        <v>2020</v>
      </c>
      <c r="E100" s="96" t="n">
        <v>2025</v>
      </c>
      <c r="F100" s="96" t="n">
        <v>2030</v>
      </c>
      <c r="G100" s="96" t="n">
        <v>2035</v>
      </c>
      <c r="H100" s="96" t="n">
        <v>2040</v>
      </c>
      <c r="I100" s="96" t="n">
        <v>2045</v>
      </c>
      <c r="J100" s="97" t="n">
        <v>2050</v>
      </c>
      <c r="N100" s="122"/>
      <c r="O100" s="124" t="n">
        <v>2023</v>
      </c>
      <c r="P100" s="124" t="n">
        <v>2025</v>
      </c>
      <c r="Q100" s="124" t="n">
        <v>2030</v>
      </c>
      <c r="R100" s="124" t="n">
        <v>2035</v>
      </c>
      <c r="S100" s="124" t="n">
        <v>2040</v>
      </c>
      <c r="T100" s="124" t="n">
        <v>2045</v>
      </c>
      <c r="U100" s="124" t="n">
        <v>2050</v>
      </c>
    </row>
    <row r="101" customFormat="false" ht="14.5" hidden="false" customHeight="false" outlineLevel="0" collapsed="false">
      <c r="A101" s="80" t="n">
        <f aca="false">C101-G$7</f>
        <v>0</v>
      </c>
      <c r="B101" s="49" t="s">
        <v>6</v>
      </c>
      <c r="C101" s="80" t="n">
        <f aca="false">G7</f>
        <v>14.59</v>
      </c>
      <c r="D101" s="80" t="n">
        <f aca="false">H7</f>
        <v>11.59</v>
      </c>
      <c r="E101" s="80" t="n">
        <f aca="false">E74*G29</f>
        <v>14.5663125767295</v>
      </c>
      <c r="F101" s="80" t="n">
        <f aca="false">F74*H29</f>
        <v>14.5465730573374</v>
      </c>
      <c r="G101" s="80" t="n">
        <f aca="false">G74*I29</f>
        <v>14.7459797603108</v>
      </c>
      <c r="H101" s="80" t="n">
        <f aca="false">H74*J29</f>
        <v>14.9453864632842</v>
      </c>
      <c r="I101" s="80" t="n">
        <f aca="false">I74*K29</f>
        <v>15.1447931662576</v>
      </c>
      <c r="J101" s="80" t="n">
        <f aca="false">J74*L29</f>
        <v>15.344199869231</v>
      </c>
      <c r="N101" s="49" t="s">
        <v>6</v>
      </c>
      <c r="O101" s="124" t="n">
        <v>14.2</v>
      </c>
      <c r="P101" s="125" t="n">
        <v>13.7983406135097</v>
      </c>
      <c r="Q101" s="125" t="n">
        <v>13.4269328577767</v>
      </c>
      <c r="R101" s="125" t="n">
        <v>13.1193052664435</v>
      </c>
      <c r="S101" s="125" t="n">
        <v>12.8708014499777</v>
      </c>
      <c r="T101" s="125" t="n">
        <v>12.697577815302</v>
      </c>
      <c r="U101" s="125" t="n">
        <v>12.5730601871403</v>
      </c>
    </row>
    <row r="102" customFormat="false" ht="14.5" hidden="false" customHeight="false" outlineLevel="0" collapsed="false">
      <c r="A102" s="80" t="n">
        <f aca="false">C102-G$8</f>
        <v>0</v>
      </c>
      <c r="B102" s="49" t="s">
        <v>7</v>
      </c>
      <c r="C102" s="80" t="n">
        <f aca="false">(C101-(C101*'4. Recyclage'!H12))/(1-0.16)-C104</f>
        <v>10.13</v>
      </c>
      <c r="D102" s="80" t="n">
        <f aca="false">(D101-(D101*H3))/(1-0.16)-D104</f>
        <v>7.87</v>
      </c>
      <c r="E102" s="80" t="n">
        <f aca="false">(E101-(E101*'4. Recyclage'!I12))/(1-0.16)-E104</f>
        <v>9.65210157968533</v>
      </c>
      <c r="F102" s="80" t="n">
        <f aca="false">(F101-(F101*'4. Recyclage'!J12))/(1-0.16)-F104</f>
        <v>9.1781949052248</v>
      </c>
      <c r="G102" s="80" t="n">
        <f aca="false">(G101-(G101*'4. Recyclage'!K12))/(1-0.16)-G104</f>
        <v>9.21623735019426</v>
      </c>
      <c r="H102" s="80" t="n">
        <f aca="false">(H101-(H101*'4. Recyclage'!L12))/(1-0.16)-H104</f>
        <v>9.2519059058426</v>
      </c>
      <c r="I102" s="80" t="n">
        <f aca="false">(I101-(I101*'4. Recyclage'!M12))/(1-0.16)-I104</f>
        <v>9.28520057216982</v>
      </c>
      <c r="J102" s="80" t="n">
        <f aca="false">(J101-(J101*'4. Recyclage'!N12))/(1-0.16)-J104</f>
        <v>9.31612134917594</v>
      </c>
      <c r="K102" s="47" t="s">
        <v>79</v>
      </c>
      <c r="N102" s="49" t="s">
        <v>80</v>
      </c>
      <c r="O102" s="124" t="n">
        <v>9.6</v>
      </c>
      <c r="P102" s="125" t="n">
        <v>8.6983406135097</v>
      </c>
      <c r="Q102" s="125" t="n">
        <v>7.64332517169216</v>
      </c>
      <c r="R102" s="125" t="n">
        <v>7.33569758035903</v>
      </c>
      <c r="S102" s="125" t="n">
        <v>7.08719376389321</v>
      </c>
      <c r="T102" s="125" t="n">
        <v>6.91397012921748</v>
      </c>
      <c r="U102" s="125" t="n">
        <v>6.78945250105574</v>
      </c>
    </row>
    <row r="103" customFormat="false" ht="14.5" hidden="false" customHeight="false" outlineLevel="0" collapsed="false">
      <c r="A103" s="80" t="n">
        <f aca="false">C103-G$9</f>
        <v>0</v>
      </c>
      <c r="B103" s="49" t="s">
        <v>8</v>
      </c>
      <c r="C103" s="80" t="n">
        <f aca="false">C101-C102-C104</f>
        <v>4.46</v>
      </c>
      <c r="D103" s="80" t="n">
        <f aca="false">D101-D102-D104</f>
        <v>3.72</v>
      </c>
      <c r="E103" s="80" t="n">
        <f aca="false">E101-E102-E104</f>
        <v>4.91421099704418</v>
      </c>
      <c r="F103" s="80" t="n">
        <f aca="false">F101-F102-F104</f>
        <v>5.36837815211262</v>
      </c>
      <c r="G103" s="80" t="n">
        <f aca="false">G101-G102-G104</f>
        <v>5.52974241011655</v>
      </c>
      <c r="H103" s="80" t="n">
        <f aca="false">H101-H102-H104</f>
        <v>5.6934805574416</v>
      </c>
      <c r="I103" s="80" t="n">
        <f aca="false">I101-I102-I104</f>
        <v>5.85959259408775</v>
      </c>
      <c r="J103" s="80" t="n">
        <f aca="false">J101-J102-J104</f>
        <v>6.02807852005502</v>
      </c>
      <c r="K103" s="47" t="s">
        <v>81</v>
      </c>
      <c r="N103" s="49" t="s">
        <v>8</v>
      </c>
      <c r="O103" s="124" t="n">
        <v>4.6</v>
      </c>
      <c r="P103" s="125" t="n">
        <v>5.1</v>
      </c>
      <c r="Q103" s="125" t="n">
        <v>5.78360768608452</v>
      </c>
      <c r="R103" s="125" t="n">
        <v>5.78360768608452</v>
      </c>
      <c r="S103" s="125" t="n">
        <v>5.78360768608452</v>
      </c>
      <c r="T103" s="125" t="n">
        <v>5.78360768608452</v>
      </c>
      <c r="U103" s="125" t="n">
        <v>5.78360768608452</v>
      </c>
    </row>
    <row r="104" customFormat="false" ht="14.5" hidden="false" customHeight="false" outlineLevel="0" collapsed="false">
      <c r="B104" s="49" t="s">
        <v>38</v>
      </c>
      <c r="C104" s="80" t="n">
        <v>0</v>
      </c>
      <c r="D104" s="80" t="n">
        <v>0</v>
      </c>
      <c r="E104" s="80" t="n">
        <v>0</v>
      </c>
      <c r="F104" s="80" t="n">
        <v>0</v>
      </c>
      <c r="G104" s="80" t="n">
        <v>0</v>
      </c>
      <c r="H104" s="80" t="n">
        <v>0</v>
      </c>
      <c r="I104" s="80" t="n">
        <v>0</v>
      </c>
      <c r="J104" s="80" t="n">
        <v>0</v>
      </c>
      <c r="K104" s="47" t="s">
        <v>82</v>
      </c>
      <c r="N104" s="49" t="s">
        <v>9</v>
      </c>
      <c r="O104" s="124" t="n">
        <v>0</v>
      </c>
      <c r="P104" s="125" t="n">
        <v>0</v>
      </c>
      <c r="Q104" s="125" t="n">
        <v>0</v>
      </c>
      <c r="R104" s="125" t="n">
        <v>0</v>
      </c>
      <c r="S104" s="125" t="n">
        <v>0</v>
      </c>
      <c r="T104" s="125" t="n">
        <v>0</v>
      </c>
      <c r="U104" s="125" t="n">
        <v>0</v>
      </c>
    </row>
    <row r="105" customFormat="false" ht="14.5" hidden="false" customHeight="false" outlineLevel="0" collapsed="false">
      <c r="A105" s="80" t="n">
        <f aca="false">C105-G$11</f>
        <v>0</v>
      </c>
      <c r="B105" s="49" t="s">
        <v>10</v>
      </c>
      <c r="C105" s="80" t="n">
        <f aca="false">G11</f>
        <v>0.894</v>
      </c>
      <c r="D105" s="80" t="n">
        <f aca="false">H11</f>
        <v>0.802277581635613</v>
      </c>
      <c r="E105" s="80" t="n">
        <f aca="false">E75*G30</f>
        <v>0.970035991559802</v>
      </c>
      <c r="F105" s="80" t="n">
        <f aca="false">F75*H30</f>
        <v>1.03339931785964</v>
      </c>
      <c r="G105" s="80" t="n">
        <f aca="false">G75*I30</f>
        <v>1.11577221392208</v>
      </c>
      <c r="H105" s="80" t="n">
        <f aca="false">H75*J30</f>
        <v>1.19814510998452</v>
      </c>
      <c r="I105" s="80" t="n">
        <f aca="false">I75*K30</f>
        <v>1.28051800604697</v>
      </c>
      <c r="J105" s="80" t="n">
        <f aca="false">J75*L30</f>
        <v>1.36289090210941</v>
      </c>
      <c r="N105" s="49" t="s">
        <v>10</v>
      </c>
      <c r="O105" s="126" t="n">
        <v>0.9</v>
      </c>
      <c r="P105" s="126" t="n">
        <v>0.9</v>
      </c>
      <c r="Q105" s="126" t="n">
        <v>0.9</v>
      </c>
      <c r="R105" s="126" t="n">
        <v>0.9</v>
      </c>
      <c r="S105" s="126" t="n">
        <v>0.9</v>
      </c>
      <c r="T105" s="126" t="n">
        <v>0.9</v>
      </c>
      <c r="U105" s="126" t="n">
        <v>0.9</v>
      </c>
    </row>
    <row r="106" customFormat="false" ht="14.5" hidden="false" customHeight="false" outlineLevel="0" collapsed="false">
      <c r="A106" s="80" t="n">
        <f aca="false">C106-G$12</f>
        <v>0</v>
      </c>
      <c r="B106" s="54" t="s">
        <v>40</v>
      </c>
      <c r="C106" s="80" t="n">
        <f aca="false">C105*'4. Recyclage'!H13</f>
        <v>0.476</v>
      </c>
      <c r="D106" s="80" t="n">
        <f aca="false">D105*'4. Recyclage'!I13</f>
        <v>0.43117484300723</v>
      </c>
      <c r="E106" s="80" t="n">
        <f aca="false">E105*'4. Recyclage'!I13</f>
        <v>0.521334667633935</v>
      </c>
      <c r="F106" s="80" t="n">
        <f aca="false">F105*'4. Recyclage'!J13</f>
        <v>0.56055555391818</v>
      </c>
      <c r="G106" s="80" t="n">
        <f aca="false">G105*'4. Recyclage'!K13</f>
        <v>0.613606073952709</v>
      </c>
      <c r="H106" s="80" t="n">
        <f aca="false">H105*'4. Recyclage'!L13</f>
        <v>0.667892187428175</v>
      </c>
      <c r="I106" s="80" t="n">
        <f aca="false">I105*'4. Recyclage'!M13</f>
        <v>0.723413894344577</v>
      </c>
      <c r="J106" s="80" t="n">
        <f aca="false">J105*'4. Recyclage'!N13</f>
        <v>0.780171194701917</v>
      </c>
      <c r="K106" s="47" t="s">
        <v>83</v>
      </c>
      <c r="N106" s="49" t="s">
        <v>84</v>
      </c>
      <c r="O106" s="126" t="n">
        <v>0.42</v>
      </c>
      <c r="P106" s="126" t="n">
        <v>0.42</v>
      </c>
      <c r="Q106" s="126" t="n">
        <v>0.420805369127516</v>
      </c>
      <c r="R106" s="126" t="n">
        <v>0.420805369127516</v>
      </c>
      <c r="S106" s="126" t="n">
        <v>0.420805369127516</v>
      </c>
      <c r="T106" s="126" t="n">
        <v>0.420805369127516</v>
      </c>
      <c r="U106" s="126" t="n">
        <v>0.420805369127516</v>
      </c>
    </row>
    <row r="107" customFormat="false" ht="14.5" hidden="false" customHeight="false" outlineLevel="0" collapsed="false">
      <c r="A107" s="80" t="n">
        <f aca="false">C107-G$15</f>
        <v>0</v>
      </c>
      <c r="B107" s="49" t="s">
        <v>12</v>
      </c>
      <c r="C107" s="80" t="n">
        <f aca="false">G15</f>
        <v>2.34</v>
      </c>
      <c r="D107" s="80" t="n">
        <f aca="false">H15</f>
        <v>2.27</v>
      </c>
      <c r="E107" s="80" t="n">
        <f aca="false">E80*G35</f>
        <v>2.13097339422502</v>
      </c>
      <c r="F107" s="80" t="n">
        <f aca="false">F80*H35</f>
        <v>1.95678455607921</v>
      </c>
      <c r="G107" s="80" t="n">
        <f aca="false">G80*I35</f>
        <v>1.79569834505544</v>
      </c>
      <c r="H107" s="80" t="n">
        <f aca="false">H80*J35</f>
        <v>1.63461213403168</v>
      </c>
      <c r="I107" s="80" t="n">
        <f aca="false">I80*K35</f>
        <v>1.47352592300791</v>
      </c>
      <c r="J107" s="80" t="n">
        <f aca="false">J80*L35</f>
        <v>1.31243971198415</v>
      </c>
      <c r="N107" s="49" t="s">
        <v>40</v>
      </c>
      <c r="O107" s="126" t="n">
        <v>0.48</v>
      </c>
      <c r="P107" s="126" t="n">
        <v>0.48</v>
      </c>
      <c r="Q107" s="126" t="n">
        <v>0.479194630872484</v>
      </c>
      <c r="R107" s="126" t="n">
        <v>0.479194630872484</v>
      </c>
      <c r="S107" s="126" t="n">
        <v>0.479194630872484</v>
      </c>
      <c r="T107" s="126" t="n">
        <v>0.479194630872484</v>
      </c>
      <c r="U107" s="126" t="n">
        <v>0.479194630872484</v>
      </c>
    </row>
    <row r="108" customFormat="false" ht="14.5" hidden="false" customHeight="false" outlineLevel="0" collapsed="false">
      <c r="A108" s="80" t="n">
        <f aca="false">C108-G$16</f>
        <v>0</v>
      </c>
      <c r="B108" s="49" t="s">
        <v>13</v>
      </c>
      <c r="C108" s="80" t="n">
        <f aca="false">G16</f>
        <v>0.96</v>
      </c>
      <c r="D108" s="80" t="n">
        <f aca="false">H16</f>
        <v>0.89</v>
      </c>
      <c r="E108" s="80" t="n">
        <f aca="false">E79*G34</f>
        <v>0.954780035906068</v>
      </c>
      <c r="F108" s="80" t="n">
        <f aca="false">F79*H34</f>
        <v>0.950430065827792</v>
      </c>
      <c r="G108" s="80" t="n">
        <f aca="false">G79*I34</f>
        <v>0.937686623351531</v>
      </c>
      <c r="H108" s="80" t="n">
        <f aca="false">H79*J34</f>
        <v>0.92494318087527</v>
      </c>
      <c r="I108" s="80" t="n">
        <f aca="false">I79*K34</f>
        <v>0.912199738399009</v>
      </c>
      <c r="J108" s="80" t="n">
        <f aca="false">J79*L34</f>
        <v>0.899456295922748</v>
      </c>
      <c r="N108" s="49" t="s">
        <v>12</v>
      </c>
      <c r="O108" s="124" t="n">
        <v>2.3</v>
      </c>
      <c r="P108" s="125" t="n">
        <v>2.368</v>
      </c>
      <c r="Q108" s="125" t="n">
        <v>2.368</v>
      </c>
      <c r="R108" s="125" t="n">
        <v>2.368</v>
      </c>
      <c r="S108" s="125" t="n">
        <v>2.368</v>
      </c>
      <c r="T108" s="125" t="n">
        <v>2.368</v>
      </c>
      <c r="U108" s="125" t="n">
        <v>2.368</v>
      </c>
    </row>
    <row r="109" customFormat="false" ht="14.5" hidden="false" customHeight="false" outlineLevel="0" collapsed="false">
      <c r="A109" s="80" t="n">
        <f aca="false">C109-G$17</f>
        <v>0</v>
      </c>
      <c r="B109" s="49" t="s">
        <v>14</v>
      </c>
      <c r="C109" s="80" t="n">
        <f aca="false">G17</f>
        <v>1.07</v>
      </c>
      <c r="D109" s="80" t="n">
        <f aca="false">H17</f>
        <v>1</v>
      </c>
      <c r="E109" s="80" t="n">
        <f aca="false">E78*G33</f>
        <v>1.06741762793201</v>
      </c>
      <c r="F109" s="80" t="n">
        <f aca="false">F78*H33</f>
        <v>1.06898483019658</v>
      </c>
      <c r="G109" s="80" t="n">
        <f aca="false">G78*I33</f>
        <v>1.05504777526967</v>
      </c>
      <c r="H109" s="80" t="n">
        <f aca="false">H78*J33</f>
        <v>1.04111072034276</v>
      </c>
      <c r="I109" s="80" t="n">
        <f aca="false">I78*K33</f>
        <v>1.02717366541585</v>
      </c>
      <c r="J109" s="80" t="n">
        <f aca="false">J78*L33</f>
        <v>1.01323661048894</v>
      </c>
      <c r="N109" s="49" t="s">
        <v>14</v>
      </c>
      <c r="O109" s="124" t="n">
        <v>1.05</v>
      </c>
      <c r="P109" s="125" t="n">
        <v>1.052</v>
      </c>
      <c r="Q109" s="125" t="n">
        <v>1.08</v>
      </c>
      <c r="R109" s="125" t="n">
        <v>1.10425</v>
      </c>
      <c r="S109" s="125" t="n">
        <v>1.1285</v>
      </c>
      <c r="T109" s="125" t="n">
        <v>1.15275</v>
      </c>
      <c r="U109" s="125" t="n">
        <v>1.177</v>
      </c>
    </row>
    <row r="110" customFormat="false" ht="14.5" hidden="false" customHeight="false" outlineLevel="0" collapsed="false">
      <c r="A110" s="80" t="n">
        <f aca="false">C110-G$18</f>
        <v>0</v>
      </c>
      <c r="B110" s="49" t="s">
        <v>15</v>
      </c>
      <c r="C110" s="80" t="n">
        <f aca="false">G18</f>
        <v>12.94</v>
      </c>
      <c r="D110" s="80" t="n">
        <f aca="false">H18</f>
        <v>11.77</v>
      </c>
      <c r="E110" s="80" t="n">
        <f aca="false">E76*G32</f>
        <v>12.3696109042975</v>
      </c>
      <c r="F110" s="80" t="n">
        <f aca="false">F76*H32</f>
        <v>11.9723478287285</v>
      </c>
      <c r="G110" s="80" t="n">
        <f aca="false">G76*I32</f>
        <v>11.2895648974186</v>
      </c>
      <c r="H110" s="80" t="n">
        <f aca="false">H76*J32</f>
        <v>10.6067819661088</v>
      </c>
      <c r="I110" s="80" t="n">
        <f aca="false">I76*K32</f>
        <v>9.92399903479898</v>
      </c>
      <c r="J110" s="80" t="n">
        <f aca="false">J76*L32</f>
        <v>9.24121610348914</v>
      </c>
      <c r="N110" s="49" t="s">
        <v>15</v>
      </c>
      <c r="O110" s="124" t="n">
        <v>12.4</v>
      </c>
      <c r="P110" s="125" t="n">
        <v>12.67</v>
      </c>
      <c r="Q110" s="125" t="n">
        <v>12.5</v>
      </c>
      <c r="R110" s="125" t="n">
        <v>11.5695</v>
      </c>
      <c r="S110" s="125" t="n">
        <v>10.639</v>
      </c>
      <c r="T110" s="125" t="n">
        <v>9.7085</v>
      </c>
      <c r="U110" s="125" t="n">
        <v>8.778</v>
      </c>
    </row>
    <row r="111" customFormat="false" ht="14.5" hidden="false" customHeight="false" outlineLevel="0" collapsed="false">
      <c r="A111" s="80" t="n">
        <f aca="false">C111-G$19</f>
        <v>0</v>
      </c>
      <c r="B111" s="49" t="s">
        <v>16</v>
      </c>
      <c r="C111" s="80" t="n">
        <f aca="false">G19</f>
        <v>5.69713235</v>
      </c>
      <c r="D111" s="80" t="n">
        <f aca="false">H19</f>
        <v>5.02355585</v>
      </c>
      <c r="E111" s="80" t="n">
        <f aca="false">E77*G31</f>
        <v>5.67674640593684</v>
      </c>
      <c r="F111" s="80" t="n">
        <f aca="false">F77*H31</f>
        <v>5.65975811921754</v>
      </c>
      <c r="G111" s="80" t="n">
        <f aca="false">G77*I31</f>
        <v>5.46292321192677</v>
      </c>
      <c r="H111" s="80" t="n">
        <f aca="false">H77*J31</f>
        <v>5.266088304636</v>
      </c>
      <c r="I111" s="80" t="n">
        <f aca="false">I77*K31</f>
        <v>5.06925339734523</v>
      </c>
      <c r="J111" s="80" t="n">
        <f aca="false">J77*L31</f>
        <v>4.87241849005445</v>
      </c>
      <c r="N111" s="49" t="s">
        <v>16</v>
      </c>
      <c r="O111" s="124" t="n">
        <v>5.3</v>
      </c>
      <c r="P111" s="125" t="n">
        <v>5.51865658414281</v>
      </c>
      <c r="Q111" s="125" t="n">
        <v>5.51865658414281</v>
      </c>
      <c r="R111" s="125" t="n">
        <v>5.51865658414281</v>
      </c>
      <c r="S111" s="125" t="n">
        <v>5.51865658414281</v>
      </c>
      <c r="T111" s="125" t="n">
        <v>5.51865658414281</v>
      </c>
      <c r="U111" s="125" t="n">
        <v>5.51865658414281</v>
      </c>
    </row>
    <row r="112" customFormat="false" ht="14.5" hidden="false" customHeight="false" outlineLevel="0" collapsed="false">
      <c r="A112" s="80" t="n">
        <f aca="false">C112-G$20</f>
        <v>0</v>
      </c>
      <c r="B112" s="49" t="s">
        <v>17</v>
      </c>
      <c r="C112" s="80" t="n">
        <f aca="false">G20</f>
        <v>7.32</v>
      </c>
      <c r="D112" s="80" t="n">
        <f aca="false">H20</f>
        <v>6.80991511288393</v>
      </c>
      <c r="E112" s="80" t="n">
        <f aca="false">E82*G36</f>
        <v>7.77357941562056</v>
      </c>
      <c r="F112" s="80" t="n">
        <f aca="false">F82*H36</f>
        <v>8.15156226197102</v>
      </c>
      <c r="G112" s="80" t="n">
        <f aca="false">G82*I36</f>
        <v>8.63174654239049</v>
      </c>
      <c r="H112" s="80" t="n">
        <f aca="false">H82*J36</f>
        <v>9.11193082280995</v>
      </c>
      <c r="I112" s="80" t="n">
        <f aca="false">I82*K36</f>
        <v>9.59211510322942</v>
      </c>
      <c r="J112" s="80" t="n">
        <f aca="false">J82*L36</f>
        <v>10.0722993836489</v>
      </c>
      <c r="N112" s="49" t="s">
        <v>17</v>
      </c>
      <c r="O112" s="124" t="n">
        <v>7.9</v>
      </c>
      <c r="P112" s="125" t="n">
        <v>8.236</v>
      </c>
      <c r="Q112" s="125" t="n">
        <v>8.25</v>
      </c>
      <c r="R112" s="125" t="n">
        <v>8.284875</v>
      </c>
      <c r="S112" s="125" t="n">
        <v>8.31975</v>
      </c>
      <c r="T112" s="125" t="n">
        <v>8.354625</v>
      </c>
      <c r="U112" s="125" t="n">
        <v>8.3895</v>
      </c>
    </row>
    <row r="113" customFormat="false" ht="14.5" hidden="false" customHeight="false" outlineLevel="0" collapsed="false">
      <c r="A113" s="80" t="n">
        <f aca="false">C113-G$22</f>
        <v>0</v>
      </c>
      <c r="B113" s="49" t="s">
        <v>18</v>
      </c>
      <c r="C113" s="80" t="n">
        <f aca="false">G22</f>
        <v>4.96</v>
      </c>
      <c r="D113" s="80" t="n">
        <f aca="false">H22</f>
        <v>3.38</v>
      </c>
      <c r="E113" s="80" t="n">
        <f aca="false">E81*G37</f>
        <v>5.0392902944438</v>
      </c>
      <c r="F113" s="80" t="n">
        <f aca="false">F81*H37</f>
        <v>5.10536553981364</v>
      </c>
      <c r="G113" s="80" t="n">
        <f aca="false">G81*I37</f>
        <v>5.14923728040113</v>
      </c>
      <c r="H113" s="80" t="n">
        <f aca="false">H81*J37</f>
        <v>5.19310902098863</v>
      </c>
      <c r="I113" s="80" t="n">
        <f aca="false">I81*K37</f>
        <v>5.23698076157613</v>
      </c>
      <c r="J113" s="80" t="n">
        <f aca="false">J81*L37</f>
        <v>5.28085250216363</v>
      </c>
      <c r="N113" s="49" t="s">
        <v>18</v>
      </c>
      <c r="O113" s="124" t="n">
        <v>4.9</v>
      </c>
      <c r="P113" s="125" t="n">
        <v>5.098</v>
      </c>
      <c r="Q113" s="125" t="n">
        <v>4.8</v>
      </c>
      <c r="R113" s="125" t="n">
        <v>4.843</v>
      </c>
      <c r="S113" s="125" t="n">
        <v>4.886</v>
      </c>
      <c r="T113" s="125" t="n">
        <v>4.929</v>
      </c>
      <c r="U113" s="125" t="n">
        <v>4.972</v>
      </c>
    </row>
    <row r="114" customFormat="false" ht="14.5" hidden="false" customHeight="false" outlineLevel="0" collapsed="false">
      <c r="B114" s="127"/>
      <c r="C114" s="80"/>
      <c r="D114" s="80"/>
      <c r="E114" s="80"/>
      <c r="F114" s="80"/>
      <c r="G114" s="80"/>
      <c r="H114" s="80"/>
      <c r="I114" s="80"/>
      <c r="J114" s="80"/>
      <c r="N114" s="127"/>
      <c r="O114" s="128"/>
      <c r="P114" s="129"/>
      <c r="Q114" s="129"/>
      <c r="R114" s="129"/>
      <c r="S114" s="129"/>
      <c r="T114" s="129"/>
      <c r="U114" s="129"/>
    </row>
    <row r="115" customFormat="false" ht="14.5" hidden="false" customHeight="false" outlineLevel="0" collapsed="false">
      <c r="B115" s="127" t="s">
        <v>85</v>
      </c>
      <c r="C115" s="80" t="n">
        <f aca="false">C101+C105+SUM(C107:C113)</f>
        <v>50.77113235</v>
      </c>
      <c r="D115" s="80" t="n">
        <f aca="false">D101+D105+SUM(D107:D113)</f>
        <v>43.5357485445195</v>
      </c>
      <c r="E115" s="80" t="n">
        <f aca="false">E101+E105+SUM(E107:E113)</f>
        <v>50.5487466466511</v>
      </c>
      <c r="F115" s="80" t="n">
        <f aca="false">F101+F105+SUM(F107:F113)</f>
        <v>50.4452055770313</v>
      </c>
      <c r="G115" s="80" t="n">
        <f aca="false">G101+G105+SUM(G107:G113)</f>
        <v>50.1836566500466</v>
      </c>
      <c r="H115" s="80" t="n">
        <f aca="false">H101+H105+SUM(H107:H113)</f>
        <v>49.9221077230618</v>
      </c>
      <c r="I115" s="80" t="n">
        <f aca="false">I101+I105+SUM(I107:I113)</f>
        <v>49.6605587960771</v>
      </c>
      <c r="J115" s="80" t="n">
        <f aca="false">J101+J105+SUM(J107:J113)</f>
        <v>49.3990098690923</v>
      </c>
      <c r="N115" s="127"/>
      <c r="O115" s="128"/>
      <c r="P115" s="129"/>
      <c r="Q115" s="129"/>
      <c r="R115" s="129"/>
      <c r="S115" s="129"/>
      <c r="T115" s="129"/>
      <c r="U115" s="129"/>
    </row>
    <row r="116" customFormat="false" ht="14.5" hidden="false" customHeight="false" outlineLevel="0" collapsed="false">
      <c r="B116" s="127" t="s">
        <v>86</v>
      </c>
      <c r="C116" s="80" t="n">
        <f aca="false">C115/$C115</f>
        <v>1</v>
      </c>
      <c r="D116" s="80" t="n">
        <f aca="false">D115/$C115</f>
        <v>0.857490202195964</v>
      </c>
      <c r="E116" s="80" t="n">
        <f aca="false">E115/$C115</f>
        <v>0.995619839600663</v>
      </c>
      <c r="F116" s="80" t="n">
        <f aca="false">F115/$C115</f>
        <v>0.993580470675307</v>
      </c>
      <c r="G116" s="80" t="n">
        <f aca="false">G115/$C115</f>
        <v>0.988428942338659</v>
      </c>
      <c r="H116" s="80" t="n">
        <f aca="false">H115/$C115</f>
        <v>0.98327741400201</v>
      </c>
      <c r="I116" s="80" t="n">
        <f aca="false">I115/$C115</f>
        <v>0.978125885665362</v>
      </c>
      <c r="J116" s="80" t="n">
        <f aca="false">J115/$C115</f>
        <v>0.972974357328714</v>
      </c>
      <c r="N116" s="127"/>
      <c r="O116" s="128"/>
      <c r="P116" s="129"/>
      <c r="Q116" s="129"/>
      <c r="R116" s="129"/>
      <c r="S116" s="129"/>
      <c r="T116" s="129"/>
      <c r="U116" s="129"/>
    </row>
    <row r="117" customFormat="false" ht="15" hidden="false" customHeight="false" outlineLevel="0" collapsed="false"/>
    <row r="118" customFormat="false" ht="14.5" hidden="false" customHeight="false" outlineLevel="0" collapsed="false">
      <c r="B118" s="47" t="s">
        <v>4</v>
      </c>
      <c r="C118" s="47" t="s">
        <v>56</v>
      </c>
      <c r="D118" s="110" t="s">
        <v>73</v>
      </c>
      <c r="E118" s="111" t="s">
        <v>74</v>
      </c>
      <c r="F118" s="111" t="s">
        <v>74</v>
      </c>
      <c r="G118" s="111" t="s">
        <v>74</v>
      </c>
      <c r="H118" s="111" t="s">
        <v>74</v>
      </c>
      <c r="I118" s="111" t="s">
        <v>74</v>
      </c>
      <c r="J118" s="111" t="s">
        <v>74</v>
      </c>
    </row>
    <row r="119" customFormat="false" ht="14.5" hidden="false" customHeight="false" outlineLevel="0" collapsed="false">
      <c r="B119" s="1" t="s">
        <v>5</v>
      </c>
      <c r="C119" s="96" t="n">
        <v>2019</v>
      </c>
      <c r="D119" s="95" t="n">
        <v>2020</v>
      </c>
      <c r="E119" s="96" t="n">
        <v>2025</v>
      </c>
      <c r="F119" s="96" t="n">
        <v>2030</v>
      </c>
      <c r="G119" s="96" t="n">
        <v>2035</v>
      </c>
      <c r="H119" s="96" t="n">
        <v>2040</v>
      </c>
      <c r="I119" s="96" t="n">
        <v>2045</v>
      </c>
      <c r="J119" s="97" t="n">
        <v>2050</v>
      </c>
      <c r="L119" s="80"/>
    </row>
    <row r="120" customFormat="false" ht="14.5" hidden="false" customHeight="false" outlineLevel="0" collapsed="false">
      <c r="A120" s="80" t="n">
        <f aca="false">C120-G$7</f>
        <v>0</v>
      </c>
      <c r="B120" s="49" t="s">
        <v>6</v>
      </c>
      <c r="C120" s="80" t="n">
        <f aca="false">E42*C86</f>
        <v>14.59</v>
      </c>
      <c r="D120" s="80" t="n">
        <f aca="false">F42*D86</f>
        <v>11.59</v>
      </c>
      <c r="E120" s="80" t="n">
        <f aca="false">G42*E86</f>
        <v>14.1228443945028</v>
      </c>
      <c r="F120" s="80" t="n">
        <f aca="false">H42*F86</f>
        <v>13.7335480565885</v>
      </c>
      <c r="G120" s="80" t="n">
        <f aca="false">I42*G86</f>
        <v>13.6382232348187</v>
      </c>
      <c r="H120" s="80" t="n">
        <f aca="false">J42*H86</f>
        <v>13.5428984130489</v>
      </c>
      <c r="I120" s="80" t="n">
        <f aca="false">K42*I86</f>
        <v>13.4475735912791</v>
      </c>
      <c r="J120" s="80" t="n">
        <f aca="false">L42*J86</f>
        <v>13.3522487695094</v>
      </c>
      <c r="N120" s="122"/>
      <c r="O120" s="122"/>
      <c r="P120" s="123" t="s">
        <v>87</v>
      </c>
      <c r="Q120" s="123"/>
      <c r="R120" s="123"/>
      <c r="S120" s="123"/>
      <c r="T120" s="123"/>
      <c r="U120" s="123"/>
    </row>
    <row r="121" customFormat="false" ht="14.5" hidden="false" customHeight="false" outlineLevel="0" collapsed="false">
      <c r="A121" s="80" t="n">
        <f aca="false">C121-G$8</f>
        <v>0</v>
      </c>
      <c r="B121" s="49" t="s">
        <v>7</v>
      </c>
      <c r="C121" s="80" t="n">
        <f aca="false">(C120-(C120*'4. Recyclage'!H12))/(1-0.16)-C123</f>
        <v>10.13</v>
      </c>
      <c r="D121" s="80" t="n">
        <f aca="false">(D120-(D120*H3))/(1-0.16)-D123</f>
        <v>7.87</v>
      </c>
      <c r="E121" s="80" t="n">
        <f aca="false">(E120-(E120*'4. Recyclage'!O12))/(1-0.16)-E123</f>
        <v>7.41321267080143</v>
      </c>
      <c r="F121" s="80" t="n">
        <f aca="false">(F120-(F120*'4. Recyclage'!P12))/(1-0.16)-F123</f>
        <v>4.44930092968779</v>
      </c>
      <c r="G121" s="80" t="n">
        <f aca="false">(G120-(G120*'4. Recyclage'!Q12))/(1-0.16)-G123</f>
        <v>3.77318296461143</v>
      </c>
      <c r="H121" s="80" t="n">
        <f aca="false">(H120-(H120*'4. Recyclage'!R12))/(1-0.16)-H123</f>
        <v>3.1010368671088</v>
      </c>
      <c r="I121" s="80" t="n">
        <f aca="false">(I120-(I120*'4. Recyclage'!S12))/(1-0.16)-I123</f>
        <v>2.43286263717991</v>
      </c>
      <c r="J121" s="80" t="n">
        <f aca="false">(J120-(J120*'4. Recyclage'!T12))/(1-0.16)-J123</f>
        <v>1.76866027482477</v>
      </c>
      <c r="K121" s="47" t="s">
        <v>79</v>
      </c>
      <c r="L121" s="81" t="s">
        <v>88</v>
      </c>
      <c r="N121" s="122"/>
      <c r="O121" s="124" t="n">
        <v>2023</v>
      </c>
      <c r="P121" s="124" t="n">
        <v>2025</v>
      </c>
      <c r="Q121" s="124" t="n">
        <v>2030</v>
      </c>
      <c r="R121" s="124" t="n">
        <v>2035</v>
      </c>
      <c r="S121" s="124" t="n">
        <v>2040</v>
      </c>
      <c r="T121" s="124" t="n">
        <v>2045</v>
      </c>
      <c r="U121" s="124" t="n">
        <v>2050</v>
      </c>
    </row>
    <row r="122" customFormat="false" ht="14.5" hidden="false" customHeight="false" outlineLevel="0" collapsed="false">
      <c r="A122" s="80" t="n">
        <f aca="false">C122-G$9</f>
        <v>0</v>
      </c>
      <c r="B122" s="49" t="s">
        <v>8</v>
      </c>
      <c r="C122" s="80" t="n">
        <f aca="false">C120-C121-C123</f>
        <v>4.46</v>
      </c>
      <c r="D122" s="80" t="n">
        <f aca="false">D120-D121-D123</f>
        <v>3.72</v>
      </c>
      <c r="E122" s="80" t="n">
        <f aca="false">E120-E121-E123</f>
        <v>6.10963172370139</v>
      </c>
      <c r="F122" s="80" t="n">
        <f aca="false">F120-F121-F123</f>
        <v>7.68424712690071</v>
      </c>
      <c r="G122" s="80" t="n">
        <f aca="false">G120-G121-G123</f>
        <v>7.91504027020729</v>
      </c>
      <c r="H122" s="80" t="n">
        <f aca="false">H120-H121-H123</f>
        <v>8.14186154594013</v>
      </c>
      <c r="I122" s="80" t="n">
        <f aca="false">I120-I121-I123</f>
        <v>8.36471095409923</v>
      </c>
      <c r="J122" s="80" t="n">
        <f aca="false">J120-J121-J123</f>
        <v>8.58358849468458</v>
      </c>
      <c r="K122" s="47" t="s">
        <v>81</v>
      </c>
      <c r="N122" s="49" t="s">
        <v>6</v>
      </c>
      <c r="O122" s="124" t="n">
        <v>14.2</v>
      </c>
      <c r="P122" s="125" t="n">
        <v>14.6083220717565</v>
      </c>
      <c r="Q122" s="125" t="n">
        <v>14.467927190641</v>
      </c>
      <c r="R122" s="125" t="n">
        <v>14.3424577524787</v>
      </c>
      <c r="S122" s="125" t="n">
        <v>14.3025601612056</v>
      </c>
      <c r="T122" s="125" t="n">
        <v>14.3104870388615</v>
      </c>
      <c r="U122" s="125" t="n">
        <v>14.3237884412314</v>
      </c>
    </row>
    <row r="123" customFormat="false" ht="14.5" hidden="false" customHeight="false" outlineLevel="0" collapsed="false">
      <c r="B123" s="49" t="s">
        <v>38</v>
      </c>
      <c r="C123" s="80" t="n">
        <v>0</v>
      </c>
      <c r="D123" s="47" t="n">
        <v>0</v>
      </c>
      <c r="E123" s="47" t="n">
        <v>0.6</v>
      </c>
      <c r="F123" s="47" t="n">
        <v>1.6</v>
      </c>
      <c r="G123" s="47" t="n">
        <f aca="false">(F123+H123)/2</f>
        <v>1.95</v>
      </c>
      <c r="H123" s="47" t="n">
        <f aca="false">(F123+J123)/2</f>
        <v>2.3</v>
      </c>
      <c r="I123" s="47" t="n">
        <f aca="false">(H123+J123)/2</f>
        <v>2.65</v>
      </c>
      <c r="J123" s="47" t="n">
        <v>3</v>
      </c>
      <c r="K123" s="47" t="s">
        <v>89</v>
      </c>
      <c r="N123" s="49" t="s">
        <v>80</v>
      </c>
      <c r="O123" s="124" t="n">
        <v>9.6</v>
      </c>
      <c r="P123" s="125" t="n">
        <v>7.00832207175652</v>
      </c>
      <c r="Q123" s="125" t="n">
        <v>3.74719314237602</v>
      </c>
      <c r="R123" s="125" t="n">
        <v>3.04324534589979</v>
      </c>
      <c r="S123" s="125" t="n">
        <v>2.42486939631281</v>
      </c>
      <c r="T123" s="125" t="n">
        <v>1.85431791565477</v>
      </c>
      <c r="U123" s="125" t="n">
        <v>1.28914095971083</v>
      </c>
    </row>
    <row r="124" customFormat="false" ht="14.5" hidden="false" customHeight="false" outlineLevel="0" collapsed="false">
      <c r="A124" s="80" t="n">
        <f aca="false">C124-G$11</f>
        <v>0</v>
      </c>
      <c r="B124" s="49" t="s">
        <v>10</v>
      </c>
      <c r="C124" s="80" t="n">
        <f aca="false">E43*C87</f>
        <v>0.894</v>
      </c>
      <c r="D124" s="80" t="n">
        <f aca="false">F43*D87</f>
        <v>0.802277581635613</v>
      </c>
      <c r="E124" s="80" t="n">
        <f aca="false">G43*E87</f>
        <v>0.993688263559763</v>
      </c>
      <c r="F124" s="80" t="n">
        <f aca="false">H43*F87</f>
        <v>1.11849505972335</v>
      </c>
      <c r="G124" s="80" t="n">
        <f aca="false">I43*G87</f>
        <v>1.29247927965208</v>
      </c>
      <c r="H124" s="80" t="n">
        <f aca="false">J43*H87</f>
        <v>1.4787080029568</v>
      </c>
      <c r="I124" s="80" t="n">
        <f aca="false">K43*I87</f>
        <v>1.67718122963753</v>
      </c>
      <c r="J124" s="80" t="n">
        <f aca="false">L43*J87</f>
        <v>1.88789895969426</v>
      </c>
      <c r="L124" s="80"/>
      <c r="N124" s="49" t="s">
        <v>8</v>
      </c>
      <c r="O124" s="124" t="n">
        <v>4.6</v>
      </c>
      <c r="P124" s="125" t="n">
        <v>7.3</v>
      </c>
      <c r="Q124" s="125" t="n">
        <v>9.11479413010384</v>
      </c>
      <c r="R124" s="125" t="n">
        <v>9.34275857479338</v>
      </c>
      <c r="S124" s="125" t="n">
        <v>9.57072301948292</v>
      </c>
      <c r="T124" s="125" t="n">
        <v>9.79868746417246</v>
      </c>
      <c r="U124" s="125" t="n">
        <v>10.026651908862</v>
      </c>
    </row>
    <row r="125" customFormat="false" ht="14.5" hidden="false" customHeight="false" outlineLevel="0" collapsed="false">
      <c r="A125" s="80" t="n">
        <f aca="false">C125-G$12</f>
        <v>0</v>
      </c>
      <c r="B125" s="54" t="s">
        <v>40</v>
      </c>
      <c r="C125" s="80" t="n">
        <f aca="false">C124*'4. Recyclage'!H13</f>
        <v>0.476</v>
      </c>
      <c r="D125" s="80" t="n">
        <f aca="false">D124*'4. Recyclage'!H13</f>
        <v>0.427163455099051</v>
      </c>
      <c r="E125" s="80" t="n">
        <f aca="false">E124*'4. Recyclage'!O13</f>
        <v>0.562645412767284</v>
      </c>
      <c r="F125" s="80" t="n">
        <f aca="false">F124*'4. Recyclage'!P13</f>
        <v>0.671097035834013</v>
      </c>
      <c r="G125" s="80" t="n">
        <f aca="false">G124*'4. Recyclage'!Q13</f>
        <v>0.84011153177385</v>
      </c>
      <c r="H125" s="80" t="n">
        <f aca="false">H124*'4. Recyclage'!R13</f>
        <v>1.03509560206976</v>
      </c>
      <c r="I125" s="80" t="n">
        <f aca="false">I124*'4. Recyclage'!S13</f>
        <v>1.25788592222815</v>
      </c>
      <c r="J125" s="80" t="n">
        <f aca="false">J124*'4. Recyclage'!T13</f>
        <v>1.51031916775541</v>
      </c>
      <c r="K125" s="47" t="s">
        <v>83</v>
      </c>
      <c r="L125" s="80"/>
      <c r="N125" s="49" t="s">
        <v>9</v>
      </c>
      <c r="O125" s="124" t="n">
        <v>0</v>
      </c>
      <c r="P125" s="125" t="n">
        <v>0.3</v>
      </c>
      <c r="Q125" s="125" t="n">
        <v>1.60593991816115</v>
      </c>
      <c r="R125" s="125" t="n">
        <v>1.95645383178552</v>
      </c>
      <c r="S125" s="125" t="n">
        <v>2.30696774540988</v>
      </c>
      <c r="T125" s="125" t="n">
        <v>2.65748165903424</v>
      </c>
      <c r="U125" s="125" t="n">
        <v>3.0079955726586</v>
      </c>
    </row>
    <row r="126" customFormat="false" ht="14.5" hidden="false" customHeight="false" outlineLevel="0" collapsed="false">
      <c r="A126" s="80" t="n">
        <f aca="false">C126-G$15</f>
        <v>0</v>
      </c>
      <c r="B126" s="49" t="s">
        <v>12</v>
      </c>
      <c r="C126" s="80" t="n">
        <f aca="false">E48*C92</f>
        <v>2.34</v>
      </c>
      <c r="D126" s="80" t="n">
        <f aca="false">F48*D92</f>
        <v>2.27</v>
      </c>
      <c r="E126" s="80" t="n">
        <f aca="false">G48*E92</f>
        <v>1.98034922892107</v>
      </c>
      <c r="F126" s="80" t="n">
        <f aca="false">H48*F92</f>
        <v>1.65215372671994</v>
      </c>
      <c r="G126" s="80" t="n">
        <f aca="false">I48*G92</f>
        <v>1.50598270523382</v>
      </c>
      <c r="H126" s="80" t="n">
        <f aca="false">J48*H92</f>
        <v>1.34782375493279</v>
      </c>
      <c r="I126" s="80" t="n">
        <f aca="false">K48*I92</f>
        <v>1.17767687581685</v>
      </c>
      <c r="J126" s="80" t="n">
        <f aca="false">L48*J92</f>
        <v>0.995542067885987</v>
      </c>
      <c r="N126" s="49" t="s">
        <v>10</v>
      </c>
      <c r="O126" s="124" t="n">
        <v>0.9</v>
      </c>
      <c r="P126" s="125" t="n">
        <v>0.89</v>
      </c>
      <c r="Q126" s="125" t="n">
        <v>0.91</v>
      </c>
      <c r="R126" s="125" t="n">
        <v>0.9504</v>
      </c>
      <c r="S126" s="125" t="n">
        <v>0.9908</v>
      </c>
      <c r="T126" s="125" t="n">
        <v>1.0312</v>
      </c>
      <c r="U126" s="125" t="n">
        <v>1.0716</v>
      </c>
    </row>
    <row r="127" customFormat="false" ht="14.5" hidden="false" customHeight="false" outlineLevel="0" collapsed="false">
      <c r="A127" s="80" t="n">
        <f aca="false">C127-G$16</f>
        <v>0</v>
      </c>
      <c r="B127" s="49" t="s">
        <v>13</v>
      </c>
      <c r="C127" s="80" t="n">
        <f aca="false">E47*C91</f>
        <v>0.96</v>
      </c>
      <c r="D127" s="80" t="n">
        <f aca="false">F47*D91</f>
        <v>0.89</v>
      </c>
      <c r="E127" s="80" t="n">
        <f aca="false">G47*E91</f>
        <v>0.938951512519586</v>
      </c>
      <c r="F127" s="80" t="n">
        <f aca="false">H47*F91</f>
        <v>0.92082636475164</v>
      </c>
      <c r="G127" s="80" t="n">
        <f aca="false">I47*G91</f>
        <v>0.896612932694255</v>
      </c>
      <c r="H127" s="80" t="n">
        <f aca="false">J47*H91</f>
        <v>0.86902965636564</v>
      </c>
      <c r="I127" s="80" t="n">
        <f aca="false">K47*I91</f>
        <v>0.821643662515483</v>
      </c>
      <c r="J127" s="80" t="n">
        <f aca="false">L47*J91</f>
        <v>0.7654795913283</v>
      </c>
      <c r="N127" s="130" t="s">
        <v>84</v>
      </c>
      <c r="O127" s="131" t="n">
        <v>0.45</v>
      </c>
      <c r="P127" s="132" t="n">
        <v>0.39</v>
      </c>
      <c r="Q127" s="132" t="n">
        <v>0.364</v>
      </c>
      <c r="R127" s="132" t="n">
        <v>0.32658</v>
      </c>
      <c r="S127" s="132" t="n">
        <v>0.28916</v>
      </c>
      <c r="T127" s="132" t="n">
        <v>0.25174</v>
      </c>
      <c r="U127" s="132" t="n">
        <v>0.21432</v>
      </c>
    </row>
    <row r="128" customFormat="false" ht="14.5" hidden="false" customHeight="false" outlineLevel="0" collapsed="false">
      <c r="A128" s="80" t="n">
        <f aca="false">C128-G$17</f>
        <v>0</v>
      </c>
      <c r="B128" s="49" t="s">
        <v>14</v>
      </c>
      <c r="C128" s="80" t="n">
        <f aca="false">E46*C90</f>
        <v>1.07</v>
      </c>
      <c r="D128" s="80" t="n">
        <f aca="false">F46*D90</f>
        <v>1</v>
      </c>
      <c r="E128" s="80" t="n">
        <f aca="false">G46*E90</f>
        <v>1.34982234802848</v>
      </c>
      <c r="F128" s="80" t="n">
        <f aca="false">H46*F90</f>
        <v>1.31880378263304</v>
      </c>
      <c r="G128" s="80" t="n">
        <f aca="false">I46*G90</f>
        <v>1.24935425621826</v>
      </c>
      <c r="H128" s="80" t="n">
        <f aca="false">J46*H90</f>
        <v>1.17186682211321</v>
      </c>
      <c r="I128" s="80" t="n">
        <f aca="false">K46*I90</f>
        <v>1.0863414803179</v>
      </c>
      <c r="J128" s="80" t="n">
        <f aca="false">L46*J90</f>
        <v>0.992778230832334</v>
      </c>
      <c r="K128" s="81" t="s">
        <v>90</v>
      </c>
      <c r="N128" s="130" t="s">
        <v>40</v>
      </c>
      <c r="O128" s="131" t="n">
        <v>0.45</v>
      </c>
      <c r="P128" s="132" t="n">
        <v>0.5</v>
      </c>
      <c r="Q128" s="132" t="n">
        <v>0.546</v>
      </c>
      <c r="R128" s="132" t="n">
        <v>0.62382</v>
      </c>
      <c r="S128" s="132" t="n">
        <v>0.70164</v>
      </c>
      <c r="T128" s="132" t="n">
        <v>0.77946</v>
      </c>
      <c r="U128" s="132" t="n">
        <v>0.85728</v>
      </c>
    </row>
    <row r="129" customFormat="false" ht="14.5" hidden="false" customHeight="false" outlineLevel="0" collapsed="false">
      <c r="A129" s="80" t="n">
        <f aca="false">C129-G$18</f>
        <v>0</v>
      </c>
      <c r="B129" s="49" t="s">
        <v>15</v>
      </c>
      <c r="C129" s="80" t="n">
        <f aca="false">E45*C88</f>
        <v>12.94</v>
      </c>
      <c r="D129" s="80" t="n">
        <f aca="false">F45*D88</f>
        <v>11.77</v>
      </c>
      <c r="E129" s="80" t="n">
        <f aca="false">G45*E88</f>
        <v>11.3562027318059</v>
      </c>
      <c r="F129" s="80" t="n">
        <f aca="false">H45*F88</f>
        <v>10.0363716749775</v>
      </c>
      <c r="G129" s="80" t="n">
        <f aca="false">I45*G88</f>
        <v>9.13804477275652</v>
      </c>
      <c r="H129" s="80" t="n">
        <f aca="false">J45*H88</f>
        <v>8.23971787053552</v>
      </c>
      <c r="I129" s="80" t="n">
        <f aca="false">K45*I88</f>
        <v>7.34139096831452</v>
      </c>
      <c r="J129" s="80" t="n">
        <f aca="false">L45*J88</f>
        <v>6.44306406609352</v>
      </c>
      <c r="N129" s="49" t="s">
        <v>12</v>
      </c>
      <c r="O129" s="124" t="n">
        <v>2.3</v>
      </c>
      <c r="P129" s="125" t="n">
        <v>2.368</v>
      </c>
      <c r="Q129" s="125" t="n">
        <v>2.1</v>
      </c>
      <c r="R129" s="125" t="n">
        <v>1.9515</v>
      </c>
      <c r="S129" s="125" t="n">
        <v>1.803</v>
      </c>
      <c r="T129" s="125" t="n">
        <v>1.6545</v>
      </c>
      <c r="U129" s="125" t="n">
        <v>1.506</v>
      </c>
    </row>
    <row r="130" customFormat="false" ht="14.5" hidden="false" customHeight="false" outlineLevel="0" collapsed="false">
      <c r="A130" s="80" t="n">
        <f aca="false">C130-G$19</f>
        <v>0</v>
      </c>
      <c r="B130" s="49" t="s">
        <v>16</v>
      </c>
      <c r="C130" s="80" t="n">
        <f aca="false">E44*C89</f>
        <v>5.69713235</v>
      </c>
      <c r="D130" s="80" t="n">
        <f aca="false">F44*D89</f>
        <v>5.02355585</v>
      </c>
      <c r="E130" s="80" t="n">
        <f aca="false">G44*E89</f>
        <v>5.53126350583554</v>
      </c>
      <c r="F130" s="80" t="n">
        <f aca="false">H44*F89</f>
        <v>5.39303946903183</v>
      </c>
      <c r="G130" s="80" t="n">
        <f aca="false">I44*G89</f>
        <v>4.99710283736416</v>
      </c>
      <c r="H130" s="80" t="n">
        <f aca="false">J44*H89</f>
        <v>4.60116620569649</v>
      </c>
      <c r="I130" s="80" t="n">
        <f aca="false">K44*I89</f>
        <v>4.20522957402882</v>
      </c>
      <c r="J130" s="80" t="n">
        <f aca="false">L44*J89</f>
        <v>3.80929294236115</v>
      </c>
      <c r="N130" s="49" t="s">
        <v>14</v>
      </c>
      <c r="O130" s="124" t="n">
        <v>1.05</v>
      </c>
      <c r="P130" s="125" t="n">
        <v>1.052</v>
      </c>
      <c r="Q130" s="125" t="n">
        <v>1.052</v>
      </c>
      <c r="R130" s="125" t="n">
        <v>1.003</v>
      </c>
      <c r="S130" s="125" t="n">
        <v>0.954</v>
      </c>
      <c r="T130" s="125" t="n">
        <v>0.905</v>
      </c>
      <c r="U130" s="125" t="n">
        <v>0.856</v>
      </c>
    </row>
    <row r="131" customFormat="false" ht="14.5" hidden="false" customHeight="false" outlineLevel="0" collapsed="false">
      <c r="A131" s="80" t="n">
        <f aca="false">C131-G$20</f>
        <v>0</v>
      </c>
      <c r="B131" s="49" t="s">
        <v>17</v>
      </c>
      <c r="C131" s="80" t="n">
        <f aca="false">E49*C94</f>
        <v>7.32</v>
      </c>
      <c r="D131" s="80" t="n">
        <f aca="false">F49*D94</f>
        <v>6.80991511288393</v>
      </c>
      <c r="E131" s="80" t="n">
        <f aca="false">G49*E94</f>
        <v>7.8694907919721</v>
      </c>
      <c r="F131" s="80" t="n">
        <f aca="false">H49*F94</f>
        <v>8.3983854994471</v>
      </c>
      <c r="G131" s="80" t="n">
        <f aca="false">I49*G94</f>
        <v>8.91702817351408</v>
      </c>
      <c r="H131" s="80" t="n">
        <f aca="false">J49*H94</f>
        <v>9.4510953982822</v>
      </c>
      <c r="I131" s="80" t="n">
        <f aca="false">K49*I94</f>
        <v>10.0005871737515</v>
      </c>
      <c r="J131" s="80" t="n">
        <f aca="false">L49*J94</f>
        <v>10.5655034999219</v>
      </c>
      <c r="N131" s="49" t="s">
        <v>15</v>
      </c>
      <c r="O131" s="124" t="n">
        <v>12.4</v>
      </c>
      <c r="P131" s="125" t="n">
        <v>12.67</v>
      </c>
      <c r="Q131" s="125" t="n">
        <v>12</v>
      </c>
      <c r="R131" s="125" t="n">
        <v>10.5675</v>
      </c>
      <c r="S131" s="125" t="n">
        <v>9.135</v>
      </c>
      <c r="T131" s="125" t="n">
        <v>7.7025</v>
      </c>
      <c r="U131" s="125" t="n">
        <v>6.27</v>
      </c>
    </row>
    <row r="132" customFormat="false" ht="14.5" hidden="false" customHeight="false" outlineLevel="0" collapsed="false">
      <c r="A132" s="80" t="n">
        <f aca="false">C132-G$22</f>
        <v>0</v>
      </c>
      <c r="B132" s="49" t="s">
        <v>18</v>
      </c>
      <c r="C132" s="80" t="n">
        <f aca="false">E50*C93</f>
        <v>4.96</v>
      </c>
      <c r="D132" s="80" t="n">
        <f aca="false">F50*D93</f>
        <v>3.38</v>
      </c>
      <c r="E132" s="80" t="n">
        <f aca="false">G50*E93</f>
        <v>4.91448776031334</v>
      </c>
      <c r="F132" s="80" t="n">
        <f aca="false">H50*F93</f>
        <v>4.8765608939078</v>
      </c>
      <c r="G132" s="80" t="n">
        <f aca="false">I50*G93</f>
        <v>4.73944239224316</v>
      </c>
      <c r="H132" s="80" t="n">
        <f aca="false">J50*H93</f>
        <v>4.60232389057852</v>
      </c>
      <c r="I132" s="80" t="n">
        <f aca="false">K50*I93</f>
        <v>4.46520538891388</v>
      </c>
      <c r="J132" s="80" t="n">
        <f aca="false">L50*J93</f>
        <v>4.32808688724924</v>
      </c>
      <c r="N132" s="49" t="s">
        <v>16</v>
      </c>
      <c r="O132" s="124" t="n">
        <v>5.3</v>
      </c>
      <c r="P132" s="125" t="n">
        <v>5.51865658414281</v>
      </c>
      <c r="Q132" s="125" t="n">
        <v>5.4</v>
      </c>
      <c r="R132" s="125" t="n">
        <v>5.14249790214281</v>
      </c>
      <c r="S132" s="125" t="n">
        <v>4.88499580428563</v>
      </c>
      <c r="T132" s="125" t="n">
        <v>4.62749370642844</v>
      </c>
      <c r="U132" s="125" t="n">
        <v>4.36999160857125</v>
      </c>
    </row>
    <row r="133" customFormat="false" ht="13.8" hidden="false" customHeight="false" outlineLevel="0" collapsed="false">
      <c r="N133" s="49" t="s">
        <v>17</v>
      </c>
      <c r="O133" s="124" t="n">
        <v>7.9</v>
      </c>
      <c r="P133" s="125" t="n">
        <v>8.236</v>
      </c>
      <c r="Q133" s="125" t="n">
        <v>8.3895</v>
      </c>
      <c r="R133" s="125" t="n">
        <v>8.3895</v>
      </c>
      <c r="S133" s="125" t="n">
        <v>8.3895</v>
      </c>
      <c r="T133" s="125" t="n">
        <v>8.3895</v>
      </c>
      <c r="U133" s="125" t="n">
        <v>8.3895</v>
      </c>
    </row>
    <row r="134" customFormat="false" ht="14.5" hidden="false" customHeight="false" outlineLevel="0" collapsed="false">
      <c r="B134" s="127" t="s">
        <v>85</v>
      </c>
      <c r="C134" s="80" t="n">
        <f aca="false">SUM(C126:C132,C124,C120)</f>
        <v>50.77113235</v>
      </c>
      <c r="D134" s="80" t="n">
        <f aca="false">SUM(D126:D132,D124,D120)</f>
        <v>43.5357485445195</v>
      </c>
      <c r="E134" s="80" t="n">
        <f aca="false">SUM(E126:E132,E124,E120)</f>
        <v>49.0571005374586</v>
      </c>
      <c r="F134" s="80" t="n">
        <f aca="false">SUM(F126:F132,F124,F120)</f>
        <v>47.4481845277807</v>
      </c>
      <c r="G134" s="80" t="n">
        <f aca="false">SUM(G126:G132,G124,G120)</f>
        <v>46.374270584495</v>
      </c>
      <c r="H134" s="80" t="n">
        <f aca="false">SUM(H126:H132,H124,H120)</f>
        <v>45.3046300145101</v>
      </c>
      <c r="I134" s="80" t="n">
        <f aca="false">SUM(I126:I132,I124,I120)</f>
        <v>44.2228299445756</v>
      </c>
      <c r="J134" s="80" t="n">
        <f aca="false">SUM(J126:J132,J124,J120)</f>
        <v>43.139895014876</v>
      </c>
      <c r="N134" s="49" t="s">
        <v>18</v>
      </c>
      <c r="O134" s="124" t="n">
        <v>4.9</v>
      </c>
      <c r="P134" s="125" t="n">
        <v>5.098</v>
      </c>
      <c r="Q134" s="125" t="n">
        <v>4.9</v>
      </c>
      <c r="R134" s="125" t="n">
        <v>4.692</v>
      </c>
      <c r="S134" s="125" t="n">
        <v>4.484</v>
      </c>
      <c r="T134" s="125" t="n">
        <v>4.276</v>
      </c>
      <c r="U134" s="125" t="n">
        <v>4.068</v>
      </c>
    </row>
    <row r="135" customFormat="false" ht="14.5" hidden="false" customHeight="false" outlineLevel="0" collapsed="false">
      <c r="B135" s="127" t="s">
        <v>86</v>
      </c>
      <c r="C135" s="47" t="n">
        <f aca="false">C134/$C134</f>
        <v>1</v>
      </c>
      <c r="D135" s="47" t="n">
        <f aca="false">D134/$C134</f>
        <v>0.857490202195964</v>
      </c>
      <c r="E135" s="47" t="n">
        <f aca="false">E134/$C134</f>
        <v>0.966240031821127</v>
      </c>
      <c r="F135" s="47" t="n">
        <f aca="false">F134/$C134</f>
        <v>0.934550448878864</v>
      </c>
      <c r="G135" s="47" t="n">
        <f aca="false">G134/$C134</f>
        <v>0.913398390739163</v>
      </c>
      <c r="H135" s="47" t="n">
        <f aca="false">H134/$C134</f>
        <v>0.892330501951275</v>
      </c>
      <c r="I135" s="47" t="n">
        <f aca="false">I134/$C134</f>
        <v>0.871023116831776</v>
      </c>
      <c r="J135" s="47" t="n">
        <f aca="false">J134/$C134</f>
        <v>0.849693379251094</v>
      </c>
    </row>
    <row r="136" customFormat="false" ht="14.5" hidden="false" customHeight="false" outlineLevel="0" collapsed="false">
      <c r="B136" s="127" t="s">
        <v>91</v>
      </c>
      <c r="C136" s="133" t="n">
        <v>50.77113235</v>
      </c>
      <c r="D136" s="133" t="n">
        <v>43.5357485445195</v>
      </c>
      <c r="E136" s="80" t="n">
        <v>50.4409786558993</v>
      </c>
      <c r="F136" s="80" t="n">
        <v>49.219427190641</v>
      </c>
      <c r="G136" s="80" t="n">
        <v>47.0388556546215</v>
      </c>
      <c r="H136" s="80" t="n">
        <v>44.9438559654912</v>
      </c>
      <c r="I136" s="80" t="n">
        <v>42.8966807452899</v>
      </c>
      <c r="J136" s="80" t="n">
        <v>40.8548800498027</v>
      </c>
    </row>
    <row r="137" customFormat="false" ht="14.5" hidden="false" customHeight="false" outlineLevel="0" collapsed="false">
      <c r="F137" s="47" t="n">
        <f aca="false">F136/F134-1</f>
        <v>0.037330040769489</v>
      </c>
    </row>
    <row r="142" customFormat="false" ht="14.5" hidden="false" customHeight="false" outlineLevel="0" collapsed="false">
      <c r="B142" s="47" t="s">
        <v>92</v>
      </c>
    </row>
    <row r="143" customFormat="false" ht="14.5" hidden="false" customHeight="false" outlineLevel="0" collapsed="false">
      <c r="B143" s="47" t="s">
        <v>93</v>
      </c>
    </row>
    <row r="144" customFormat="false" ht="14.5" hidden="false" customHeight="false" outlineLevel="0" collapsed="false">
      <c r="B144" s="47" t="s">
        <v>94</v>
      </c>
    </row>
    <row r="145" customFormat="false" ht="14.5" hidden="false" customHeight="false" outlineLevel="0" collapsed="false">
      <c r="B145" s="47" t="s">
        <v>95</v>
      </c>
    </row>
  </sheetData>
  <mergeCells count="10">
    <mergeCell ref="B2:E2"/>
    <mergeCell ref="C5:H5"/>
    <mergeCell ref="B25:E25"/>
    <mergeCell ref="B56:E56"/>
    <mergeCell ref="C59:G59"/>
    <mergeCell ref="C60:D60"/>
    <mergeCell ref="E60:G60"/>
    <mergeCell ref="B97:E97"/>
    <mergeCell ref="P99:U99"/>
    <mergeCell ref="P120:U12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DC3E6"/>
    <pageSetUpPr fitToPage="false"/>
  </sheetPr>
  <dimension ref="A1:V109"/>
  <sheetViews>
    <sheetView showFormulas="false" showGridLines="true" showRowColHeaders="true" showZeros="true" rightToLeft="false" tabSelected="false" showOutlineSymbols="true" defaultGridColor="true" view="normal" topLeftCell="A100" colorId="64" zoomScale="82" zoomScaleNormal="82" zoomScalePageLayoutView="100" workbookViewId="0">
      <selection pane="topLeft" activeCell="F121" activeCellId="0" sqref="F121"/>
    </sheetView>
  </sheetViews>
  <sheetFormatPr defaultRowHeight="14.5" zeroHeight="false" outlineLevelRow="0" outlineLevelCol="0"/>
  <cols>
    <col collapsed="false" customWidth="true" hidden="false" outlineLevel="0" max="1025" min="1" style="47" width="10.46"/>
  </cols>
  <sheetData>
    <row r="1" customFormat="false" ht="14.5" hidden="false" customHeight="false" outlineLevel="0" collapsed="false">
      <c r="A1" s="47" t="s">
        <v>96</v>
      </c>
    </row>
    <row r="2" customFormat="false" ht="14.5" hidden="false" customHeight="false" outlineLevel="0" collapsed="false">
      <c r="B2" s="3" t="s">
        <v>35</v>
      </c>
      <c r="C2" s="3"/>
      <c r="D2" s="3"/>
      <c r="E2" s="3"/>
    </row>
    <row r="4" customFormat="false" ht="14.5" hidden="false" customHeight="false" outlineLevel="0" collapsed="false">
      <c r="B4" s="1" t="s">
        <v>20</v>
      </c>
      <c r="C4" s="48" t="s">
        <v>2</v>
      </c>
      <c r="D4" s="48"/>
      <c r="E4" s="48"/>
      <c r="F4" s="48"/>
      <c r="G4" s="48"/>
      <c r="H4" s="48"/>
      <c r="I4" s="1" t="s">
        <v>97</v>
      </c>
    </row>
    <row r="5" customFormat="false" ht="14.5" hidden="false" customHeight="false" outlineLevel="0" collapsed="false">
      <c r="B5" s="1" t="s">
        <v>23</v>
      </c>
      <c r="C5" s="7" t="n">
        <v>2015</v>
      </c>
      <c r="D5" s="7" t="n">
        <v>2016</v>
      </c>
      <c r="E5" s="7" t="n">
        <v>2017</v>
      </c>
      <c r="F5" s="7" t="n">
        <v>2018</v>
      </c>
      <c r="G5" s="7" t="n">
        <v>2019</v>
      </c>
      <c r="H5" s="7" t="n">
        <v>2020</v>
      </c>
      <c r="I5" s="1"/>
    </row>
    <row r="6" customFormat="false" ht="14.5" hidden="false" customHeight="false" outlineLevel="0" collapsed="false">
      <c r="B6" s="134" t="s">
        <v>24</v>
      </c>
      <c r="C6" s="32" t="n">
        <f aca="false">'VA historique'!R5</f>
        <v>25.624379</v>
      </c>
      <c r="D6" s="32" t="n">
        <f aca="false">'VA historique'!S5</f>
        <v>26.013804</v>
      </c>
      <c r="E6" s="32" t="n">
        <f aca="false">'VA historique'!T5</f>
        <v>26.657764</v>
      </c>
      <c r="F6" s="32" t="n">
        <f aca="false">'VA historique'!U5</f>
        <v>25.460822</v>
      </c>
      <c r="G6" s="32" t="n">
        <f aca="false">'VA historique'!V5</f>
        <v>25.805908</v>
      </c>
      <c r="H6" s="32" t="n">
        <f aca="false">G6*0.905</f>
        <v>23.35434674</v>
      </c>
      <c r="I6" s="1"/>
    </row>
    <row r="7" customFormat="false" ht="14.5" hidden="false" customHeight="false" outlineLevel="0" collapsed="false">
      <c r="B7" s="134" t="s">
        <v>25</v>
      </c>
      <c r="C7" s="32" t="n">
        <f aca="false">'VA historique'!R6</f>
        <v>41.415126</v>
      </c>
      <c r="D7" s="32" t="n">
        <f aca="false">'VA historique'!S6</f>
        <v>42.558778</v>
      </c>
      <c r="E7" s="32" t="n">
        <f aca="false">'VA historique'!T6</f>
        <v>43.825743</v>
      </c>
      <c r="F7" s="32" t="n">
        <f aca="false">'VA historique'!U6</f>
        <v>45.192983</v>
      </c>
      <c r="G7" s="32" t="n">
        <f aca="false">'VA historique'!V6</f>
        <v>47.173412</v>
      </c>
      <c r="H7" s="32" t="n">
        <f aca="false">'VA historique'!W6</f>
        <v>44.246974</v>
      </c>
      <c r="I7" s="1"/>
    </row>
    <row r="8" customFormat="false" ht="14.5" hidden="false" customHeight="false" outlineLevel="0" collapsed="false">
      <c r="B8" s="134" t="s">
        <v>26</v>
      </c>
      <c r="C8" s="32" t="n">
        <f aca="false">'VA historique'!R7</f>
        <v>8.023073</v>
      </c>
      <c r="D8" s="32" t="n">
        <f aca="false">'VA historique'!S7</f>
        <v>8.099836</v>
      </c>
      <c r="E8" s="32" t="n">
        <f aca="false">'VA historique'!T7</f>
        <v>8.29235</v>
      </c>
      <c r="F8" s="32" t="n">
        <f aca="false">'VA historique'!U7</f>
        <v>8.270174</v>
      </c>
      <c r="G8" s="32" t="n">
        <f aca="false">'VA historique'!V7</f>
        <v>8.358497</v>
      </c>
      <c r="H8" s="32" t="n">
        <f aca="false">G8*0.905</f>
        <v>7.564439785</v>
      </c>
      <c r="I8" s="1"/>
    </row>
    <row r="9" customFormat="false" ht="14.5" hidden="false" customHeight="false" outlineLevel="0" collapsed="false">
      <c r="B9" s="134" t="s">
        <v>27</v>
      </c>
      <c r="C9" s="32" t="n">
        <f aca="false">'VA historique'!R8</f>
        <v>43.507951</v>
      </c>
      <c r="D9" s="32" t="n">
        <f aca="false">'VA historique'!S8</f>
        <v>44.673572</v>
      </c>
      <c r="E9" s="32" t="n">
        <f aca="false">'VA historique'!T8</f>
        <v>45.48521</v>
      </c>
      <c r="F9" s="32" t="n">
        <f aca="false">'VA historique'!U8</f>
        <v>45.279348</v>
      </c>
      <c r="G9" s="32" t="n">
        <f aca="false">'VA historique'!V8</f>
        <v>45.598266</v>
      </c>
      <c r="H9" s="32" t="n">
        <f aca="false">'VA historique'!W8</f>
        <v>44.167665</v>
      </c>
      <c r="I9" s="1"/>
    </row>
    <row r="10" customFormat="false" ht="14.5" hidden="false" customHeight="false" outlineLevel="0" collapsed="false">
      <c r="B10" s="134" t="s">
        <v>28</v>
      </c>
      <c r="C10" s="32" t="n">
        <f aca="false">'VA historique'!R9</f>
        <v>60.173128</v>
      </c>
      <c r="D10" s="32" t="n">
        <f aca="false">'VA historique'!S9</f>
        <v>59.026021</v>
      </c>
      <c r="E10" s="32" t="n">
        <f aca="false">'VA historique'!T9</f>
        <v>60.473291</v>
      </c>
      <c r="F10" s="32" t="n">
        <f aca="false">'VA historique'!U9</f>
        <v>63.185554</v>
      </c>
      <c r="G10" s="32" t="n">
        <f aca="false">'VA historique'!V9</f>
        <v>63.615234</v>
      </c>
      <c r="H10" s="32" t="n">
        <f aca="false">G10*0.905</f>
        <v>57.57178677</v>
      </c>
      <c r="I10" s="1"/>
    </row>
    <row r="11" customFormat="false" ht="14.5" hidden="false" customHeight="false" outlineLevel="0" collapsed="false">
      <c r="B11" s="134" t="s">
        <v>29</v>
      </c>
      <c r="C11" s="32" t="n">
        <f aca="false">'VA historique'!R11</f>
        <v>23.294343</v>
      </c>
      <c r="D11" s="32" t="n">
        <f aca="false">'VA historique'!S11</f>
        <v>23.04682</v>
      </c>
      <c r="E11" s="32" t="n">
        <f aca="false">'VA historique'!T11</f>
        <v>23.307596</v>
      </c>
      <c r="F11" s="32" t="n">
        <f aca="false">'VA historique'!U11</f>
        <v>23.241424</v>
      </c>
      <c r="G11" s="32" t="n">
        <f aca="false">'VA historique'!V11</f>
        <v>23.721859</v>
      </c>
      <c r="H11" s="32" t="n">
        <f aca="false">G11*0.905</f>
        <v>21.468282395</v>
      </c>
      <c r="I11" s="1"/>
    </row>
    <row r="12" customFormat="false" ht="14.5" hidden="false" customHeight="false" outlineLevel="0" collapsed="false">
      <c r="B12" s="7" t="s">
        <v>30</v>
      </c>
      <c r="C12" s="11" t="n">
        <f aca="false">SUM(C6:C11)</f>
        <v>202.038</v>
      </c>
      <c r="D12" s="11" t="n">
        <f aca="false">SUM(D6:D11)</f>
        <v>203.418831</v>
      </c>
      <c r="E12" s="11" t="n">
        <f aca="false">SUM(E6:E11)</f>
        <v>208.041954</v>
      </c>
      <c r="F12" s="11" t="n">
        <f aca="false">SUM(F6:F11)</f>
        <v>210.630305</v>
      </c>
      <c r="G12" s="11" t="n">
        <f aca="false">SUM(G6:G11)</f>
        <v>214.273176</v>
      </c>
      <c r="H12" s="11" t="n">
        <f aca="false">SUM(H6:H11)</f>
        <v>198.37349469</v>
      </c>
      <c r="I12" s="1"/>
    </row>
    <row r="13" customFormat="false" ht="14.5" hidden="false" customHeight="false" outlineLevel="0" collapsed="false">
      <c r="B13" s="135" t="s">
        <v>31</v>
      </c>
      <c r="C13" s="32" t="n">
        <f aca="false">'VA historique'!R10</f>
        <v>109.505257</v>
      </c>
      <c r="D13" s="32" t="n">
        <f aca="false">'VA historique'!S10</f>
        <v>108.449133</v>
      </c>
      <c r="E13" s="32" t="n">
        <f aca="false">'VA historique'!T10</f>
        <v>110.800995</v>
      </c>
      <c r="F13" s="32" t="n">
        <f aca="false">'VA historique'!U10</f>
        <v>111.942451</v>
      </c>
      <c r="G13" s="32" t="n">
        <f aca="false">'VA historique'!V10</f>
        <v>114.881552</v>
      </c>
      <c r="H13" s="32" t="n">
        <f aca="false">'VA historique'!W10</f>
        <v>96.546553</v>
      </c>
      <c r="I13" s="1"/>
    </row>
    <row r="16" customFormat="false" ht="14.5" hidden="false" customHeight="false" outlineLevel="0" collapsed="false">
      <c r="B16" s="3" t="s">
        <v>98</v>
      </c>
      <c r="C16" s="3"/>
      <c r="D16" s="3"/>
      <c r="E16" s="3"/>
    </row>
    <row r="18" customFormat="false" ht="14.5" hidden="false" customHeight="false" outlineLevel="0" collapsed="false">
      <c r="D18" s="136" t="s">
        <v>99</v>
      </c>
      <c r="E18" s="136"/>
      <c r="F18" s="136"/>
      <c r="G18" s="136"/>
      <c r="H18" s="136"/>
      <c r="I18" s="136"/>
      <c r="J18" s="136"/>
      <c r="K18" s="136" t="s">
        <v>100</v>
      </c>
      <c r="L18" s="136"/>
      <c r="M18" s="136"/>
      <c r="N18" s="136"/>
      <c r="O18" s="136"/>
      <c r="P18" s="136"/>
      <c r="Q18" s="136" t="s">
        <v>101</v>
      </c>
      <c r="R18" s="136"/>
      <c r="S18" s="136"/>
      <c r="T18" s="136"/>
      <c r="U18" s="136"/>
      <c r="V18" s="136"/>
    </row>
    <row r="19" customFormat="false" ht="14.5" hidden="false" customHeight="false" outlineLevel="0" collapsed="false">
      <c r="B19" s="47" t="s">
        <v>3</v>
      </c>
      <c r="C19" s="47" t="s">
        <v>102</v>
      </c>
      <c r="D19" s="137" t="n">
        <v>2020</v>
      </c>
      <c r="E19" s="137" t="n">
        <v>2025</v>
      </c>
      <c r="F19" s="137" t="n">
        <v>2030</v>
      </c>
      <c r="G19" s="137" t="n">
        <v>2035</v>
      </c>
      <c r="H19" s="137" t="n">
        <v>2040</v>
      </c>
      <c r="I19" s="137" t="n">
        <v>2045</v>
      </c>
      <c r="J19" s="138" t="n">
        <v>2050</v>
      </c>
      <c r="K19" s="137" t="n">
        <v>2025</v>
      </c>
      <c r="L19" s="137" t="n">
        <v>2030</v>
      </c>
      <c r="M19" s="137" t="n">
        <v>2035</v>
      </c>
      <c r="N19" s="137" t="n">
        <v>2040</v>
      </c>
      <c r="O19" s="137" t="n">
        <v>2045</v>
      </c>
      <c r="P19" s="138" t="n">
        <v>2050</v>
      </c>
      <c r="Q19" s="137" t="n">
        <v>2025</v>
      </c>
      <c r="R19" s="137" t="n">
        <v>2030</v>
      </c>
      <c r="S19" s="137" t="n">
        <v>2035</v>
      </c>
      <c r="T19" s="137" t="n">
        <v>2040</v>
      </c>
      <c r="U19" s="137" t="n">
        <v>2045</v>
      </c>
      <c r="V19" s="138" t="n">
        <v>2050</v>
      </c>
    </row>
    <row r="20" customFormat="false" ht="14.5" hidden="false" customHeight="false" outlineLevel="0" collapsed="false">
      <c r="B20" s="134" t="s">
        <v>24</v>
      </c>
      <c r="D20" s="139" t="n">
        <v>3.57001257035798</v>
      </c>
      <c r="E20" s="139" t="n">
        <v>3.29969673297427</v>
      </c>
      <c r="F20" s="139" t="n">
        <v>3.22175342713521</v>
      </c>
      <c r="G20" s="139" t="n">
        <v>3.15624134459195</v>
      </c>
      <c r="H20" s="139" t="n">
        <v>3.11530217296387</v>
      </c>
      <c r="I20" s="139" t="n">
        <v>3.08165480794612</v>
      </c>
      <c r="J20" s="139" t="n">
        <v>3.04330205611474</v>
      </c>
      <c r="K20" s="139" t="n">
        <f aca="false">E20/$D20</f>
        <v>0.924281544656689</v>
      </c>
      <c r="L20" s="139" t="n">
        <f aca="false">F20/$D20</f>
        <v>0.902448762753838</v>
      </c>
      <c r="M20" s="139" t="n">
        <f aca="false">G20/$D20</f>
        <v>0.884098103967029</v>
      </c>
      <c r="N20" s="139" t="n">
        <f aca="false">H20/$D20</f>
        <v>0.872630589267501</v>
      </c>
      <c r="O20" s="139" t="n">
        <f aca="false">I20/$D20</f>
        <v>0.86320559023609</v>
      </c>
      <c r="P20" s="139" t="n">
        <f aca="false">J20/$D20</f>
        <v>0.852462560323583</v>
      </c>
      <c r="Q20" s="139" t="n">
        <f aca="false">K20+0.017</f>
        <v>0.941281544656689</v>
      </c>
      <c r="R20" s="139" t="n">
        <f aca="false">L20+0.027</f>
        <v>0.929448762753838</v>
      </c>
      <c r="S20" s="139" t="n">
        <f aca="false">M20+0.0395</f>
        <v>0.923598103967029</v>
      </c>
      <c r="T20" s="139" t="n">
        <f aca="false">N20+0.0585</f>
        <v>0.931130589267501</v>
      </c>
      <c r="U20" s="139" t="n">
        <f aca="false">O20+0.0796</f>
        <v>0.94280559023609</v>
      </c>
      <c r="V20" s="139" t="n">
        <f aca="false">P20+0.1</f>
        <v>0.952462560323583</v>
      </c>
    </row>
    <row r="21" customFormat="false" ht="14.5" hidden="false" customHeight="false" outlineLevel="0" collapsed="false">
      <c r="B21" s="134" t="s">
        <v>25</v>
      </c>
      <c r="D21" s="139" t="n">
        <v>37.402350687045</v>
      </c>
      <c r="E21" s="139" t="n">
        <v>35.7206532148714</v>
      </c>
      <c r="F21" s="139" t="n">
        <v>36.0203887247403</v>
      </c>
      <c r="G21" s="139" t="n">
        <v>36.6931334576047</v>
      </c>
      <c r="H21" s="139" t="n">
        <v>37.813804981684</v>
      </c>
      <c r="I21" s="139" t="n">
        <v>39.0855263536251</v>
      </c>
      <c r="J21" s="139" t="n">
        <v>40.3791177202285</v>
      </c>
      <c r="K21" s="139" t="n">
        <f aca="false">E21/$D21</f>
        <v>0.95503765294741</v>
      </c>
      <c r="L21" s="139" t="n">
        <f aca="false">F21/$D21</f>
        <v>0.963051467704051</v>
      </c>
      <c r="M21" s="139" t="n">
        <f aca="false">G21/$D21</f>
        <v>0.981038164275435</v>
      </c>
      <c r="N21" s="139" t="n">
        <f aca="false">H21/$D21</f>
        <v>1.01100076030199</v>
      </c>
      <c r="O21" s="139" t="n">
        <f aca="false">I21/$D21</f>
        <v>1.04500186848318</v>
      </c>
      <c r="P21" s="139" t="n">
        <f aca="false">J21/$D21</f>
        <v>1.07958769912862</v>
      </c>
      <c r="Q21" s="139" t="n">
        <f aca="false">K21+0.017</f>
        <v>0.97203765294741</v>
      </c>
      <c r="R21" s="139" t="n">
        <f aca="false">L21+0.027</f>
        <v>0.990051467704051</v>
      </c>
      <c r="S21" s="139" t="n">
        <f aca="false">M21+0.0395</f>
        <v>1.02053816427544</v>
      </c>
      <c r="T21" s="139" t="n">
        <f aca="false">N21+0.0585</f>
        <v>1.06950076030199</v>
      </c>
      <c r="U21" s="139" t="n">
        <f aca="false">O21+0.0796</f>
        <v>1.12460186848318</v>
      </c>
      <c r="V21" s="139" t="n">
        <f aca="false">P21+0.1</f>
        <v>1.17958769912862</v>
      </c>
    </row>
    <row r="22" customFormat="false" ht="14.5" hidden="false" customHeight="false" outlineLevel="0" collapsed="false">
      <c r="B22" s="134" t="s">
        <v>26</v>
      </c>
      <c r="D22" s="139" t="n">
        <v>2.87327717312339</v>
      </c>
      <c r="E22" s="139" t="n">
        <v>2.70532399164813</v>
      </c>
      <c r="F22" s="139" t="n">
        <v>2.71231120131716</v>
      </c>
      <c r="G22" s="139" t="n">
        <v>2.70616917415553</v>
      </c>
      <c r="H22" s="139" t="n">
        <v>2.70620378553503</v>
      </c>
      <c r="I22" s="139" t="n">
        <v>2.6983022063941</v>
      </c>
      <c r="J22" s="139" t="n">
        <v>2.67849429832833</v>
      </c>
      <c r="K22" s="139" t="n">
        <f aca="false">E22/$D22</f>
        <v>0.941546474163268</v>
      </c>
      <c r="L22" s="139" t="n">
        <f aca="false">F22/$D22</f>
        <v>0.943978265197697</v>
      </c>
      <c r="M22" s="139" t="n">
        <f aca="false">G22/$D22</f>
        <v>0.941840626956916</v>
      </c>
      <c r="N22" s="139" t="n">
        <f aca="false">H22/$D22</f>
        <v>0.941852672916082</v>
      </c>
      <c r="O22" s="139" t="n">
        <f aca="false">I22/$D22</f>
        <v>0.939102649627399</v>
      </c>
      <c r="P22" s="139" t="n">
        <f aca="false">J22/$D22</f>
        <v>0.93220881138198</v>
      </c>
      <c r="Q22" s="139" t="n">
        <f aca="false">K22+0.017</f>
        <v>0.958546474163268</v>
      </c>
      <c r="R22" s="139" t="n">
        <f aca="false">L22+0.027</f>
        <v>0.970978265197697</v>
      </c>
      <c r="S22" s="139" t="n">
        <f aca="false">M22+0.0395</f>
        <v>0.981340626956917</v>
      </c>
      <c r="T22" s="139" t="n">
        <f aca="false">N22+0.0585</f>
        <v>1.00035267291608</v>
      </c>
      <c r="U22" s="139" t="n">
        <f aca="false">O22+0.0796</f>
        <v>1.0187026496274</v>
      </c>
      <c r="V22" s="139" t="n">
        <f aca="false">P22+0.1</f>
        <v>1.03220881138198</v>
      </c>
    </row>
    <row r="23" customFormat="false" ht="14.5" hidden="false" customHeight="false" outlineLevel="0" collapsed="false">
      <c r="B23" s="134" t="s">
        <v>27</v>
      </c>
      <c r="D23" s="139" t="n">
        <v>45.4911810894768</v>
      </c>
      <c r="E23" s="139" t="n">
        <v>47.4894322299151</v>
      </c>
      <c r="F23" s="139" t="n">
        <v>48.5549737962027</v>
      </c>
      <c r="G23" s="139" t="n">
        <v>50.3536413133151</v>
      </c>
      <c r="H23" s="139" t="n">
        <v>53.5312233818802</v>
      </c>
      <c r="I23" s="139" t="n">
        <v>57.8472523620868</v>
      </c>
      <c r="J23" s="139" t="n">
        <v>62.2721207473033</v>
      </c>
      <c r="K23" s="139" t="n">
        <f aca="false">E23/$D23</f>
        <v>1.04392612134004</v>
      </c>
      <c r="L23" s="139" t="n">
        <f aca="false">F23/$D23</f>
        <v>1.06734915720697</v>
      </c>
      <c r="M23" s="139" t="n">
        <f aca="false">G23/$D23</f>
        <v>1.10688797493022</v>
      </c>
      <c r="N23" s="139" t="n">
        <f aca="false">H23/$D23</f>
        <v>1.17673848204973</v>
      </c>
      <c r="O23" s="139" t="n">
        <f aca="false">I23/$D23</f>
        <v>1.27161465094315</v>
      </c>
      <c r="P23" s="139" t="n">
        <f aca="false">J23/$D23</f>
        <v>1.36888335839907</v>
      </c>
      <c r="Q23" s="139" t="n">
        <f aca="false">K23+0.017</f>
        <v>1.06092612134004</v>
      </c>
      <c r="R23" s="139" t="n">
        <f aca="false">L23+0.027</f>
        <v>1.09434915720697</v>
      </c>
      <c r="S23" s="139" t="n">
        <f aca="false">M23+0.0395</f>
        <v>1.14638797493022</v>
      </c>
      <c r="T23" s="139" t="n">
        <f aca="false">N23+0.0585</f>
        <v>1.23523848204973</v>
      </c>
      <c r="U23" s="139" t="n">
        <f aca="false">O23+0.0796</f>
        <v>1.35121465094315</v>
      </c>
      <c r="V23" s="139" t="n">
        <f aca="false">P23+0.1</f>
        <v>1.46888335839907</v>
      </c>
    </row>
    <row r="24" customFormat="false" ht="14.5" hidden="false" customHeight="false" outlineLevel="0" collapsed="false">
      <c r="B24" s="134" t="s">
        <v>103</v>
      </c>
      <c r="D24" s="139" t="n">
        <v>128.933626055964</v>
      </c>
      <c r="E24" s="139" t="n">
        <v>135.569935139157</v>
      </c>
      <c r="F24" s="139" t="n">
        <v>139.749807975567</v>
      </c>
      <c r="G24" s="139" t="n">
        <v>145.93917778421</v>
      </c>
      <c r="H24" s="139" t="n">
        <v>156.794347915775</v>
      </c>
      <c r="I24" s="139" t="n">
        <v>169.144030051763</v>
      </c>
      <c r="J24" s="139" t="n">
        <v>181.045220192807</v>
      </c>
      <c r="K24" s="139" t="n">
        <f aca="false">E24/$D24</f>
        <v>1.05147073952851</v>
      </c>
      <c r="L24" s="139" t="n">
        <f aca="false">F24/$D24</f>
        <v>1.08388953487516</v>
      </c>
      <c r="M24" s="139" t="n">
        <f aca="false">G24/$D24</f>
        <v>1.1318938452942</v>
      </c>
      <c r="N24" s="139" t="n">
        <f aca="false">H24/$D24</f>
        <v>1.21608576995824</v>
      </c>
      <c r="O24" s="139" t="n">
        <f aca="false">I24/$D24</f>
        <v>1.31186902304559</v>
      </c>
      <c r="P24" s="139" t="n">
        <f aca="false">J24/$D24</f>
        <v>1.40417380423493</v>
      </c>
      <c r="Q24" s="139" t="n">
        <f aca="false">K24+0.017</f>
        <v>1.06847073952851</v>
      </c>
      <c r="R24" s="139" t="n">
        <f aca="false">L24+0.027</f>
        <v>1.11088953487516</v>
      </c>
      <c r="S24" s="139" t="n">
        <f aca="false">M24+0.0395</f>
        <v>1.1713938452942</v>
      </c>
      <c r="T24" s="139" t="n">
        <f aca="false">N24+0.0585</f>
        <v>1.27458576995824</v>
      </c>
      <c r="U24" s="139" t="n">
        <f aca="false">O24+0.0796</f>
        <v>1.39146902304559</v>
      </c>
      <c r="V24" s="139" t="n">
        <f aca="false">P24+0.1</f>
        <v>1.50417380423493</v>
      </c>
    </row>
    <row r="25" customFormat="false" ht="14.5" hidden="false" customHeight="false" outlineLevel="0" collapsed="false">
      <c r="B25" s="47" t="s">
        <v>104</v>
      </c>
      <c r="D25" s="139" t="n">
        <v>235.2055540394</v>
      </c>
      <c r="E25" s="139" t="n">
        <v>242.317348966174</v>
      </c>
      <c r="F25" s="139" t="n">
        <v>248.41423413784</v>
      </c>
      <c r="G25" s="139" t="n">
        <v>257.837072311613</v>
      </c>
      <c r="H25" s="139" t="n">
        <v>274.244057173126</v>
      </c>
      <c r="I25" s="139" t="n">
        <v>293.707277898248</v>
      </c>
      <c r="J25" s="139" t="n">
        <v>312.830064719112</v>
      </c>
      <c r="K25" s="139" t="n">
        <f aca="false">E25/$D25</f>
        <v>1.03023650931977</v>
      </c>
      <c r="L25" s="139" t="n">
        <f aca="false">F25/$D25</f>
        <v>1.05615802803801</v>
      </c>
      <c r="M25" s="139" t="n">
        <f aca="false">G25/$D25</f>
        <v>1.09622016947959</v>
      </c>
      <c r="N25" s="139" t="n">
        <f aca="false">H25/$D25</f>
        <v>1.16597611095181</v>
      </c>
      <c r="O25" s="139" t="n">
        <f aca="false">I25/$D25</f>
        <v>1.24872594568514</v>
      </c>
      <c r="P25" s="139" t="n">
        <f aca="false">J25/$D25</f>
        <v>1.33002839153496</v>
      </c>
      <c r="Q25" s="139"/>
      <c r="R25" s="139"/>
      <c r="S25" s="139"/>
      <c r="T25" s="139"/>
      <c r="U25" s="139"/>
      <c r="V25" s="139"/>
    </row>
    <row r="26" customFormat="false" ht="14.5" hidden="false" customHeight="false" outlineLevel="0" collapsed="false">
      <c r="B26" s="134" t="s">
        <v>31</v>
      </c>
      <c r="D26" s="139" t="n">
        <v>106.7</v>
      </c>
      <c r="E26" s="139" t="n">
        <v>115.224526796836</v>
      </c>
      <c r="F26" s="139" t="n">
        <v>117.818562548075</v>
      </c>
      <c r="G26" s="139" t="n">
        <v>121.796776056413</v>
      </c>
      <c r="H26" s="139" t="n">
        <v>127.797797959314</v>
      </c>
      <c r="I26" s="139" t="n">
        <v>135.104757049221</v>
      </c>
      <c r="J26" s="139" t="n">
        <v>142.308376006294</v>
      </c>
      <c r="K26" s="139" t="n">
        <f aca="false">E26/$D26</f>
        <v>1.07989247232274</v>
      </c>
      <c r="L26" s="139" t="n">
        <f aca="false">F26/$D26</f>
        <v>1.10420396015066</v>
      </c>
      <c r="M26" s="139" t="n">
        <f aca="false">G26/$D26</f>
        <v>1.14148806050996</v>
      </c>
      <c r="N26" s="139" t="n">
        <f aca="false">H26/$D26</f>
        <v>1.19773006522319</v>
      </c>
      <c r="O26" s="139" t="n">
        <f aca="false">I26/$D26</f>
        <v>1.26621140627199</v>
      </c>
      <c r="P26" s="139" t="n">
        <f aca="false">J26/$D26</f>
        <v>1.33372423623518</v>
      </c>
      <c r="Q26" s="139" t="n">
        <f aca="false">K26</f>
        <v>1.07989247232274</v>
      </c>
      <c r="R26" s="139" t="n">
        <f aca="false">L26</f>
        <v>1.10420396015066</v>
      </c>
      <c r="S26" s="139" t="n">
        <f aca="false">M26</f>
        <v>1.14148806050996</v>
      </c>
      <c r="T26" s="139" t="n">
        <f aca="false">N26</f>
        <v>1.19773006522319</v>
      </c>
      <c r="U26" s="139" t="n">
        <f aca="false">O26</f>
        <v>1.26621140627199</v>
      </c>
      <c r="V26" s="139" t="n">
        <f aca="false">P26</f>
        <v>1.33372423623518</v>
      </c>
    </row>
    <row r="29" customFormat="false" ht="14.5" hidden="false" customHeight="false" outlineLevel="0" collapsed="false">
      <c r="B29" s="47" t="s">
        <v>102</v>
      </c>
      <c r="C29" s="7" t="n">
        <v>2019</v>
      </c>
      <c r="D29" s="7" t="n">
        <v>2020</v>
      </c>
      <c r="E29" s="137" t="n">
        <v>2025</v>
      </c>
      <c r="F29" s="137" t="n">
        <v>2030</v>
      </c>
      <c r="G29" s="137" t="n">
        <v>2035</v>
      </c>
      <c r="H29" s="137" t="n">
        <v>2040</v>
      </c>
      <c r="I29" s="137" t="n">
        <v>2045</v>
      </c>
      <c r="J29" s="138" t="n">
        <v>2050</v>
      </c>
    </row>
    <row r="30" customFormat="false" ht="14.5" hidden="false" customHeight="false" outlineLevel="0" collapsed="false">
      <c r="B30" s="134" t="s">
        <v>24</v>
      </c>
      <c r="C30" s="32" t="n">
        <f aca="false">G6</f>
        <v>25.805908</v>
      </c>
      <c r="D30" s="32" t="n">
        <f aca="false">H6</f>
        <v>23.35434674</v>
      </c>
      <c r="E30" s="139" t="n">
        <f aca="false">$D30*Q20</f>
        <v>21.9830155738751</v>
      </c>
      <c r="F30" s="139" t="n">
        <f aca="false">$D30*R20</f>
        <v>21.7066686824171</v>
      </c>
      <c r="G30" s="139" t="n">
        <f aca="false">$D30*S20</f>
        <v>21.5700303684526</v>
      </c>
      <c r="H30" s="139" t="n">
        <f aca="false">$D30*T20</f>
        <v>21.7459466419737</v>
      </c>
      <c r="I30" s="139" t="n">
        <f aca="false">$D30*U20</f>
        <v>22.018608662784</v>
      </c>
      <c r="J30" s="139" t="n">
        <f aca="false">$D30*V20</f>
        <v>22.2441408906651</v>
      </c>
    </row>
    <row r="31" customFormat="false" ht="14.5" hidden="false" customHeight="false" outlineLevel="0" collapsed="false">
      <c r="B31" s="134" t="s">
        <v>25</v>
      </c>
      <c r="C31" s="32" t="n">
        <f aca="false">G7</f>
        <v>47.173412</v>
      </c>
      <c r="D31" s="32" t="n">
        <f aca="false">H7</f>
        <v>44.246974</v>
      </c>
      <c r="E31" s="139" t="n">
        <f aca="false">$D31*Q21</f>
        <v>43.0097247569851</v>
      </c>
      <c r="F31" s="139" t="n">
        <f aca="false">$D31*R21</f>
        <v>43.806781550163</v>
      </c>
      <c r="G31" s="139" t="n">
        <f aca="false">$D31*S21</f>
        <v>45.1557256207031</v>
      </c>
      <c r="H31" s="139" t="n">
        <f aca="false">$D31*T21</f>
        <v>47.3221723340624</v>
      </c>
      <c r="I31" s="139" t="n">
        <f aca="false">$D31*U21</f>
        <v>49.7602296351267</v>
      </c>
      <c r="J31" s="139" t="n">
        <f aca="false">$D31*V21</f>
        <v>52.1931862540639</v>
      </c>
    </row>
    <row r="32" customFormat="false" ht="14.5" hidden="false" customHeight="false" outlineLevel="0" collapsed="false">
      <c r="B32" s="134" t="s">
        <v>26</v>
      </c>
      <c r="C32" s="32" t="n">
        <f aca="false">G8</f>
        <v>8.358497</v>
      </c>
      <c r="D32" s="32" t="n">
        <f aca="false">H8</f>
        <v>7.564439785</v>
      </c>
      <c r="E32" s="139" t="n">
        <f aca="false">$D32*Q22</f>
        <v>7.2508670849321</v>
      </c>
      <c r="F32" s="139" t="n">
        <f aca="false">$D32*R22</f>
        <v>7.34490661963174</v>
      </c>
      <c r="G32" s="139" t="n">
        <f aca="false">$D32*S22</f>
        <v>7.42329208118974</v>
      </c>
      <c r="H32" s="139" t="n">
        <f aca="false">$D32*T22</f>
        <v>7.56710755803751</v>
      </c>
      <c r="I32" s="139" t="n">
        <f aca="false">$D32*U22</f>
        <v>7.70591485192642</v>
      </c>
      <c r="J32" s="139" t="n">
        <f aca="false">$D32*V22</f>
        <v>7.80808139924541</v>
      </c>
    </row>
    <row r="33" customFormat="false" ht="14.5" hidden="false" customHeight="false" outlineLevel="0" collapsed="false">
      <c r="B33" s="134" t="s">
        <v>27</v>
      </c>
      <c r="C33" s="32" t="n">
        <f aca="false">G9</f>
        <v>45.598266</v>
      </c>
      <c r="D33" s="32" t="n">
        <f aca="false">H9</f>
        <v>44.167665</v>
      </c>
      <c r="E33" s="139" t="n">
        <f aca="false">$D33*Q23</f>
        <v>46.8586295170964</v>
      </c>
      <c r="F33" s="139" t="n">
        <f aca="false">$D33*R23</f>
        <v>48.3348469685498</v>
      </c>
      <c r="G33" s="139" t="n">
        <f aca="false">$D33*S23</f>
        <v>50.6332800367466</v>
      </c>
      <c r="H33" s="139" t="n">
        <f aca="false">$D33*T23</f>
        <v>54.5575994702809</v>
      </c>
      <c r="I33" s="139" t="n">
        <f aca="false">$D33*U23</f>
        <v>59.6799960459491</v>
      </c>
      <c r="J33" s="139" t="n">
        <f aca="false">$D33*V23</f>
        <v>64.8771480978451</v>
      </c>
    </row>
    <row r="34" customFormat="false" ht="14.5" hidden="false" customHeight="false" outlineLevel="0" collapsed="false">
      <c r="B34" s="134" t="s">
        <v>28</v>
      </c>
      <c r="C34" s="32" t="n">
        <f aca="false">G10</f>
        <v>63.615234</v>
      </c>
      <c r="D34" s="32" t="n">
        <f aca="false">H10</f>
        <v>57.57178677</v>
      </c>
      <c r="E34" s="139" t="n">
        <f aca="false">$D34*Q24</f>
        <v>61.5137695861197</v>
      </c>
      <c r="F34" s="139" t="n">
        <f aca="false">$D34*R24</f>
        <v>63.9558954268574</v>
      </c>
      <c r="G34" s="139" t="n">
        <f aca="false">$D34*S24</f>
        <v>67.4392366849682</v>
      </c>
      <c r="H34" s="139" t="n">
        <f aca="false">$D34*T24</f>
        <v>73.3801801681122</v>
      </c>
      <c r="I34" s="139" t="n">
        <f aca="false">$D34*U24</f>
        <v>80.109357891841</v>
      </c>
      <c r="J34" s="139" t="n">
        <f aca="false">$D34*V24</f>
        <v>86.5979735224332</v>
      </c>
    </row>
    <row r="35" customFormat="false" ht="14.5" hidden="false" customHeight="false" outlineLevel="0" collapsed="false">
      <c r="B35" s="134" t="s">
        <v>29</v>
      </c>
      <c r="C35" s="32" t="n">
        <f aca="false">G11</f>
        <v>23.721859</v>
      </c>
      <c r="D35" s="32" t="n">
        <f aca="false">H11</f>
        <v>21.468282395</v>
      </c>
      <c r="E35" s="139" t="n">
        <f aca="false">$D35*Q24</f>
        <v>22.9382315669926</v>
      </c>
      <c r="F35" s="139" t="n">
        <f aca="false">$D35*R24</f>
        <v>23.8488902443502</v>
      </c>
      <c r="G35" s="139" t="n">
        <f aca="false">$D35*S24</f>
        <v>25.1478138665409</v>
      </c>
      <c r="H35" s="139" t="n">
        <f aca="false">$D35*T24</f>
        <v>27.363167246112</v>
      </c>
      <c r="I35" s="139" t="n">
        <f aca="false">$D35*U24</f>
        <v>29.8724499306375</v>
      </c>
      <c r="J35" s="139" t="n">
        <f aca="false">$D35*V24</f>
        <v>32.2920280004769</v>
      </c>
    </row>
    <row r="36" customFormat="false" ht="14.5" hidden="false" customHeight="false" outlineLevel="0" collapsed="false">
      <c r="B36" s="7" t="s">
        <v>30</v>
      </c>
      <c r="C36" s="11" t="n">
        <f aca="false">SUM(C30:C35)</f>
        <v>214.273176</v>
      </c>
      <c r="D36" s="11" t="n">
        <f aca="false">SUM(D30:D35)</f>
        <v>198.37349469</v>
      </c>
      <c r="E36" s="11" t="n">
        <f aca="false">SUM(E30:E35)</f>
        <v>203.554238086001</v>
      </c>
      <c r="F36" s="11" t="n">
        <f aca="false">SUM(F30:F35)</f>
        <v>208.997989491969</v>
      </c>
      <c r="G36" s="11" t="n">
        <f aca="false">SUM(G30:G35)</f>
        <v>217.369378658601</v>
      </c>
      <c r="H36" s="11" t="n">
        <f aca="false">SUM(H30:H35)</f>
        <v>231.936173418579</v>
      </c>
      <c r="I36" s="11" t="n">
        <f aca="false">SUM(I30:I35)</f>
        <v>249.146557018265</v>
      </c>
      <c r="J36" s="11" t="n">
        <f aca="false">SUM(J30:J35)</f>
        <v>266.01255816473</v>
      </c>
    </row>
    <row r="37" customFormat="false" ht="14.5" hidden="false" customHeight="false" outlineLevel="0" collapsed="false">
      <c r="B37" s="135" t="s">
        <v>31</v>
      </c>
      <c r="C37" s="32" t="n">
        <f aca="false">G13</f>
        <v>114.881552</v>
      </c>
      <c r="D37" s="32" t="n">
        <f aca="false">H13</f>
        <v>96.546553</v>
      </c>
      <c r="E37" s="139" t="n">
        <f aca="false">$D37*K26</f>
        <v>104.259895813408</v>
      </c>
      <c r="F37" s="139" t="n">
        <f aca="false">$D37*L26</f>
        <v>106.607086161495</v>
      </c>
      <c r="G37" s="139" t="n">
        <f aca="false">$D37*M26</f>
        <v>110.206737532892</v>
      </c>
      <c r="H37" s="139" t="n">
        <f aca="false">$D37*N26</f>
        <v>115.636709221764</v>
      </c>
      <c r="I37" s="139" t="n">
        <f aca="false">$D37*O26</f>
        <v>122.248346644843</v>
      </c>
      <c r="J37" s="139" t="n">
        <f aca="false">$D37*P26</f>
        <v>128.766477661065</v>
      </c>
    </row>
    <row r="38" customFormat="false" ht="14.5" hidden="false" customHeight="false" outlineLevel="0" collapsed="false">
      <c r="E38" s="140" t="n">
        <f aca="false">$D36*K25</f>
        <v>204.37161671099</v>
      </c>
      <c r="F38" s="140" t="n">
        <f aca="false">$D36*L25</f>
        <v>209.513758966799</v>
      </c>
      <c r="G38" s="140" t="n">
        <f aca="false">$D36*M25</f>
        <v>217.46102596933</v>
      </c>
      <c r="H38" s="140" t="n">
        <f aca="false">$D36*N25</f>
        <v>231.298755854566</v>
      </c>
      <c r="I38" s="140" t="n">
        <f aca="false">$D36*O25</f>
        <v>247.714129755636</v>
      </c>
      <c r="J38" s="140" t="n">
        <f aca="false">$D36*P25</f>
        <v>263.84238006571</v>
      </c>
    </row>
    <row r="42" customFormat="false" ht="14.5" hidden="false" customHeight="false" outlineLevel="0" collapsed="false">
      <c r="D42" s="136" t="s">
        <v>99</v>
      </c>
      <c r="E42" s="136"/>
      <c r="F42" s="136"/>
      <c r="G42" s="136"/>
      <c r="H42" s="136"/>
      <c r="I42" s="136"/>
      <c r="J42" s="136"/>
      <c r="K42" s="136" t="s">
        <v>100</v>
      </c>
      <c r="L42" s="136"/>
      <c r="M42" s="136"/>
      <c r="N42" s="136"/>
      <c r="O42" s="136"/>
      <c r="P42" s="136"/>
      <c r="Q42" s="136" t="s">
        <v>105</v>
      </c>
      <c r="R42" s="136"/>
      <c r="S42" s="136"/>
      <c r="T42" s="136"/>
      <c r="U42" s="136"/>
      <c r="V42" s="136"/>
    </row>
    <row r="43" customFormat="false" ht="14.5" hidden="false" customHeight="false" outlineLevel="0" collapsed="false">
      <c r="B43" s="47" t="s">
        <v>4</v>
      </c>
      <c r="D43" s="137" t="n">
        <v>2020</v>
      </c>
      <c r="E43" s="137" t="n">
        <v>2025</v>
      </c>
      <c r="F43" s="137" t="n">
        <v>2030</v>
      </c>
      <c r="G43" s="137" t="n">
        <v>2035</v>
      </c>
      <c r="H43" s="137" t="n">
        <v>2040</v>
      </c>
      <c r="I43" s="137" t="n">
        <v>2045</v>
      </c>
      <c r="J43" s="138" t="n">
        <v>2050</v>
      </c>
      <c r="K43" s="137" t="n">
        <v>2025</v>
      </c>
      <c r="L43" s="137" t="n">
        <v>2030</v>
      </c>
      <c r="M43" s="137" t="n">
        <v>2035</v>
      </c>
      <c r="N43" s="137" t="n">
        <v>2040</v>
      </c>
      <c r="O43" s="137" t="n">
        <v>2045</v>
      </c>
      <c r="P43" s="138" t="n">
        <v>2050</v>
      </c>
      <c r="Q43" s="137" t="n">
        <v>2025</v>
      </c>
      <c r="R43" s="137" t="n">
        <v>2030</v>
      </c>
      <c r="S43" s="137" t="n">
        <v>2035</v>
      </c>
      <c r="T43" s="137" t="n">
        <v>2040</v>
      </c>
      <c r="U43" s="137" t="n">
        <v>2045</v>
      </c>
      <c r="V43" s="138" t="n">
        <v>2050</v>
      </c>
    </row>
    <row r="44" customFormat="false" ht="14.5" hidden="false" customHeight="false" outlineLevel="0" collapsed="false">
      <c r="B44" s="134" t="s">
        <v>24</v>
      </c>
      <c r="D44" s="139" t="n">
        <v>3.57001257035798</v>
      </c>
      <c r="E44" s="139" t="n">
        <v>3.4933934423402</v>
      </c>
      <c r="F44" s="139" t="n">
        <v>3.47153698493348</v>
      </c>
      <c r="G44" s="139" t="n">
        <v>3.45050726559606</v>
      </c>
      <c r="H44" s="139" t="n">
        <v>3.46185099057894</v>
      </c>
      <c r="I44" s="139" t="n">
        <v>3.47310186468893</v>
      </c>
      <c r="J44" s="139" t="n">
        <v>3.46706483272366</v>
      </c>
      <c r="K44" s="139" t="n">
        <f aca="false">E44/$D44</f>
        <v>0.978538134948332</v>
      </c>
      <c r="L44" s="139" t="n">
        <f aca="false">F44/$D44</f>
        <v>0.972415899528716</v>
      </c>
      <c r="M44" s="139" t="n">
        <f aca="false">G44/$D44</f>
        <v>0.966525242584808</v>
      </c>
      <c r="N44" s="139" t="n">
        <f aca="false">H44/$D44</f>
        <v>0.969702745397282</v>
      </c>
      <c r="O44" s="139" t="n">
        <f aca="false">I44/$D44</f>
        <v>0.972854239653466</v>
      </c>
      <c r="P44" s="139" t="n">
        <f aca="false">J44/$D44</f>
        <v>0.971163200239377</v>
      </c>
      <c r="Q44" s="139" t="n">
        <f aca="false">K44+0.019</f>
        <v>0.997538134948332</v>
      </c>
      <c r="R44" s="139" t="n">
        <f aca="false">L44+0.028</f>
        <v>1.00041589952872</v>
      </c>
      <c r="S44" s="139" t="n">
        <f aca="false">M44+0.039</f>
        <v>1.00552524258481</v>
      </c>
      <c r="T44" s="139" t="n">
        <f aca="false">N44+0.056</f>
        <v>1.02570274539728</v>
      </c>
      <c r="U44" s="139" t="n">
        <f aca="false">O44+0.074</f>
        <v>1.04685423965347</v>
      </c>
      <c r="V44" s="139" t="n">
        <f aca="false">P44+0.091</f>
        <v>1.06216320023938</v>
      </c>
    </row>
    <row r="45" customFormat="false" ht="14.5" hidden="false" customHeight="false" outlineLevel="0" collapsed="false">
      <c r="B45" s="134" t="s">
        <v>25</v>
      </c>
      <c r="D45" s="139" t="n">
        <v>37.402350687045</v>
      </c>
      <c r="E45" s="139" t="n">
        <v>37.8175043936418</v>
      </c>
      <c r="F45" s="139" t="n">
        <v>38.8130608060866</v>
      </c>
      <c r="G45" s="139" t="n">
        <v>40.1141452030879</v>
      </c>
      <c r="H45" s="139" t="n">
        <v>42.0202442541421</v>
      </c>
      <c r="I45" s="139" t="n">
        <v>44.0503634966168</v>
      </c>
      <c r="J45" s="139" t="n">
        <v>46.0016838430232</v>
      </c>
      <c r="K45" s="139" t="n">
        <f aca="false">E45/$D45</f>
        <v>1.01109966884356</v>
      </c>
      <c r="L45" s="139" t="n">
        <f aca="false">F45/$D45</f>
        <v>1.03771715127868</v>
      </c>
      <c r="M45" s="139" t="n">
        <f aca="false">G45/$D45</f>
        <v>1.07250331773885</v>
      </c>
      <c r="N45" s="139" t="n">
        <f aca="false">H45/$D45</f>
        <v>1.12346532991298</v>
      </c>
      <c r="O45" s="139" t="n">
        <f aca="false">I45/$D45</f>
        <v>1.17774318157694</v>
      </c>
      <c r="P45" s="139" t="n">
        <f aca="false">J45/$D45</f>
        <v>1.22991424330334</v>
      </c>
      <c r="Q45" s="139" t="n">
        <f aca="false">K45+0.019</f>
        <v>1.03009966884356</v>
      </c>
      <c r="R45" s="139" t="n">
        <f aca="false">L45+0.028</f>
        <v>1.06571715127868</v>
      </c>
      <c r="S45" s="139" t="n">
        <f aca="false">M45+0.039</f>
        <v>1.11150331773885</v>
      </c>
      <c r="T45" s="139" t="n">
        <f aca="false">N45+0.056</f>
        <v>1.17946532991298</v>
      </c>
      <c r="U45" s="139" t="n">
        <f aca="false">O45+0.074</f>
        <v>1.25174318157694</v>
      </c>
      <c r="V45" s="139" t="n">
        <f aca="false">P45+0.091</f>
        <v>1.32091424330334</v>
      </c>
    </row>
    <row r="46" customFormat="false" ht="14.5" hidden="false" customHeight="false" outlineLevel="0" collapsed="false">
      <c r="B46" s="134" t="s">
        <v>26</v>
      </c>
      <c r="D46" s="139" t="n">
        <v>2.87327717312339</v>
      </c>
      <c r="E46" s="139" t="n">
        <v>2.86413020850874</v>
      </c>
      <c r="F46" s="139" t="n">
        <v>2.92259754291455</v>
      </c>
      <c r="G46" s="139" t="n">
        <v>2.95847350626571</v>
      </c>
      <c r="H46" s="139" t="n">
        <v>3.00724415659166</v>
      </c>
      <c r="I46" s="139" t="n">
        <v>3.04105391699193</v>
      </c>
      <c r="J46" s="139" t="n">
        <v>3.05145963665555</v>
      </c>
      <c r="K46" s="139" t="n">
        <f aca="false">E46/$D46</f>
        <v>0.996816539420488</v>
      </c>
      <c r="L46" s="139" t="n">
        <f aca="false">F46/$D46</f>
        <v>1.01716519737549</v>
      </c>
      <c r="M46" s="139" t="n">
        <f aca="false">G46/$D46</f>
        <v>1.02965127553278</v>
      </c>
      <c r="N46" s="139" t="n">
        <f aca="false">H46/$D46</f>
        <v>1.04662515148952</v>
      </c>
      <c r="O46" s="139" t="n">
        <f aca="false">I46/$D46</f>
        <v>1.05839211943697</v>
      </c>
      <c r="P46" s="139" t="n">
        <f aca="false">J46/$D46</f>
        <v>1.06201367038268</v>
      </c>
      <c r="Q46" s="139" t="n">
        <f aca="false">K46+0.019</f>
        <v>1.01581653942049</v>
      </c>
      <c r="R46" s="139" t="n">
        <f aca="false">L46+0.028</f>
        <v>1.04516519737549</v>
      </c>
      <c r="S46" s="139" t="n">
        <f aca="false">M46+0.039</f>
        <v>1.06865127553278</v>
      </c>
      <c r="T46" s="139" t="n">
        <f aca="false">N46+0.056</f>
        <v>1.10262515148952</v>
      </c>
      <c r="U46" s="139" t="n">
        <f aca="false">O46+0.074</f>
        <v>1.13239211943697</v>
      </c>
      <c r="V46" s="139" t="n">
        <f aca="false">P46+0.091</f>
        <v>1.15301367038268</v>
      </c>
    </row>
    <row r="47" customFormat="false" ht="14.5" hidden="false" customHeight="false" outlineLevel="0" collapsed="false">
      <c r="B47" s="134" t="s">
        <v>27</v>
      </c>
      <c r="D47" s="139" t="n">
        <v>45.4911810894768</v>
      </c>
      <c r="E47" s="139" t="n">
        <v>50.277126826412</v>
      </c>
      <c r="F47" s="139" t="n">
        <v>52.3194562055229</v>
      </c>
      <c r="G47" s="139" t="n">
        <v>55.048263498137</v>
      </c>
      <c r="H47" s="139" t="n">
        <v>59.4860814144252</v>
      </c>
      <c r="I47" s="139" t="n">
        <v>65.1952968670745</v>
      </c>
      <c r="J47" s="139" t="n">
        <v>70.9431649968157</v>
      </c>
      <c r="K47" s="139" t="n">
        <f aca="false">E47/$D47</f>
        <v>1.10520601185363</v>
      </c>
      <c r="L47" s="139" t="n">
        <f aca="false">F47/$D47</f>
        <v>1.15010107349412</v>
      </c>
      <c r="M47" s="139" t="n">
        <f aca="false">G47/$D47</f>
        <v>1.21008648665029</v>
      </c>
      <c r="N47" s="139" t="n">
        <f aca="false">H47/$D47</f>
        <v>1.30763985435818</v>
      </c>
      <c r="O47" s="139" t="n">
        <f aca="false">I47/$D47</f>
        <v>1.43314144204877</v>
      </c>
      <c r="P47" s="139" t="n">
        <f aca="false">J47/$D47</f>
        <v>1.5594927038117</v>
      </c>
      <c r="Q47" s="139" t="n">
        <f aca="false">K47+0.019</f>
        <v>1.12420601185363</v>
      </c>
      <c r="R47" s="139" t="n">
        <f aca="false">L47+0.028</f>
        <v>1.17810107349412</v>
      </c>
      <c r="S47" s="139" t="n">
        <f aca="false">M47+0.039</f>
        <v>1.24908648665029</v>
      </c>
      <c r="T47" s="139" t="n">
        <f aca="false">N47+0.056</f>
        <v>1.36363985435818</v>
      </c>
      <c r="U47" s="139" t="n">
        <f aca="false">O47+0.074</f>
        <v>1.50714144204877</v>
      </c>
      <c r="V47" s="139" t="n">
        <f aca="false">P47+0.091</f>
        <v>1.6504927038117</v>
      </c>
    </row>
    <row r="48" customFormat="false" ht="14.5" hidden="false" customHeight="false" outlineLevel="0" collapsed="false">
      <c r="B48" s="134" t="s">
        <v>103</v>
      </c>
      <c r="D48" s="139" t="n">
        <v>128.933626055964</v>
      </c>
      <c r="E48" s="139" t="n">
        <v>143.528075674617</v>
      </c>
      <c r="F48" s="139" t="n">
        <v>150.584654597831</v>
      </c>
      <c r="G48" s="139" t="n">
        <v>159.545528462949</v>
      </c>
      <c r="H48" s="139" t="n">
        <v>174.236282232934</v>
      </c>
      <c r="I48" s="139" t="n">
        <v>190.629542497431</v>
      </c>
      <c r="J48" s="139" t="n">
        <v>206.254753714637</v>
      </c>
      <c r="K48" s="139" t="n">
        <f aca="false">E48/$D48</f>
        <v>1.1131935094443</v>
      </c>
      <c r="L48" s="139" t="n">
        <f aca="false">F48/$D48</f>
        <v>1.16792383185182</v>
      </c>
      <c r="M48" s="139" t="n">
        <f aca="false">G48/$D48</f>
        <v>1.23742372989415</v>
      </c>
      <c r="N48" s="139" t="n">
        <f aca="false">H48/$D48</f>
        <v>1.35136416746169</v>
      </c>
      <c r="O48" s="139" t="n">
        <f aca="false">I48/$D48</f>
        <v>1.47850912387035</v>
      </c>
      <c r="P48" s="139" t="n">
        <f aca="false">J48/$D48</f>
        <v>1.599697146694</v>
      </c>
      <c r="Q48" s="139" t="n">
        <f aca="false">K48+0.019</f>
        <v>1.1321935094443</v>
      </c>
      <c r="R48" s="139" t="n">
        <f aca="false">L48+0.028</f>
        <v>1.19592383185182</v>
      </c>
      <c r="S48" s="139" t="n">
        <f aca="false">M48+0.039</f>
        <v>1.27642372989415</v>
      </c>
      <c r="T48" s="139" t="n">
        <f aca="false">N48+0.056</f>
        <v>1.40736416746169</v>
      </c>
      <c r="U48" s="139" t="n">
        <f aca="false">O48+0.074</f>
        <v>1.55250912387035</v>
      </c>
      <c r="V48" s="139" t="n">
        <f aca="false">P48+0.091</f>
        <v>1.690697146694</v>
      </c>
    </row>
    <row r="49" customFormat="false" ht="14.5" hidden="false" customHeight="false" outlineLevel="0" collapsed="false">
      <c r="B49" s="47" t="s">
        <v>104</v>
      </c>
      <c r="D49" s="139" t="n">
        <v>235.2055540394</v>
      </c>
      <c r="E49" s="139" t="n">
        <v>256.541708631711</v>
      </c>
      <c r="F49" s="139" t="n">
        <v>267.673867940995</v>
      </c>
      <c r="G49" s="139" t="n">
        <v>281.876001933641</v>
      </c>
      <c r="H49" s="139" t="n">
        <v>304.751195317252</v>
      </c>
      <c r="I49" s="139" t="n">
        <v>331.015431031024</v>
      </c>
      <c r="J49" s="139" t="n">
        <v>356.389900183279</v>
      </c>
      <c r="K49" s="139" t="n">
        <f aca="false">E49/$D49</f>
        <v>1.09071280089218</v>
      </c>
      <c r="L49" s="139" t="n">
        <f aca="false">F49/$D49</f>
        <v>1.13804229255639</v>
      </c>
      <c r="M49" s="139" t="n">
        <f aca="false">G49/$D49</f>
        <v>1.19842408945166</v>
      </c>
      <c r="N49" s="139" t="n">
        <f aca="false">H49/$D49</f>
        <v>1.29568026810371</v>
      </c>
      <c r="O49" s="139" t="n">
        <f aca="false">I49/$D49</f>
        <v>1.40734530008409</v>
      </c>
      <c r="P49" s="139" t="n">
        <f aca="false">J49/$D49</f>
        <v>1.51522740030016</v>
      </c>
      <c r="Q49" s="139"/>
      <c r="R49" s="139"/>
      <c r="S49" s="139"/>
      <c r="T49" s="139"/>
      <c r="U49" s="139"/>
      <c r="V49" s="139"/>
    </row>
    <row r="50" customFormat="false" ht="14.5" hidden="false" customHeight="false" outlineLevel="0" collapsed="false">
      <c r="B50" s="134" t="s">
        <v>31</v>
      </c>
      <c r="D50" s="139" t="n">
        <v>106.7</v>
      </c>
      <c r="E50" s="139" t="n">
        <v>115.224526796836</v>
      </c>
      <c r="F50" s="139" t="n">
        <v>117.818562548075</v>
      </c>
      <c r="G50" s="139" t="n">
        <v>121.796776056413</v>
      </c>
      <c r="H50" s="139" t="n">
        <v>127.797797959314</v>
      </c>
      <c r="I50" s="139" t="n">
        <v>135.104757049221</v>
      </c>
      <c r="J50" s="139" t="n">
        <v>142.308376006294</v>
      </c>
      <c r="K50" s="139" t="n">
        <f aca="false">E50/$D50</f>
        <v>1.07989247232274</v>
      </c>
      <c r="L50" s="139" t="n">
        <f aca="false">F50/$D50</f>
        <v>1.10420396015066</v>
      </c>
      <c r="M50" s="139" t="n">
        <f aca="false">G50/$D50</f>
        <v>1.14148806050996</v>
      </c>
      <c r="N50" s="139" t="n">
        <f aca="false">H50/$D50</f>
        <v>1.19773006522319</v>
      </c>
      <c r="O50" s="139" t="n">
        <f aca="false">I50/$D50</f>
        <v>1.26621140627199</v>
      </c>
      <c r="P50" s="139" t="n">
        <f aca="false">J50/$D50</f>
        <v>1.33372423623518</v>
      </c>
      <c r="Q50" s="139" t="n">
        <f aca="false">K50/$D50</f>
        <v>0.0101208291689104</v>
      </c>
      <c r="R50" s="139" t="n">
        <f aca="false">L50/$D50</f>
        <v>0.010348678164486</v>
      </c>
      <c r="S50" s="139" t="n">
        <f aca="false">M50/$D50</f>
        <v>0.0106981074087157</v>
      </c>
      <c r="T50" s="139" t="n">
        <f aca="false">N50/$D50</f>
        <v>0.011225211482879</v>
      </c>
      <c r="U50" s="139" t="n">
        <f aca="false">O50/$D50</f>
        <v>0.0118670234889596</v>
      </c>
      <c r="V50" s="139" t="n">
        <f aca="false">P50/$D50</f>
        <v>0.012499758540161</v>
      </c>
    </row>
    <row r="53" customFormat="false" ht="14.5" hidden="false" customHeight="false" outlineLevel="0" collapsed="false">
      <c r="B53" s="47" t="s">
        <v>102</v>
      </c>
      <c r="C53" s="7" t="n">
        <v>2019</v>
      </c>
      <c r="D53" s="7" t="n">
        <v>2020</v>
      </c>
      <c r="E53" s="137" t="n">
        <v>2025</v>
      </c>
      <c r="F53" s="137" t="n">
        <v>2030</v>
      </c>
      <c r="G53" s="137" t="n">
        <v>2035</v>
      </c>
      <c r="H53" s="137" t="n">
        <v>2040</v>
      </c>
      <c r="I53" s="137" t="n">
        <v>2045</v>
      </c>
      <c r="J53" s="138" t="n">
        <v>2050</v>
      </c>
    </row>
    <row r="54" customFormat="false" ht="14.5" hidden="false" customHeight="false" outlineLevel="0" collapsed="false">
      <c r="B54" s="134" t="s">
        <v>24</v>
      </c>
      <c r="C54" s="32" t="n">
        <f aca="false">G6</f>
        <v>25.805908</v>
      </c>
      <c r="D54" s="32" t="n">
        <f aca="false">H6</f>
        <v>23.35434674</v>
      </c>
      <c r="E54" s="139" t="n">
        <f aca="false">$D54*Q44</f>
        <v>23.2968514899563</v>
      </c>
      <c r="F54" s="139" t="n">
        <f aca="false">$D54*R44</f>
        <v>23.3640598018026</v>
      </c>
      <c r="G54" s="139" t="n">
        <f aca="false">$D54*S44</f>
        <v>23.4833851711482</v>
      </c>
      <c r="H54" s="139" t="n">
        <f aca="false">$D54*T44</f>
        <v>23.9546175681781</v>
      </c>
      <c r="I54" s="139" t="n">
        <f aca="false">$D54*U44</f>
        <v>24.4485968991061</v>
      </c>
      <c r="J54" s="139" t="n">
        <f aca="false">$D54*V44</f>
        <v>24.8061276728585</v>
      </c>
    </row>
    <row r="55" customFormat="false" ht="14.5" hidden="false" customHeight="false" outlineLevel="0" collapsed="false">
      <c r="B55" s="134" t="s">
        <v>25</v>
      </c>
      <c r="C55" s="32" t="n">
        <f aca="false">G7</f>
        <v>47.173412</v>
      </c>
      <c r="D55" s="32" t="n">
        <f aca="false">H7</f>
        <v>44.246974</v>
      </c>
      <c r="E55" s="139" t="n">
        <f aca="false">$D55*Q45</f>
        <v>45.5787932647296</v>
      </c>
      <c r="F55" s="139" t="n">
        <f aca="false">$D55*R45</f>
        <v>47.1547590839818</v>
      </c>
      <c r="G55" s="139" t="n">
        <f aca="false">$D55*S45</f>
        <v>49.1806584009046</v>
      </c>
      <c r="H55" s="139" t="n">
        <f aca="false">$D55*T45</f>
        <v>52.1877717865611</v>
      </c>
      <c r="I55" s="139" t="n">
        <f aca="false">$D55*U45</f>
        <v>55.3858480099122</v>
      </c>
      <c r="J55" s="139" t="n">
        <f aca="false">$D55*V45</f>
        <v>58.4464581796726</v>
      </c>
    </row>
    <row r="56" customFormat="false" ht="14.5" hidden="false" customHeight="false" outlineLevel="0" collapsed="false">
      <c r="B56" s="134" t="s">
        <v>26</v>
      </c>
      <c r="C56" s="32" t="n">
        <f aca="false">G8</f>
        <v>8.358497</v>
      </c>
      <c r="D56" s="32" t="n">
        <f aca="false">H8</f>
        <v>7.564439785</v>
      </c>
      <c r="E56" s="139" t="n">
        <f aca="false">$D56*Q46</f>
        <v>7.68408304505336</v>
      </c>
      <c r="F56" s="139" t="n">
        <f aca="false">$D56*R46</f>
        <v>7.90608920092455</v>
      </c>
      <c r="G56" s="139" t="n">
        <f aca="false">$D56*S46</f>
        <v>8.08374822493114</v>
      </c>
      <c r="H56" s="139" t="n">
        <f aca="false">$D56*T46</f>
        <v>8.34074156386901</v>
      </c>
      <c r="I56" s="139" t="n">
        <f aca="false">$D56*U46</f>
        <v>8.56591200048949</v>
      </c>
      <c r="J56" s="139" t="n">
        <f aca="false">$D56*V46</f>
        <v>8.72190248089164</v>
      </c>
    </row>
    <row r="57" customFormat="false" ht="14.5" hidden="false" customHeight="false" outlineLevel="0" collapsed="false">
      <c r="B57" s="134" t="s">
        <v>27</v>
      </c>
      <c r="C57" s="32" t="n">
        <f aca="false">G9</f>
        <v>45.598266</v>
      </c>
      <c r="D57" s="32" t="n">
        <f aca="false">H9</f>
        <v>44.167665</v>
      </c>
      <c r="E57" s="139" t="n">
        <f aca="false">$D57*Q47</f>
        <v>49.6535545225372</v>
      </c>
      <c r="F57" s="139" t="n">
        <f aca="false">$D57*R47</f>
        <v>52.0339735502289</v>
      </c>
      <c r="G57" s="139" t="n">
        <f aca="false">$D57*S47</f>
        <v>55.1692334983969</v>
      </c>
      <c r="H57" s="139" t="n">
        <f aca="false">$D57*T47</f>
        <v>60.2287882679411</v>
      </c>
      <c r="I57" s="139" t="n">
        <f aca="false">$D57*U47</f>
        <v>66.566918320027</v>
      </c>
      <c r="J57" s="139" t="n">
        <f aca="false">$D57*V47</f>
        <v>72.8984088268992</v>
      </c>
    </row>
    <row r="58" customFormat="false" ht="14.5" hidden="false" customHeight="false" outlineLevel="0" collapsed="false">
      <c r="B58" s="134" t="s">
        <v>28</v>
      </c>
      <c r="C58" s="32" t="n">
        <f aca="false">G10</f>
        <v>63.615234</v>
      </c>
      <c r="D58" s="32" t="n">
        <f aca="false">H10</f>
        <v>57.57178677</v>
      </c>
      <c r="E58" s="139" t="n">
        <f aca="false">$D58*Q48</f>
        <v>65.182403308105</v>
      </c>
      <c r="F58" s="139" t="n">
        <f aca="false">$D58*R48</f>
        <v>68.8514718405343</v>
      </c>
      <c r="G58" s="139" t="n">
        <f aca="false">$D58*S48</f>
        <v>73.4859948056343</v>
      </c>
      <c r="H58" s="139" t="n">
        <f aca="false">$D58*T48</f>
        <v>81.0244697568427</v>
      </c>
      <c r="I58" s="139" t="n">
        <f aca="false">$D58*U48</f>
        <v>89.3807242379435</v>
      </c>
      <c r="J58" s="139" t="n">
        <f aca="false">$D58*V48</f>
        <v>97.3364556221145</v>
      </c>
    </row>
    <row r="59" customFormat="false" ht="14.5" hidden="false" customHeight="false" outlineLevel="0" collapsed="false">
      <c r="B59" s="134" t="s">
        <v>29</v>
      </c>
      <c r="C59" s="32" t="n">
        <f aca="false">G11</f>
        <v>23.721859</v>
      </c>
      <c r="D59" s="32" t="n">
        <f aca="false">H11</f>
        <v>21.468282395</v>
      </c>
      <c r="E59" s="139" t="n">
        <f aca="false">$D59*Q48</f>
        <v>24.3062499865362</v>
      </c>
      <c r="F59" s="139" t="n">
        <f aca="false">$D59*R48</f>
        <v>25.6744305451053</v>
      </c>
      <c r="G59" s="139" t="n">
        <f aca="false">$D59*S48</f>
        <v>27.4026250890469</v>
      </c>
      <c r="H59" s="139" t="n">
        <f aca="false">$D59*T48</f>
        <v>30.2136913796715</v>
      </c>
      <c r="I59" s="139" t="n">
        <f aca="false">$D59*U48</f>
        <v>33.3297042920628</v>
      </c>
      <c r="J59" s="139" t="n">
        <f aca="false">$D59*V48</f>
        <v>36.2963637896476</v>
      </c>
    </row>
    <row r="60" customFormat="false" ht="14.5" hidden="false" customHeight="false" outlineLevel="0" collapsed="false">
      <c r="B60" s="7" t="s">
        <v>106</v>
      </c>
      <c r="C60" s="11" t="n">
        <f aca="false">SUM(C54:C59)</f>
        <v>214.273176</v>
      </c>
      <c r="D60" s="11" t="n">
        <f aca="false">SUM(D54:D59)</f>
        <v>198.37349469</v>
      </c>
      <c r="E60" s="11" t="n">
        <f aca="false">SUM(E54:E59)</f>
        <v>215.701935616918</v>
      </c>
      <c r="F60" s="11" t="n">
        <f aca="false">SUM(F54:F59)</f>
        <v>224.984784022577</v>
      </c>
      <c r="G60" s="11" t="n">
        <f aca="false">SUM(G54:G59)</f>
        <v>236.805645190062</v>
      </c>
      <c r="H60" s="11" t="n">
        <f aca="false">SUM(H54:H59)</f>
        <v>255.950080323063</v>
      </c>
      <c r="I60" s="11" t="n">
        <f aca="false">SUM(I54:I59)</f>
        <v>277.677703759541</v>
      </c>
      <c r="J60" s="11" t="n">
        <f aca="false">SUM(J54:J59)</f>
        <v>298.505716572084</v>
      </c>
    </row>
    <row r="61" customFormat="false" ht="14.5" hidden="false" customHeight="false" outlineLevel="0" collapsed="false">
      <c r="B61" s="135" t="s">
        <v>31</v>
      </c>
      <c r="C61" s="32" t="n">
        <f aca="false">G13</f>
        <v>114.881552</v>
      </c>
      <c r="D61" s="32" t="n">
        <f aca="false">H13</f>
        <v>96.546553</v>
      </c>
      <c r="E61" s="139" t="n">
        <f aca="false">$D61*K50</f>
        <v>104.259895813408</v>
      </c>
      <c r="F61" s="139" t="n">
        <f aca="false">$D61*L50</f>
        <v>106.607086161495</v>
      </c>
      <c r="G61" s="139" t="n">
        <f aca="false">$D61*M50</f>
        <v>110.206737532892</v>
      </c>
      <c r="H61" s="139" t="n">
        <f aca="false">$D61*N50</f>
        <v>115.636709221764</v>
      </c>
      <c r="I61" s="139" t="n">
        <f aca="false">$D61*O50</f>
        <v>122.248346644843</v>
      </c>
      <c r="J61" s="139" t="n">
        <f aca="false">$D61*P50</f>
        <v>128.766477661065</v>
      </c>
    </row>
    <row r="62" customFormat="false" ht="14.5" hidden="false" customHeight="false" outlineLevel="0" collapsed="false">
      <c r="E62" s="140" t="n">
        <f aca="false">$D60*K49</f>
        <v>216.3685100161</v>
      </c>
      <c r="F62" s="140" t="n">
        <f aca="false">$D60*L49</f>
        <v>225.75742667943</v>
      </c>
      <c r="G62" s="140" t="n">
        <f aca="false">$D60*M49</f>
        <v>237.735574745207</v>
      </c>
      <c r="H62" s="140" t="n">
        <f aca="false">$D60*N49</f>
        <v>257.028622784609</v>
      </c>
      <c r="I62" s="140" t="n">
        <f aca="false">$D60*O49</f>
        <v>279.180005413228</v>
      </c>
      <c r="J62" s="140" t="n">
        <f aca="false">$D60*P49</f>
        <v>300.580954647586</v>
      </c>
    </row>
    <row r="63" customFormat="false" ht="13.8" hidden="false" customHeight="false" outlineLevel="0" collapsed="false">
      <c r="B63" s="47" t="s">
        <v>107</v>
      </c>
      <c r="C63" s="47" t="n">
        <f aca="false">C60/$C60</f>
        <v>1</v>
      </c>
      <c r="D63" s="47" t="n">
        <f aca="false">D60/$C60</f>
        <v>0.925797145462575</v>
      </c>
      <c r="E63" s="47" t="n">
        <f aca="false">E60/$C60</f>
        <v>1.00666793503316</v>
      </c>
      <c r="F63" s="47" t="n">
        <f aca="false">F60/$C60</f>
        <v>1.04999042914535</v>
      </c>
      <c r="G63" s="47" t="n">
        <f aca="false">G60/$C60</f>
        <v>1.10515767587289</v>
      </c>
      <c r="H63" s="47" t="n">
        <f aca="false">H60/$C60</f>
        <v>1.194503600969</v>
      </c>
      <c r="I63" s="47" t="n">
        <f aca="false">I60/$C60</f>
        <v>1.295905110211</v>
      </c>
      <c r="J63" s="47" t="n">
        <f aca="false">J60/$C60</f>
        <v>1.39310819088286</v>
      </c>
    </row>
    <row r="64" customFormat="false" ht="13.8" hidden="false" customHeight="false" outlineLevel="0" collapsed="false">
      <c r="B64" s="47" t="s">
        <v>108</v>
      </c>
      <c r="C64" s="47" t="n">
        <v>1</v>
      </c>
      <c r="D64" s="47" t="n">
        <v>0.878661054102264</v>
      </c>
      <c r="E64" s="47" t="n">
        <v>1.04032398321456</v>
      </c>
      <c r="F64" s="47" t="n">
        <v>1.08069956025773</v>
      </c>
      <c r="G64" s="47" t="n">
        <v>1.13623483809699</v>
      </c>
      <c r="H64" s="47" t="n">
        <v>1.22129691594258</v>
      </c>
      <c r="I64" s="47" t="n">
        <v>1.32231436341584</v>
      </c>
      <c r="J64" s="47" t="n">
        <v>1.4280889824139</v>
      </c>
    </row>
    <row r="66" customFormat="false" ht="14.5" hidden="false" customHeight="false" outlineLevel="0" collapsed="false">
      <c r="B66" s="3" t="s">
        <v>109</v>
      </c>
      <c r="C66" s="3"/>
      <c r="D66" s="3"/>
      <c r="E66" s="3"/>
      <c r="G66" s="47" t="s">
        <v>110</v>
      </c>
    </row>
    <row r="67" customFormat="false" ht="14.5" hidden="false" customHeight="false" outlineLevel="0" collapsed="false">
      <c r="G67" s="47" t="s">
        <v>111</v>
      </c>
    </row>
    <row r="69" customFormat="false" ht="14.5" hidden="false" customHeight="false" outlineLevel="0" collapsed="false">
      <c r="B69" s="47" t="s">
        <v>112</v>
      </c>
      <c r="C69" s="47" t="n">
        <v>2019</v>
      </c>
      <c r="D69" s="64" t="n">
        <v>2020</v>
      </c>
      <c r="E69" s="64" t="n">
        <v>2025</v>
      </c>
      <c r="F69" s="47" t="n">
        <v>2030</v>
      </c>
      <c r="G69" s="64" t="n">
        <v>2035</v>
      </c>
      <c r="H69" s="64" t="n">
        <v>2040</v>
      </c>
      <c r="I69" s="64" t="n">
        <v>2045</v>
      </c>
      <c r="J69" s="47" t="n">
        <v>2050</v>
      </c>
      <c r="K69" s="47" t="s">
        <v>113</v>
      </c>
      <c r="N69" s="47" t="s">
        <v>114</v>
      </c>
      <c r="O69" s="47" t="n">
        <v>2019</v>
      </c>
      <c r="P69" s="64" t="n">
        <v>2020</v>
      </c>
      <c r="Q69" s="64" t="n">
        <v>2025</v>
      </c>
      <c r="R69" s="47" t="n">
        <v>2030</v>
      </c>
      <c r="S69" s="64" t="n">
        <v>2035</v>
      </c>
      <c r="T69" s="64" t="n">
        <v>2040</v>
      </c>
      <c r="U69" s="64" t="n">
        <v>2045</v>
      </c>
      <c r="V69" s="47" t="n">
        <v>2050</v>
      </c>
    </row>
    <row r="70" customFormat="false" ht="14.5" hidden="false" customHeight="false" outlineLevel="0" collapsed="false">
      <c r="B70" s="45" t="s">
        <v>24</v>
      </c>
      <c r="C70" s="80" t="n">
        <v>0.925525477369137</v>
      </c>
      <c r="D70" s="141" t="n">
        <f aca="false">C70+(F70-C70)*1/11</f>
        <v>0.906841343062852</v>
      </c>
      <c r="E70" s="141" t="n">
        <f aca="false">C70+(F70-C70)*6/11</f>
        <v>0.813420671531426</v>
      </c>
      <c r="F70" s="80" t="n">
        <v>0.72</v>
      </c>
      <c r="G70" s="141" t="n">
        <f aca="false">F70+(J70-F70)*5/20</f>
        <v>0.675</v>
      </c>
      <c r="H70" s="141" t="n">
        <f aca="false">F70+(J70-F70)*10/20</f>
        <v>0.63</v>
      </c>
      <c r="I70" s="141" t="n">
        <f aca="false">F70+(J70-F70)*15/20</f>
        <v>0.585</v>
      </c>
      <c r="J70" s="80" t="n">
        <v>0.54</v>
      </c>
      <c r="K70" s="47" t="s">
        <v>115</v>
      </c>
      <c r="N70" s="45" t="s">
        <v>24</v>
      </c>
      <c r="O70" s="80" t="n">
        <f aca="false">C70/$C70</f>
        <v>1</v>
      </c>
      <c r="P70" s="80" t="n">
        <f aca="false">D70/$C70</f>
        <v>0.97981240412809</v>
      </c>
      <c r="Q70" s="80" t="n">
        <f aca="false">E70/$C70</f>
        <v>0.878874424768537</v>
      </c>
      <c r="R70" s="80" t="n">
        <f aca="false">F70/$C70</f>
        <v>0.777936445408985</v>
      </c>
      <c r="S70" s="80" t="n">
        <f aca="false">G70/$C70</f>
        <v>0.729315417570923</v>
      </c>
      <c r="T70" s="80" t="n">
        <f aca="false">H70/$C70</f>
        <v>0.680694389732862</v>
      </c>
      <c r="U70" s="80" t="n">
        <f aca="false">I70/$C70</f>
        <v>0.6320733618948</v>
      </c>
      <c r="V70" s="80" t="n">
        <f aca="false">J70/$C70</f>
        <v>0.583452334056739</v>
      </c>
    </row>
    <row r="71" customFormat="false" ht="14.5" hidden="false" customHeight="false" outlineLevel="0" collapsed="false">
      <c r="B71" s="45" t="s">
        <v>25</v>
      </c>
      <c r="C71" s="80" t="n">
        <v>1.01864213291419</v>
      </c>
      <c r="D71" s="141" t="n">
        <f aca="false">C71+(F71-C71)*1/11</f>
        <v>1.01331102992199</v>
      </c>
      <c r="E71" s="141" t="n">
        <f aca="false">C71+(F71-C71)*6/11</f>
        <v>0.986655514960997</v>
      </c>
      <c r="F71" s="80" t="n">
        <v>0.96</v>
      </c>
      <c r="G71" s="141" t="n">
        <f aca="false">F71+(J71-F71)*5/20</f>
        <v>0.95</v>
      </c>
      <c r="H71" s="141" t="n">
        <f aca="false">F71+(J71-F71)*10/20</f>
        <v>0.94</v>
      </c>
      <c r="I71" s="141" t="n">
        <f aca="false">F71+(J71-F71)*15/20</f>
        <v>0.93</v>
      </c>
      <c r="J71" s="80" t="n">
        <v>0.92</v>
      </c>
      <c r="N71" s="45" t="s">
        <v>25</v>
      </c>
      <c r="O71" s="80" t="n">
        <f aca="false">C71/$C71</f>
        <v>1</v>
      </c>
      <c r="P71" s="80" t="n">
        <f aca="false">D71/$C71</f>
        <v>0.994766461331274</v>
      </c>
      <c r="Q71" s="80" t="n">
        <f aca="false">E71/$C71</f>
        <v>0.968598767987647</v>
      </c>
      <c r="R71" s="80" t="n">
        <f aca="false">F71/$C71</f>
        <v>0.94243107464402</v>
      </c>
      <c r="S71" s="80" t="n">
        <f aca="false">G71/$C71</f>
        <v>0.932614084283145</v>
      </c>
      <c r="T71" s="80" t="n">
        <f aca="false">H71/$C71</f>
        <v>0.92279709392227</v>
      </c>
      <c r="U71" s="80" t="n">
        <f aca="false">I71/$C71</f>
        <v>0.912980103561395</v>
      </c>
      <c r="V71" s="80" t="n">
        <f aca="false">J71/$C71</f>
        <v>0.903163113200519</v>
      </c>
    </row>
    <row r="72" customFormat="false" ht="14.5" hidden="false" customHeight="false" outlineLevel="0" collapsed="false">
      <c r="B72" s="45" t="s">
        <v>26</v>
      </c>
      <c r="C72" s="80" t="n">
        <v>0.733860088587031</v>
      </c>
      <c r="D72" s="141" t="n">
        <f aca="false">C72+(F72-C72)*1/11</f>
        <v>0.721690989624574</v>
      </c>
      <c r="E72" s="141" t="n">
        <f aca="false">C72+(F72-C72)*6/11</f>
        <v>0.660845494812287</v>
      </c>
      <c r="F72" s="80" t="n">
        <v>0.6</v>
      </c>
      <c r="G72" s="141" t="n">
        <f aca="false">F72+(J72-F72)*5/20</f>
        <v>0.535</v>
      </c>
      <c r="H72" s="141" t="n">
        <f aca="false">F72+(J72-F72)*10/20</f>
        <v>0.47</v>
      </c>
      <c r="I72" s="141" t="n">
        <f aca="false">F72+(J72-F72)*15/20</f>
        <v>0.405</v>
      </c>
      <c r="J72" s="80" t="n">
        <v>0.34</v>
      </c>
      <c r="N72" s="45" t="s">
        <v>26</v>
      </c>
      <c r="O72" s="80" t="n">
        <f aca="false">C72/$C72</f>
        <v>1</v>
      </c>
      <c r="P72" s="80" t="n">
        <f aca="false">D72/$C72</f>
        <v>0.983417685262203</v>
      </c>
      <c r="Q72" s="80" t="n">
        <f aca="false">E72/$C72</f>
        <v>0.900506111573221</v>
      </c>
      <c r="R72" s="80" t="n">
        <f aca="false">F72/$C72</f>
        <v>0.817594537884238</v>
      </c>
      <c r="S72" s="80" t="n">
        <f aca="false">G72/$C72</f>
        <v>0.729021796280113</v>
      </c>
      <c r="T72" s="80" t="n">
        <f aca="false">H72/$C72</f>
        <v>0.640449054675987</v>
      </c>
      <c r="U72" s="80" t="n">
        <f aca="false">I72/$C72</f>
        <v>0.551876313071861</v>
      </c>
      <c r="V72" s="80" t="n">
        <f aca="false">J72/$C72</f>
        <v>0.463303571467735</v>
      </c>
    </row>
    <row r="73" customFormat="false" ht="14.5" hidden="false" customHeight="false" outlineLevel="0" collapsed="false">
      <c r="B73" s="45" t="s">
        <v>27</v>
      </c>
      <c r="C73" s="80" t="n">
        <v>0.754839989788463</v>
      </c>
      <c r="D73" s="141" t="n">
        <f aca="false">C73+(F73-C73)*1/11</f>
        <v>0.746218172534967</v>
      </c>
      <c r="E73" s="141" t="n">
        <f aca="false">C73+(F73-C73)*6/11</f>
        <v>0.703109086267483</v>
      </c>
      <c r="F73" s="80" t="n">
        <v>0.66</v>
      </c>
      <c r="G73" s="141" t="n">
        <f aca="false">F73+(J73-F73)*5/20</f>
        <v>0.6</v>
      </c>
      <c r="H73" s="141" t="n">
        <f aca="false">F73+(J73-F73)*10/20</f>
        <v>0.54</v>
      </c>
      <c r="I73" s="141" t="n">
        <f aca="false">F73+(J73-F73)*15/20</f>
        <v>0.48</v>
      </c>
      <c r="J73" s="80" t="n">
        <v>0.42</v>
      </c>
      <c r="N73" s="45" t="s">
        <v>27</v>
      </c>
      <c r="O73" s="80" t="n">
        <f aca="false">C73/$C73</f>
        <v>1</v>
      </c>
      <c r="P73" s="80" t="n">
        <f aca="false">D73/$C73</f>
        <v>0.988577953778107</v>
      </c>
      <c r="Q73" s="80" t="n">
        <f aca="false">E73/$C73</f>
        <v>0.931467722668645</v>
      </c>
      <c r="R73" s="80" t="n">
        <f aca="false">F73/$C73</f>
        <v>0.874357491559183</v>
      </c>
      <c r="S73" s="80" t="n">
        <f aca="false">G73/$C73</f>
        <v>0.794870446871984</v>
      </c>
      <c r="T73" s="80" t="n">
        <f aca="false">H73/$C73</f>
        <v>0.715383402184786</v>
      </c>
      <c r="U73" s="80" t="n">
        <f aca="false">I73/$C73</f>
        <v>0.635896357497587</v>
      </c>
      <c r="V73" s="80" t="n">
        <f aca="false">J73/$C73</f>
        <v>0.556409312810389</v>
      </c>
    </row>
    <row r="74" customFormat="false" ht="14.5" hidden="false" customHeight="false" outlineLevel="0" collapsed="false">
      <c r="B74" s="45" t="s">
        <v>28</v>
      </c>
      <c r="C74" s="80" t="n">
        <v>0.84</v>
      </c>
      <c r="D74" s="141" t="n">
        <f aca="false">C74+(F74-C74)*1/11</f>
        <v>0.831818181818182</v>
      </c>
      <c r="E74" s="141" t="n">
        <f aca="false">C74+(F74-C74)*6/11</f>
        <v>0.790909090909091</v>
      </c>
      <c r="F74" s="80" t="n">
        <v>0.75</v>
      </c>
      <c r="G74" s="141" t="n">
        <f aca="false">F74+(J74-F74)*5/20</f>
        <v>0.7025</v>
      </c>
      <c r="H74" s="141" t="n">
        <f aca="false">F74+(J74-F74)*10/20</f>
        <v>0.655</v>
      </c>
      <c r="I74" s="141" t="n">
        <f aca="false">F74+(J74-F74)*15/20</f>
        <v>0.6075</v>
      </c>
      <c r="J74" s="80" t="n">
        <v>0.56</v>
      </c>
      <c r="K74" s="47" t="s">
        <v>116</v>
      </c>
      <c r="N74" s="45" t="s">
        <v>28</v>
      </c>
      <c r="O74" s="80" t="n">
        <f aca="false">C74/$C74</f>
        <v>1</v>
      </c>
      <c r="P74" s="80" t="n">
        <f aca="false">D74/$C74</f>
        <v>0.99025974025974</v>
      </c>
      <c r="Q74" s="80" t="n">
        <f aca="false">E74/$C74</f>
        <v>0.941558441558442</v>
      </c>
      <c r="R74" s="80" t="n">
        <f aca="false">F74/$C74</f>
        <v>0.892857142857143</v>
      </c>
      <c r="S74" s="80" t="n">
        <f aca="false">G74/$C74</f>
        <v>0.836309523809524</v>
      </c>
      <c r="T74" s="80" t="n">
        <f aca="false">H74/$C74</f>
        <v>0.779761904761905</v>
      </c>
      <c r="U74" s="80" t="n">
        <f aca="false">I74/$C74</f>
        <v>0.723214285714286</v>
      </c>
      <c r="V74" s="80" t="n">
        <f aca="false">J74/$C74</f>
        <v>0.666666666666667</v>
      </c>
    </row>
    <row r="75" customFormat="false" ht="14.5" hidden="false" customHeight="false" outlineLevel="0" collapsed="false">
      <c r="B75" s="45" t="s">
        <v>29</v>
      </c>
      <c r="C75" s="80" t="n">
        <v>0.8</v>
      </c>
      <c r="D75" s="141" t="n">
        <f aca="false">C75+(F75-C75)*1/11</f>
        <v>0.792727272727273</v>
      </c>
      <c r="E75" s="141" t="n">
        <f aca="false">C75+(F75-C75)*6/11</f>
        <v>0.756363636363636</v>
      </c>
      <c r="F75" s="80" t="n">
        <v>0.72</v>
      </c>
      <c r="G75" s="141" t="n">
        <f aca="false">F75+(J75-F75)*5/20</f>
        <v>0.6675</v>
      </c>
      <c r="H75" s="141" t="n">
        <f aca="false">F75+(J75-F75)*10/20</f>
        <v>0.615</v>
      </c>
      <c r="I75" s="141" t="n">
        <f aca="false">F75+(J75-F75)*15/20</f>
        <v>0.5625</v>
      </c>
      <c r="J75" s="80" t="n">
        <v>0.51</v>
      </c>
      <c r="K75" s="47" t="s">
        <v>117</v>
      </c>
      <c r="N75" s="45" t="s">
        <v>29</v>
      </c>
      <c r="O75" s="80" t="n">
        <f aca="false">C75/$C75</f>
        <v>1</v>
      </c>
      <c r="P75" s="80" t="n">
        <f aca="false">D75/$C75</f>
        <v>0.990909090909091</v>
      </c>
      <c r="Q75" s="80" t="n">
        <f aca="false">E75/$C75</f>
        <v>0.945454545454545</v>
      </c>
      <c r="R75" s="80" t="n">
        <f aca="false">F75/$C75</f>
        <v>0.9</v>
      </c>
      <c r="S75" s="80" t="n">
        <f aca="false">G75/$C75</f>
        <v>0.834375</v>
      </c>
      <c r="T75" s="80" t="n">
        <f aca="false">H75/$C75</f>
        <v>0.76875</v>
      </c>
      <c r="U75" s="80" t="n">
        <f aca="false">I75/$C75</f>
        <v>0.703125</v>
      </c>
      <c r="V75" s="80" t="n">
        <f aca="false">J75/$C75</f>
        <v>0.6375</v>
      </c>
    </row>
    <row r="76" customFormat="false" ht="14.5" hidden="false" customHeight="false" outlineLevel="0" collapsed="false">
      <c r="B76" s="45" t="s">
        <v>30</v>
      </c>
      <c r="C76" s="142" t="n">
        <f aca="false">SUMPRODUCT(C54:C59,C70:C75)/C60</f>
        <v>0.862938140646453</v>
      </c>
      <c r="D76" s="143" t="n">
        <f aca="false">SUMPRODUCT(D54:D59,D70:D75)/D60</f>
        <v>0.853643721241891</v>
      </c>
      <c r="E76" s="143" t="n">
        <f aca="false">SUMPRODUCT(E54:E59,E70:E75)/E60</f>
        <v>0.805965341981983</v>
      </c>
      <c r="F76" s="142" t="n">
        <f aca="false">SUMPRODUCT(F54:F59,F70:F75)/F60</f>
        <v>0.761389097750328</v>
      </c>
      <c r="G76" s="143" t="n">
        <f aca="false">SUMPRODUCT(G54:G59,G70:G75)/G60</f>
        <v>0.717526895662825</v>
      </c>
      <c r="H76" s="143" t="n">
        <f aca="false">SUMPRODUCT(H54:H59,H70:H75)/H60</f>
        <v>0.672959572502761</v>
      </c>
      <c r="I76" s="143" t="n">
        <f aca="false">SUMPRODUCT(I54:I59,I70:I75)/I60</f>
        <v>0.627631708517592</v>
      </c>
      <c r="J76" s="142" t="n">
        <f aca="false">SUMPRODUCT(J54:J59,J70:J75)/J60</f>
        <v>0.582127510642114</v>
      </c>
      <c r="K76" s="47" t="s">
        <v>118</v>
      </c>
      <c r="N76" s="45" t="s">
        <v>30</v>
      </c>
      <c r="O76" s="80" t="n">
        <f aca="false">C76/$C76</f>
        <v>1</v>
      </c>
      <c r="P76" s="80" t="n">
        <f aca="false">D76/$C76</f>
        <v>0.989229332941989</v>
      </c>
      <c r="Q76" s="80" t="n">
        <f aca="false">E76/$C76</f>
        <v>0.933978119657812</v>
      </c>
      <c r="R76" s="80" t="n">
        <f aca="false">F76/$C76</f>
        <v>0.882321758521357</v>
      </c>
      <c r="S76" s="80" t="n">
        <f aca="false">G76/$C76</f>
        <v>0.831492851996673</v>
      </c>
      <c r="T76" s="80" t="n">
        <f aca="false">H76/$C76</f>
        <v>0.779846828880025</v>
      </c>
      <c r="U76" s="80" t="n">
        <f aca="false">I76/$C76</f>
        <v>0.727319467010016</v>
      </c>
      <c r="V76" s="80" t="n">
        <f aca="false">J76/$C76</f>
        <v>0.67458776385295</v>
      </c>
    </row>
    <row r="77" customFormat="false" ht="14.5" hidden="false" customHeight="false" outlineLevel="0" collapsed="false">
      <c r="B77" s="144" t="s">
        <v>31</v>
      </c>
      <c r="C77" s="142" t="n">
        <v>1</v>
      </c>
      <c r="D77" s="143" t="n">
        <v>1</v>
      </c>
      <c r="E77" s="143" t="n">
        <v>1</v>
      </c>
      <c r="F77" s="142" t="n">
        <v>1</v>
      </c>
      <c r="G77" s="143" t="n">
        <v>1</v>
      </c>
      <c r="H77" s="143" t="n">
        <v>1</v>
      </c>
      <c r="I77" s="143" t="n">
        <v>1</v>
      </c>
      <c r="J77" s="47" t="n">
        <v>1</v>
      </c>
      <c r="N77" s="144" t="s">
        <v>31</v>
      </c>
      <c r="O77" s="80" t="n">
        <f aca="false">C77/$C77</f>
        <v>1</v>
      </c>
      <c r="P77" s="80" t="n">
        <f aca="false">D77/$C77</f>
        <v>1</v>
      </c>
      <c r="Q77" s="80" t="n">
        <f aca="false">E77/$C77</f>
        <v>1</v>
      </c>
      <c r="R77" s="80" t="n">
        <f aca="false">F77/$C77</f>
        <v>1</v>
      </c>
      <c r="S77" s="80" t="n">
        <f aca="false">G77/$C77</f>
        <v>1</v>
      </c>
      <c r="T77" s="80" t="n">
        <f aca="false">H77/$C77</f>
        <v>1</v>
      </c>
      <c r="U77" s="80" t="n">
        <f aca="false">I77/$C77</f>
        <v>1</v>
      </c>
      <c r="V77" s="80" t="n">
        <f aca="false">J77/$C77</f>
        <v>1</v>
      </c>
    </row>
    <row r="81" customFormat="false" ht="14.5" hidden="false" customHeight="false" outlineLevel="0" collapsed="false">
      <c r="B81" s="3" t="s">
        <v>119</v>
      </c>
      <c r="C81" s="3"/>
      <c r="D81" s="3"/>
      <c r="E81" s="3"/>
    </row>
    <row r="83" customFormat="false" ht="14.5" hidden="false" customHeight="false" outlineLevel="0" collapsed="false">
      <c r="B83" s="47" t="s">
        <v>3</v>
      </c>
      <c r="C83" s="7" t="n">
        <v>2019</v>
      </c>
      <c r="D83" s="7" t="n">
        <v>2020</v>
      </c>
      <c r="E83" s="137" t="n">
        <v>2025</v>
      </c>
      <c r="F83" s="137" t="n">
        <v>2030</v>
      </c>
      <c r="G83" s="137" t="n">
        <v>2035</v>
      </c>
      <c r="H83" s="137" t="n">
        <v>2040</v>
      </c>
      <c r="I83" s="137" t="n">
        <v>2045</v>
      </c>
      <c r="J83" s="138" t="n">
        <v>2050</v>
      </c>
    </row>
    <row r="84" customFormat="false" ht="14.5" hidden="false" customHeight="false" outlineLevel="0" collapsed="false">
      <c r="B84" s="45" t="s">
        <v>24</v>
      </c>
      <c r="C84" s="145" t="n">
        <f aca="false">C30*O70</f>
        <v>25.805908</v>
      </c>
      <c r="D84" s="145" t="n">
        <f aca="false">D30*P70</f>
        <v>22.8828786261604</v>
      </c>
      <c r="E84" s="145" t="n">
        <f aca="false">E30*Q70</f>
        <v>19.3203101671673</v>
      </c>
      <c r="F84" s="145" t="n">
        <f aca="false">F30*R70</f>
        <v>16.8864086764701</v>
      </c>
      <c r="G84" s="145" t="n">
        <f aca="false">G30*S70</f>
        <v>15.7313557051855</v>
      </c>
      <c r="H84" s="145" t="n">
        <f aca="false">H30*T70</f>
        <v>14.8023438786217</v>
      </c>
      <c r="I84" s="145" t="n">
        <f aca="false">I30*U70</f>
        <v>13.9173760017319</v>
      </c>
      <c r="J84" s="145" t="n">
        <f aca="false">J30*V70</f>
        <v>12.9783959217455</v>
      </c>
    </row>
    <row r="85" customFormat="false" ht="14.5" hidden="false" customHeight="false" outlineLevel="0" collapsed="false">
      <c r="B85" s="45" t="s">
        <v>25</v>
      </c>
      <c r="C85" s="145" t="n">
        <f aca="false">C31*O71</f>
        <v>47.173412</v>
      </c>
      <c r="D85" s="145" t="n">
        <f aca="false">D31*P71</f>
        <v>44.0154057505969</v>
      </c>
      <c r="E85" s="145" t="n">
        <f aca="false">E31*Q71</f>
        <v>41.6591664111036</v>
      </c>
      <c r="F85" s="145" t="n">
        <f aca="false">F31*R71</f>
        <v>41.2848722130159</v>
      </c>
      <c r="G85" s="145" t="n">
        <f aca="false">G31*S71</f>
        <v>42.112865699893</v>
      </c>
      <c r="H85" s="145" t="n">
        <f aca="false">H31*T71</f>
        <v>43.6687631079616</v>
      </c>
      <c r="I85" s="145" t="n">
        <f aca="false">I31*U71</f>
        <v>45.4300996055168</v>
      </c>
      <c r="J85" s="145" t="n">
        <f aca="false">J31*V71</f>
        <v>47.1389605850749</v>
      </c>
    </row>
    <row r="86" customFormat="false" ht="14.5" hidden="false" customHeight="false" outlineLevel="0" collapsed="false">
      <c r="B86" s="45" t="s">
        <v>26</v>
      </c>
      <c r="C86" s="145" t="n">
        <f aca="false">C32*O72</f>
        <v>8.358497</v>
      </c>
      <c r="D86" s="145" t="n">
        <f aca="false">D32*P72</f>
        <v>7.43900386367002</v>
      </c>
      <c r="E86" s="145" t="n">
        <f aca="false">E32*Q72</f>
        <v>6.52945012418646</v>
      </c>
      <c r="F86" s="145" t="n">
        <f aca="false">F32*R72</f>
        <v>6.0051555334807</v>
      </c>
      <c r="G86" s="145" t="n">
        <f aca="false">G32*S72</f>
        <v>5.41174172734088</v>
      </c>
      <c r="H86" s="145" t="n">
        <f aca="false">H32*T72</f>
        <v>4.84634688217664</v>
      </c>
      <c r="I86" s="145" t="n">
        <f aca="false">I32*U72</f>
        <v>4.25271187732685</v>
      </c>
      <c r="J86" s="145" t="n">
        <f aca="false">J32*V72</f>
        <v>3.61751199858119</v>
      </c>
    </row>
    <row r="87" customFormat="false" ht="14.5" hidden="false" customHeight="false" outlineLevel="0" collapsed="false">
      <c r="B87" s="45" t="s">
        <v>27</v>
      </c>
      <c r="C87" s="145" t="n">
        <f aca="false">C33*O73</f>
        <v>45.598266</v>
      </c>
      <c r="D87" s="145" t="n">
        <f aca="false">D33*P73</f>
        <v>43.6631798888569</v>
      </c>
      <c r="E87" s="145" t="n">
        <f aca="false">E33*Q73</f>
        <v>43.6473009236636</v>
      </c>
      <c r="F87" s="145" t="n">
        <f aca="false">F33*R73</f>
        <v>42.2619355503181</v>
      </c>
      <c r="G87" s="145" t="n">
        <f aca="false">G33*S73</f>
        <v>40.2468979294031</v>
      </c>
      <c r="H87" s="145" t="n">
        <f aca="false">H33*T73</f>
        <v>39.0296011240844</v>
      </c>
      <c r="I87" s="145" t="n">
        <f aca="false">I33*U73</f>
        <v>37.9502921010895</v>
      </c>
      <c r="J87" s="145" t="n">
        <f aca="false">J33*V73</f>
        <v>36.0982493902198</v>
      </c>
    </row>
    <row r="88" customFormat="false" ht="14.5" hidden="false" customHeight="false" outlineLevel="0" collapsed="false">
      <c r="B88" s="45" t="s">
        <v>28</v>
      </c>
      <c r="C88" s="145" t="n">
        <f aca="false">C34*O74</f>
        <v>63.615234</v>
      </c>
      <c r="D88" s="145" t="n">
        <f aca="false">D34*P74</f>
        <v>57.0110226131494</v>
      </c>
      <c r="E88" s="145" t="n">
        <f aca="false">E34*Q74</f>
        <v>57.9188090258919</v>
      </c>
      <c r="F88" s="145" t="n">
        <f aca="false">F34*R74</f>
        <v>57.1034780596941</v>
      </c>
      <c r="G88" s="145" t="n">
        <f aca="false">G34*S74</f>
        <v>56.4000759180836</v>
      </c>
      <c r="H88" s="145" t="n">
        <f aca="false">H34*T74</f>
        <v>57.2190690596589</v>
      </c>
      <c r="I88" s="145" t="n">
        <f aca="false">I34*U74</f>
        <v>57.9362320467779</v>
      </c>
      <c r="J88" s="145" t="n">
        <f aca="false">J34*V74</f>
        <v>57.7319823482888</v>
      </c>
    </row>
    <row r="89" customFormat="false" ht="14.5" hidden="false" customHeight="false" outlineLevel="0" collapsed="false">
      <c r="B89" s="45" t="s">
        <v>29</v>
      </c>
      <c r="C89" s="145" t="n">
        <f aca="false">C35*O75</f>
        <v>23.721859</v>
      </c>
      <c r="D89" s="145" t="n">
        <f aca="false">D35*P75</f>
        <v>21.2731161914091</v>
      </c>
      <c r="E89" s="145" t="n">
        <f aca="false">E35*Q75</f>
        <v>21.6870552997021</v>
      </c>
      <c r="F89" s="145" t="n">
        <f aca="false">F35*R75</f>
        <v>21.4640012199152</v>
      </c>
      <c r="G89" s="145" t="n">
        <f aca="false">G35*S75</f>
        <v>20.9827071948951</v>
      </c>
      <c r="H89" s="145" t="n">
        <f aca="false">H35*T75</f>
        <v>21.0354348204486</v>
      </c>
      <c r="I89" s="145" t="n">
        <f aca="false">I35*U75</f>
        <v>21.0040663574795</v>
      </c>
      <c r="J89" s="145" t="n">
        <f aca="false">J35*V75</f>
        <v>20.586167850304</v>
      </c>
    </row>
    <row r="90" customFormat="false" ht="14.5" hidden="false" customHeight="false" outlineLevel="0" collapsed="false">
      <c r="B90" s="45" t="s">
        <v>30</v>
      </c>
      <c r="C90" s="145" t="n">
        <f aca="false">C36*O76</f>
        <v>214.273176</v>
      </c>
      <c r="D90" s="145" t="n">
        <f aca="false">D36*P76</f>
        <v>196.23687982556</v>
      </c>
      <c r="E90" s="145" t="n">
        <f aca="false">E36*Q76</f>
        <v>190.115204535942</v>
      </c>
      <c r="F90" s="145" t="n">
        <f aca="false">F36*R76</f>
        <v>184.403473615982</v>
      </c>
      <c r="G90" s="145" t="n">
        <f aca="false">G36*S76</f>
        <v>180.741084597585</v>
      </c>
      <c r="H90" s="145" t="n">
        <f aca="false">H36*T76</f>
        <v>180.874689343046</v>
      </c>
      <c r="I90" s="145" t="n">
        <f aca="false">I36*U76</f>
        <v>181.209141057905</v>
      </c>
      <c r="J90" s="145" t="n">
        <f aca="false">J36*V76</f>
        <v>179.448816769148</v>
      </c>
    </row>
    <row r="91" customFormat="false" ht="14.5" hidden="false" customHeight="false" outlineLevel="0" collapsed="false">
      <c r="B91" s="144" t="s">
        <v>31</v>
      </c>
      <c r="C91" s="145" t="n">
        <f aca="false">C37*O77</f>
        <v>114.881552</v>
      </c>
      <c r="D91" s="145" t="n">
        <f aca="false">D37*P77</f>
        <v>96.546553</v>
      </c>
      <c r="E91" s="145" t="n">
        <f aca="false">E37*Q77</f>
        <v>104.259895813408</v>
      </c>
      <c r="F91" s="145" t="n">
        <f aca="false">F37*R77</f>
        <v>106.607086161495</v>
      </c>
      <c r="G91" s="145" t="n">
        <f aca="false">G37*S77</f>
        <v>110.206737532892</v>
      </c>
      <c r="H91" s="145" t="n">
        <f aca="false">H37*T77</f>
        <v>115.636709221764</v>
      </c>
      <c r="I91" s="145" t="n">
        <f aca="false">I37*U77</f>
        <v>122.248346644843</v>
      </c>
      <c r="J91" s="145" t="n">
        <f aca="false">J37*V77</f>
        <v>128.766477661065</v>
      </c>
    </row>
    <row r="93" customFormat="false" ht="14.5" hidden="false" customHeight="false" outlineLevel="0" collapsed="false">
      <c r="B93" s="47" t="s">
        <v>120</v>
      </c>
      <c r="C93" s="145" t="n">
        <f aca="false">C90+C91</f>
        <v>329.154728</v>
      </c>
      <c r="D93" s="145" t="n">
        <f aca="false">D90+D91</f>
        <v>292.78343282556</v>
      </c>
      <c r="E93" s="145" t="n">
        <f aca="false">E90+E91</f>
        <v>294.37510034935</v>
      </c>
      <c r="F93" s="145" t="n">
        <f aca="false">F90+F91</f>
        <v>291.010559777477</v>
      </c>
      <c r="G93" s="145" t="n">
        <f aca="false">G90+G91</f>
        <v>290.947822130477</v>
      </c>
      <c r="H93" s="145" t="n">
        <f aca="false">H90+H91</f>
        <v>296.51139856481</v>
      </c>
      <c r="I93" s="145" t="n">
        <f aca="false">I90+I91</f>
        <v>303.457487702748</v>
      </c>
      <c r="J93" s="145" t="n">
        <f aca="false">J90+J91</f>
        <v>308.215294430213</v>
      </c>
    </row>
    <row r="94" customFormat="false" ht="14.5" hidden="false" customHeight="false" outlineLevel="0" collapsed="false">
      <c r="B94" s="47" t="s">
        <v>121</v>
      </c>
      <c r="C94" s="47" t="n">
        <f aca="false">C93/$C93</f>
        <v>1</v>
      </c>
      <c r="D94" s="80" t="n">
        <f aca="false">D93/$C93</f>
        <v>0.889500918320578</v>
      </c>
      <c r="E94" s="80" t="n">
        <f aca="false">E93/$C93</f>
        <v>0.894336539347385</v>
      </c>
      <c r="F94" s="80" t="n">
        <f aca="false">F93/$C93</f>
        <v>0.88411477953152</v>
      </c>
      <c r="G94" s="80" t="n">
        <f aca="false">G93/$C93</f>
        <v>0.883924177235203</v>
      </c>
      <c r="H94" s="80" t="n">
        <f aca="false">H93/$C93</f>
        <v>0.900826794639906</v>
      </c>
      <c r="I94" s="80" t="n">
        <f aca="false">I93/$C93</f>
        <v>0.921929602976105</v>
      </c>
      <c r="J94" s="80" t="n">
        <f aca="false">J93/$C93</f>
        <v>0.936384223623283</v>
      </c>
    </row>
    <row r="96" customFormat="false" ht="14.5" hidden="false" customHeight="false" outlineLevel="0" collapsed="false">
      <c r="B96" s="47" t="s">
        <v>4</v>
      </c>
      <c r="C96" s="7" t="n">
        <v>2019</v>
      </c>
      <c r="D96" s="7" t="n">
        <v>2020</v>
      </c>
      <c r="E96" s="137" t="n">
        <v>2025</v>
      </c>
      <c r="F96" s="137" t="n">
        <v>2030</v>
      </c>
      <c r="G96" s="137" t="n">
        <v>2035</v>
      </c>
      <c r="H96" s="137" t="n">
        <v>2040</v>
      </c>
      <c r="I96" s="137" t="n">
        <v>2045</v>
      </c>
      <c r="J96" s="138" t="n">
        <v>2050</v>
      </c>
    </row>
    <row r="97" customFormat="false" ht="14.5" hidden="false" customHeight="false" outlineLevel="0" collapsed="false">
      <c r="B97" s="45" t="s">
        <v>24</v>
      </c>
      <c r="C97" s="145" t="n">
        <f aca="false">O70*C54</f>
        <v>25.805908</v>
      </c>
      <c r="D97" s="145" t="n">
        <f aca="false">P70*D54</f>
        <v>22.8828786261604</v>
      </c>
      <c r="E97" s="145" t="n">
        <f aca="false">Q70*E54</f>
        <v>20.4750069521534</v>
      </c>
      <c r="F97" s="145" t="n">
        <f aca="false">R70*F54</f>
        <v>18.1757536325373</v>
      </c>
      <c r="G97" s="145" t="n">
        <f aca="false">S70*G54</f>
        <v>17.1267948620748</v>
      </c>
      <c r="H97" s="145" t="n">
        <f aca="false">T70*H54</f>
        <v>16.3057737868551</v>
      </c>
      <c r="I97" s="145" t="n">
        <f aca="false">U70*I54</f>
        <v>15.4533068356288</v>
      </c>
      <c r="J97" s="145" t="n">
        <f aca="false">V70*J54</f>
        <v>14.4731930896387</v>
      </c>
    </row>
    <row r="98" customFormat="false" ht="14.5" hidden="false" customHeight="false" outlineLevel="0" collapsed="false">
      <c r="B98" s="45" t="s">
        <v>25</v>
      </c>
      <c r="C98" s="145" t="n">
        <f aca="false">O71*C55</f>
        <v>47.173412</v>
      </c>
      <c r="D98" s="145" t="n">
        <f aca="false">P71*D55</f>
        <v>44.0154057505969</v>
      </c>
      <c r="E98" s="145" t="n">
        <f aca="false">Q71*E55</f>
        <v>44.1475630025808</v>
      </c>
      <c r="F98" s="145" t="n">
        <f aca="false">R71*F55</f>
        <v>44.4401102780969</v>
      </c>
      <c r="G98" s="145" t="n">
        <f aca="false">S71*G55</f>
        <v>45.8665746990018</v>
      </c>
      <c r="H98" s="145" t="n">
        <f aca="false">T71*H55</f>
        <v>48.1587241429172</v>
      </c>
      <c r="I98" s="145" t="n">
        <f aca="false">U71*I55</f>
        <v>50.5661772519253</v>
      </c>
      <c r="J98" s="145" t="n">
        <f aca="false">V71*J55</f>
        <v>52.786685125097</v>
      </c>
    </row>
    <row r="99" customFormat="false" ht="14.5" hidden="false" customHeight="false" outlineLevel="0" collapsed="false">
      <c r="B99" s="45" t="s">
        <v>26</v>
      </c>
      <c r="C99" s="145" t="n">
        <f aca="false">O72*C56</f>
        <v>8.358497</v>
      </c>
      <c r="D99" s="145" t="n">
        <f aca="false">P72*D56</f>
        <v>7.43900386367002</v>
      </c>
      <c r="E99" s="145" t="n">
        <f aca="false">Q72*E56</f>
        <v>6.91956374390672</v>
      </c>
      <c r="F99" s="145" t="n">
        <f aca="false">R72*F56</f>
        <v>6.46397534670148</v>
      </c>
      <c r="G99" s="145" t="n">
        <f aca="false">S72*G56</f>
        <v>5.89322865161547</v>
      </c>
      <c r="H99" s="145" t="n">
        <f aca="false">T72*H56</f>
        <v>5.34182004987662</v>
      </c>
      <c r="I99" s="145" t="n">
        <f aca="false">U72*I56</f>
        <v>4.72732393292815</v>
      </c>
      <c r="J99" s="145" t="n">
        <f aca="false">V72*J56</f>
        <v>4.0408885693904</v>
      </c>
    </row>
    <row r="100" customFormat="false" ht="14.5" hidden="false" customHeight="false" outlineLevel="0" collapsed="false">
      <c r="B100" s="45" t="s">
        <v>27</v>
      </c>
      <c r="C100" s="145" t="n">
        <f aca="false">O73*C57</f>
        <v>45.598266</v>
      </c>
      <c r="D100" s="145" t="n">
        <f aca="false">P73*D57</f>
        <v>43.6631798888569</v>
      </c>
      <c r="E100" s="145" t="n">
        <f aca="false">Q73*E57</f>
        <v>46.2506833535112</v>
      </c>
      <c r="F100" s="145" t="n">
        <f aca="false">R73*F57</f>
        <v>45.496294589235</v>
      </c>
      <c r="G100" s="145" t="n">
        <f aca="false">S73*G57</f>
        <v>43.8523932844556</v>
      </c>
      <c r="H100" s="145" t="n">
        <f aca="false">T73*H57</f>
        <v>43.0866754605868</v>
      </c>
      <c r="I100" s="145" t="n">
        <f aca="false">U73*I57</f>
        <v>42.3296608895446</v>
      </c>
      <c r="J100" s="145" t="n">
        <f aca="false">V73*J57</f>
        <v>40.5613535603458</v>
      </c>
    </row>
    <row r="101" customFormat="false" ht="14.5" hidden="false" customHeight="false" outlineLevel="0" collapsed="false">
      <c r="B101" s="45" t="s">
        <v>28</v>
      </c>
      <c r="C101" s="145" t="n">
        <f aca="false">O74*C58</f>
        <v>63.615234</v>
      </c>
      <c r="D101" s="145" t="n">
        <f aca="false">P74*D58</f>
        <v>57.0110226131494</v>
      </c>
      <c r="E101" s="145" t="n">
        <f aca="false">Q74*E58</f>
        <v>61.3730420758131</v>
      </c>
      <c r="F101" s="145" t="n">
        <f aca="false">R74*F58</f>
        <v>61.4745284290484</v>
      </c>
      <c r="G101" s="145" t="n">
        <f aca="false">S74*G58</f>
        <v>61.4570373225691</v>
      </c>
      <c r="H101" s="145" t="n">
        <f aca="false">T74*H58</f>
        <v>63.179794869919</v>
      </c>
      <c r="I101" s="145" t="n">
        <f aca="false">U74*I58</f>
        <v>64.6414166363698</v>
      </c>
      <c r="J101" s="145" t="n">
        <f aca="false">V74*J58</f>
        <v>64.890970414743</v>
      </c>
    </row>
    <row r="102" customFormat="false" ht="14.5" hidden="false" customHeight="false" outlineLevel="0" collapsed="false">
      <c r="B102" s="45" t="s">
        <v>29</v>
      </c>
      <c r="C102" s="145" t="n">
        <f aca="false">O75*C59</f>
        <v>23.721859</v>
      </c>
      <c r="D102" s="145" t="n">
        <f aca="false">P75*D59</f>
        <v>21.2731161914091</v>
      </c>
      <c r="E102" s="145" t="n">
        <f aca="false">Q75*E59</f>
        <v>22.9804545327252</v>
      </c>
      <c r="F102" s="145" t="n">
        <f aca="false">R75*F59</f>
        <v>23.1069874905948</v>
      </c>
      <c r="G102" s="145" t="n">
        <f aca="false">S75*G59</f>
        <v>22.8640653086735</v>
      </c>
      <c r="H102" s="145" t="n">
        <f aca="false">T75*H59</f>
        <v>23.2267752481225</v>
      </c>
      <c r="I102" s="145" t="n">
        <f aca="false">U75*I59</f>
        <v>23.4349483303566</v>
      </c>
      <c r="J102" s="145" t="n">
        <f aca="false">V75*J59</f>
        <v>23.1389319159003</v>
      </c>
    </row>
    <row r="103" customFormat="false" ht="14.5" hidden="false" customHeight="false" outlineLevel="0" collapsed="false">
      <c r="B103" s="45" t="s">
        <v>30</v>
      </c>
      <c r="C103" s="145" t="n">
        <f aca="false">O76*C60</f>
        <v>214.273176</v>
      </c>
      <c r="D103" s="145" t="n">
        <f aca="false">P76*D60</f>
        <v>196.23687982556</v>
      </c>
      <c r="E103" s="145" t="n">
        <f aca="false">Q76*E60</f>
        <v>201.460888234039</v>
      </c>
      <c r="F103" s="145" t="n">
        <f aca="false">R76*F60</f>
        <v>198.508970279348</v>
      </c>
      <c r="G103" s="145" t="n">
        <f aca="false">S76*G60</f>
        <v>196.902201287997</v>
      </c>
      <c r="H103" s="145" t="n">
        <f aca="false">T76*H60</f>
        <v>199.601858491529</v>
      </c>
      <c r="I103" s="145" t="n">
        <f aca="false">U76*I60</f>
        <v>201.960399498954</v>
      </c>
      <c r="J103" s="145" t="n">
        <f aca="false">V76*J60</f>
        <v>201.368303839685</v>
      </c>
    </row>
    <row r="104" customFormat="false" ht="14.5" hidden="false" customHeight="false" outlineLevel="0" collapsed="false">
      <c r="B104" s="144" t="s">
        <v>31</v>
      </c>
      <c r="C104" s="145" t="n">
        <f aca="false">O77*C61</f>
        <v>114.881552</v>
      </c>
      <c r="D104" s="145" t="n">
        <f aca="false">P77*D61</f>
        <v>96.546553</v>
      </c>
      <c r="E104" s="145" t="n">
        <f aca="false">Q77*E61</f>
        <v>104.259895813408</v>
      </c>
      <c r="F104" s="145" t="n">
        <f aca="false">R77*F61</f>
        <v>106.607086161495</v>
      </c>
      <c r="G104" s="145" t="n">
        <f aca="false">S77*G61</f>
        <v>110.206737532892</v>
      </c>
      <c r="H104" s="145" t="n">
        <f aca="false">T77*H61</f>
        <v>115.636709221764</v>
      </c>
      <c r="I104" s="145" t="n">
        <f aca="false">U77*I61</f>
        <v>122.248346644843</v>
      </c>
      <c r="J104" s="145" t="n">
        <f aca="false">V77*J61</f>
        <v>128.766477661065</v>
      </c>
    </row>
    <row r="106" customFormat="false" ht="14.5" hidden="false" customHeight="false" outlineLevel="0" collapsed="false">
      <c r="B106" s="47" t="s">
        <v>120</v>
      </c>
      <c r="C106" s="145" t="n">
        <f aca="false">C103+C104</f>
        <v>329.154728</v>
      </c>
      <c r="D106" s="145" t="n">
        <f aca="false">D103+D104</f>
        <v>292.78343282556</v>
      </c>
      <c r="E106" s="145" t="n">
        <f aca="false">E103+E104</f>
        <v>305.720784047447</v>
      </c>
      <c r="F106" s="145" t="n">
        <f aca="false">F103+F104</f>
        <v>305.116056440843</v>
      </c>
      <c r="G106" s="145" t="n">
        <f aca="false">G103+G104</f>
        <v>307.108938820889</v>
      </c>
      <c r="H106" s="145" t="n">
        <f aca="false">H103+H104</f>
        <v>315.238567713293</v>
      </c>
      <c r="I106" s="145" t="n">
        <f aca="false">I103+I104</f>
        <v>324.208746143797</v>
      </c>
      <c r="J106" s="145" t="n">
        <f aca="false">J103+J104</f>
        <v>330.13478150075</v>
      </c>
    </row>
    <row r="107" customFormat="false" ht="14.5" hidden="false" customHeight="false" outlineLevel="0" collapsed="false">
      <c r="B107" s="47" t="s">
        <v>121</v>
      </c>
      <c r="C107" s="47" t="n">
        <f aca="false">C106/$C106</f>
        <v>1</v>
      </c>
      <c r="D107" s="80" t="n">
        <f aca="false">D106/$C106</f>
        <v>0.889500918320578</v>
      </c>
      <c r="E107" s="80" t="n">
        <f aca="false">E106/$C106</f>
        <v>0.928805689363962</v>
      </c>
      <c r="F107" s="80" t="n">
        <f aca="false">F106/$C106</f>
        <v>0.926968475570077</v>
      </c>
      <c r="G107" s="80" t="n">
        <f aca="false">G106/$C106</f>
        <v>0.933023021382482</v>
      </c>
      <c r="H107" s="80" t="n">
        <f aca="false">H106/$C106</f>
        <v>0.95772152394327</v>
      </c>
      <c r="I107" s="80" t="n">
        <f aca="false">I106/$C106</f>
        <v>0.984973687340737</v>
      </c>
      <c r="J107" s="80" t="n">
        <f aca="false">J106/$C106</f>
        <v>1.00297748571532</v>
      </c>
    </row>
    <row r="108" customFormat="false" ht="13.8" hidden="false" customHeight="false" outlineLevel="0" collapsed="false">
      <c r="B108" s="47" t="s">
        <v>122</v>
      </c>
      <c r="C108" s="47" t="n">
        <v>1</v>
      </c>
      <c r="D108" s="80" t="n">
        <v>0.878661054102264</v>
      </c>
      <c r="E108" s="80" t="n">
        <v>0.934086737469183</v>
      </c>
      <c r="F108" s="80" t="n">
        <v>0.970969051000254</v>
      </c>
      <c r="G108" s="80" t="n">
        <v>0.97262960423196</v>
      </c>
      <c r="H108" s="80" t="n">
        <v>0.984736859684059</v>
      </c>
      <c r="I108" s="80" t="n">
        <v>1.01774742995215</v>
      </c>
      <c r="J108" s="80" t="n">
        <v>1.05785149073267</v>
      </c>
    </row>
    <row r="109" customFormat="false" ht="13.8" hidden="false" customHeight="false" outlineLevel="0" collapsed="false">
      <c r="F109" s="47" t="n">
        <f aca="false">F107/F108-1</f>
        <v>-0.0453161461581599</v>
      </c>
      <c r="J109" s="47" t="n">
        <f aca="false">J107/J108-1</f>
        <v>-0.0518730705567613</v>
      </c>
    </row>
  </sheetData>
  <mergeCells count="11">
    <mergeCell ref="B2:E2"/>
    <mergeCell ref="C4:H4"/>
    <mergeCell ref="B16:E16"/>
    <mergeCell ref="D18:J18"/>
    <mergeCell ref="K18:P18"/>
    <mergeCell ref="Q18:V18"/>
    <mergeCell ref="D42:J42"/>
    <mergeCell ref="K42:P42"/>
    <mergeCell ref="Q42:V42"/>
    <mergeCell ref="B66:E66"/>
    <mergeCell ref="B81:E8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DC3E6"/>
    <pageSetUpPr fitToPage="false"/>
  </sheetPr>
  <dimension ref="A2:AO216"/>
  <sheetViews>
    <sheetView showFormulas="false" showGridLines="true" showRowColHeaders="true" showZeros="true" rightToLeft="false" tabSelected="true" showOutlineSymbols="true" defaultGridColor="true" view="normal" topLeftCell="A163" colorId="64" zoomScale="78" zoomScaleNormal="78" zoomScalePageLayoutView="100" workbookViewId="0">
      <selection pane="topLeft" activeCell="W79" activeCellId="0" sqref="W79"/>
    </sheetView>
  </sheetViews>
  <sheetFormatPr defaultRowHeight="14.5" zeroHeight="false" outlineLevelRow="0" outlineLevelCol="0"/>
  <cols>
    <col collapsed="false" customWidth="true" hidden="false" outlineLevel="0" max="1" min="1" style="1" width="10.46"/>
    <col collapsed="false" customWidth="true" hidden="false" outlineLevel="0" max="2" min="2" style="1" width="44.27"/>
    <col collapsed="false" customWidth="true" hidden="false" outlineLevel="0" max="1025" min="3" style="1" width="10.46"/>
  </cols>
  <sheetData>
    <row r="2" customFormat="false" ht="23" hidden="false" customHeight="false" outlineLevel="0" collapsed="false">
      <c r="B2" s="146" t="s">
        <v>123</v>
      </c>
    </row>
    <row r="3" customFormat="false" ht="23" hidden="false" customHeight="false" outlineLevel="0" collapsed="false">
      <c r="A3" s="146"/>
    </row>
    <row r="4" customFormat="false" ht="14.5" hidden="false" customHeight="false" outlineLevel="0" collapsed="false">
      <c r="C4" s="147" t="n">
        <f aca="false">C16</f>
        <v>2000</v>
      </c>
      <c r="D4" s="147" t="n">
        <f aca="false">D16</f>
        <v>2001</v>
      </c>
      <c r="E4" s="147" t="n">
        <f aca="false">E16</f>
        <v>2002</v>
      </c>
      <c r="F4" s="147" t="n">
        <f aca="false">F16</f>
        <v>2003</v>
      </c>
      <c r="G4" s="147" t="n">
        <f aca="false">G16</f>
        <v>2004</v>
      </c>
      <c r="H4" s="147" t="n">
        <f aca="false">H16</f>
        <v>2005</v>
      </c>
      <c r="I4" s="147" t="n">
        <f aca="false">I16</f>
        <v>2006</v>
      </c>
      <c r="J4" s="147" t="n">
        <f aca="false">J16</f>
        <v>2007</v>
      </c>
      <c r="K4" s="147" t="n">
        <f aca="false">K16</f>
        <v>2008</v>
      </c>
      <c r="L4" s="147" t="n">
        <f aca="false">L16</f>
        <v>2009</v>
      </c>
      <c r="M4" s="147" t="n">
        <f aca="false">M16</f>
        <v>2010</v>
      </c>
      <c r="N4" s="147" t="n">
        <f aca="false">N16</f>
        <v>2011</v>
      </c>
      <c r="O4" s="147" t="n">
        <f aca="false">O16</f>
        <v>2012</v>
      </c>
      <c r="P4" s="147" t="n">
        <f aca="false">P16</f>
        <v>2013</v>
      </c>
      <c r="Q4" s="147" t="n">
        <f aca="false">Q16</f>
        <v>2014</v>
      </c>
      <c r="R4" s="147" t="n">
        <f aca="false">R16</f>
        <v>2015</v>
      </c>
      <c r="S4" s="147" t="n">
        <f aca="false">S16</f>
        <v>2016</v>
      </c>
      <c r="T4" s="147" t="n">
        <f aca="false">T16</f>
        <v>2017</v>
      </c>
      <c r="U4" s="147" t="n">
        <f aca="false">U16</f>
        <v>2018</v>
      </c>
      <c r="V4" s="147" t="n">
        <f aca="false">V16</f>
        <v>2019</v>
      </c>
      <c r="W4" s="148" t="n">
        <f aca="false">W16</f>
        <v>2020</v>
      </c>
    </row>
    <row r="5" customFormat="false" ht="14.5" hidden="false" customHeight="false" outlineLevel="0" collapsed="false">
      <c r="A5" s="149" t="s">
        <v>24</v>
      </c>
      <c r="B5" s="150" t="s">
        <v>124</v>
      </c>
      <c r="C5" s="151" t="n">
        <f aca="false">C99</f>
        <v>24.255374</v>
      </c>
      <c r="D5" s="151" t="n">
        <f aca="false">D99</f>
        <v>24.447949</v>
      </c>
      <c r="E5" s="151" t="n">
        <f aca="false">E99</f>
        <v>24.380507</v>
      </c>
      <c r="F5" s="151" t="n">
        <f aca="false">F99</f>
        <v>24.315009</v>
      </c>
      <c r="G5" s="151" t="n">
        <f aca="false">G99</f>
        <v>24.667257</v>
      </c>
      <c r="H5" s="151" t="n">
        <f aca="false">H99</f>
        <v>23.865376</v>
      </c>
      <c r="I5" s="151" t="n">
        <f aca="false">I99</f>
        <v>24.02612</v>
      </c>
      <c r="J5" s="151" t="n">
        <f aca="false">J99</f>
        <v>24.463282</v>
      </c>
      <c r="K5" s="151" t="n">
        <f aca="false">K99</f>
        <v>23.969868</v>
      </c>
      <c r="L5" s="151" t="n">
        <f aca="false">L99</f>
        <v>23.94085</v>
      </c>
      <c r="M5" s="151" t="n">
        <f aca="false">M99</f>
        <v>24.627644</v>
      </c>
      <c r="N5" s="151" t="n">
        <f aca="false">N99</f>
        <v>24.858458</v>
      </c>
      <c r="O5" s="151" t="n">
        <f aca="false">O99</f>
        <v>24.396314</v>
      </c>
      <c r="P5" s="151" t="n">
        <f aca="false">P99</f>
        <v>25.766484</v>
      </c>
      <c r="Q5" s="151" t="n">
        <f aca="false">Q99</f>
        <v>25.214588</v>
      </c>
      <c r="R5" s="151" t="n">
        <f aca="false">R99</f>
        <v>25.624379</v>
      </c>
      <c r="S5" s="151" t="n">
        <f aca="false">S99</f>
        <v>26.013804</v>
      </c>
      <c r="T5" s="151" t="n">
        <f aca="false">T99</f>
        <v>26.657764</v>
      </c>
      <c r="U5" s="151" t="n">
        <f aca="false">U99</f>
        <v>25.460822</v>
      </c>
      <c r="V5" s="151" t="n">
        <f aca="false">V99</f>
        <v>25.805908</v>
      </c>
      <c r="W5" s="152"/>
    </row>
    <row r="6" customFormat="false" ht="14.5" hidden="false" customHeight="false" outlineLevel="0" collapsed="false">
      <c r="A6" s="153" t="s">
        <v>25</v>
      </c>
      <c r="B6" s="150" t="str">
        <f aca="false">B5</f>
        <v>G€2014</v>
      </c>
      <c r="C6" s="151" t="n">
        <f aca="false">C34+C33+C97</f>
        <v>31.942511</v>
      </c>
      <c r="D6" s="151" t="n">
        <f aca="false">D34+D33+D97</f>
        <v>33.273386</v>
      </c>
      <c r="E6" s="151" t="n">
        <f aca="false">E34+E33+E97</f>
        <v>33.191318</v>
      </c>
      <c r="F6" s="151" t="n">
        <f aca="false">F34+F33+F97</f>
        <v>34.755954</v>
      </c>
      <c r="G6" s="151" t="n">
        <f aca="false">G34+G33+G97</f>
        <v>34.883828</v>
      </c>
      <c r="H6" s="151" t="n">
        <f aca="false">H34+H33+H97</f>
        <v>37.535786</v>
      </c>
      <c r="I6" s="151" t="n">
        <f aca="false">I34+I33+I97</f>
        <v>38.942272</v>
      </c>
      <c r="J6" s="151" t="n">
        <f aca="false">J34+J33+J97</f>
        <v>40.135964</v>
      </c>
      <c r="K6" s="151" t="n">
        <f aca="false">K34+K33+K97</f>
        <v>39.390091</v>
      </c>
      <c r="L6" s="151" t="n">
        <f aca="false">L34+L33+L97</f>
        <v>38.159935</v>
      </c>
      <c r="M6" s="151" t="n">
        <f aca="false">M34+M33+M97</f>
        <v>36.26484</v>
      </c>
      <c r="N6" s="151" t="n">
        <f aca="false">N34+N33+N97</f>
        <v>38.769879</v>
      </c>
      <c r="O6" s="151" t="n">
        <f aca="false">O34+O33+O97</f>
        <v>39.070678</v>
      </c>
      <c r="P6" s="151" t="n">
        <f aca="false">P34+P33+P97</f>
        <v>39.992199</v>
      </c>
      <c r="Q6" s="151" t="n">
        <f aca="false">Q34+Q33+Q97</f>
        <v>40.501538</v>
      </c>
      <c r="R6" s="151" t="n">
        <f aca="false">R34+R33+R97</f>
        <v>41.415126</v>
      </c>
      <c r="S6" s="151" t="n">
        <f aca="false">S34+S33+S97</f>
        <v>42.558778</v>
      </c>
      <c r="T6" s="151" t="n">
        <f aca="false">T34+T33+T97</f>
        <v>43.825743</v>
      </c>
      <c r="U6" s="151" t="n">
        <f aca="false">U34+U33+U97</f>
        <v>45.192983</v>
      </c>
      <c r="V6" s="151" t="n">
        <f aca="false">V34+V33+V97</f>
        <v>47.173412</v>
      </c>
      <c r="W6" s="152" t="n">
        <f aca="false">W34+W33+W97</f>
        <v>44.246974</v>
      </c>
      <c r="AB6" s="139"/>
      <c r="AC6" s="139"/>
      <c r="AD6" s="139"/>
      <c r="AE6" s="139"/>
      <c r="AF6" s="139"/>
      <c r="AG6" s="139"/>
      <c r="AJ6" s="139"/>
      <c r="AK6" s="139"/>
      <c r="AL6" s="139"/>
      <c r="AM6" s="139"/>
      <c r="AN6" s="139"/>
      <c r="AO6" s="139"/>
    </row>
    <row r="7" customFormat="false" ht="14.5" hidden="false" customHeight="false" outlineLevel="0" collapsed="false">
      <c r="A7" s="154" t="s">
        <v>26</v>
      </c>
      <c r="B7" s="150" t="str">
        <f aca="false">B6</f>
        <v>G€2014</v>
      </c>
      <c r="C7" s="151" t="n">
        <f aca="false">C98</f>
        <v>8.090308</v>
      </c>
      <c r="D7" s="151" t="n">
        <f aca="false">D98</f>
        <v>7.980012</v>
      </c>
      <c r="E7" s="151" t="n">
        <f aca="false">E98</f>
        <v>8.044519</v>
      </c>
      <c r="F7" s="151" t="n">
        <f aca="false">F98</f>
        <v>8.097228</v>
      </c>
      <c r="G7" s="151" t="n">
        <f aca="false">G98</f>
        <v>8.032248</v>
      </c>
      <c r="H7" s="151" t="n">
        <f aca="false">H98</f>
        <v>7.970259</v>
      </c>
      <c r="I7" s="151" t="n">
        <f aca="false">I98</f>
        <v>8.254819</v>
      </c>
      <c r="J7" s="151" t="n">
        <f aca="false">J98</f>
        <v>8.416677</v>
      </c>
      <c r="K7" s="151" t="n">
        <f aca="false">K98</f>
        <v>7.840287</v>
      </c>
      <c r="L7" s="151" t="n">
        <f aca="false">L98</f>
        <v>6.982471</v>
      </c>
      <c r="M7" s="151" t="n">
        <f aca="false">M98</f>
        <v>7.414941</v>
      </c>
      <c r="N7" s="151" t="n">
        <f aca="false">N98</f>
        <v>8.186167</v>
      </c>
      <c r="O7" s="151" t="n">
        <f aca="false">O98</f>
        <v>7.834263</v>
      </c>
      <c r="P7" s="151" t="n">
        <f aca="false">P98</f>
        <v>7.57438</v>
      </c>
      <c r="Q7" s="151" t="n">
        <f aca="false">Q98</f>
        <v>7.743213</v>
      </c>
      <c r="R7" s="151" t="n">
        <f aca="false">R98</f>
        <v>8.023073</v>
      </c>
      <c r="S7" s="151" t="n">
        <f aca="false">S98</f>
        <v>8.099836</v>
      </c>
      <c r="T7" s="151" t="n">
        <f aca="false">T98</f>
        <v>8.29235</v>
      </c>
      <c r="U7" s="151" t="n">
        <f aca="false">U98</f>
        <v>8.270174</v>
      </c>
      <c r="V7" s="151" t="n">
        <f aca="false">V98</f>
        <v>8.358497</v>
      </c>
      <c r="W7" s="152"/>
      <c r="AB7" s="139"/>
      <c r="AC7" s="139"/>
      <c r="AD7" s="139"/>
      <c r="AE7" s="139"/>
      <c r="AF7" s="139"/>
      <c r="AG7" s="139"/>
      <c r="AJ7" s="139"/>
      <c r="AK7" s="139"/>
      <c r="AL7" s="139"/>
      <c r="AM7" s="139"/>
      <c r="AN7" s="139"/>
      <c r="AO7" s="139"/>
    </row>
    <row r="8" customFormat="false" ht="14.5" hidden="false" customHeight="false" outlineLevel="0" collapsed="false">
      <c r="A8" s="155" t="s">
        <v>125</v>
      </c>
      <c r="B8" s="150" t="str">
        <f aca="false">B7</f>
        <v>G€2014</v>
      </c>
      <c r="C8" s="151" t="n">
        <f aca="false">C23</f>
        <v>37.851342</v>
      </c>
      <c r="D8" s="151" t="n">
        <f aca="false">D23</f>
        <v>36.603383</v>
      </c>
      <c r="E8" s="151" t="n">
        <f aca="false">E23</f>
        <v>37.547612</v>
      </c>
      <c r="F8" s="151" t="n">
        <f aca="false">F23</f>
        <v>39.651257</v>
      </c>
      <c r="G8" s="151" t="n">
        <f aca="false">G23</f>
        <v>40.609595</v>
      </c>
      <c r="H8" s="151" t="n">
        <f aca="false">H23</f>
        <v>40.848894</v>
      </c>
      <c r="I8" s="151" t="n">
        <f aca="false">I23</f>
        <v>40.817717</v>
      </c>
      <c r="J8" s="151" t="n">
        <f aca="false">J23</f>
        <v>41.448941</v>
      </c>
      <c r="K8" s="151" t="n">
        <f aca="false">K23</f>
        <v>37.907621</v>
      </c>
      <c r="L8" s="151" t="n">
        <f aca="false">L23</f>
        <v>38.774316</v>
      </c>
      <c r="M8" s="151" t="n">
        <f aca="false">M23</f>
        <v>40.455102</v>
      </c>
      <c r="N8" s="151" t="n">
        <f aca="false">N23</f>
        <v>42.097633</v>
      </c>
      <c r="O8" s="151" t="n">
        <f aca="false">O23</f>
        <v>41.755278</v>
      </c>
      <c r="P8" s="151" t="n">
        <f aca="false">P23</f>
        <v>41.636981</v>
      </c>
      <c r="Q8" s="151" t="n">
        <f aca="false">Q23</f>
        <v>42.8258</v>
      </c>
      <c r="R8" s="151" t="n">
        <f aca="false">R23</f>
        <v>43.507951</v>
      </c>
      <c r="S8" s="151" t="n">
        <f aca="false">S23</f>
        <v>44.673572</v>
      </c>
      <c r="T8" s="151" t="n">
        <f aca="false">T23</f>
        <v>45.48521</v>
      </c>
      <c r="U8" s="151" t="n">
        <f aca="false">U23</f>
        <v>45.279348</v>
      </c>
      <c r="V8" s="151" t="n">
        <f aca="false">V23</f>
        <v>45.598266</v>
      </c>
      <c r="W8" s="152" t="n">
        <f aca="false">W23</f>
        <v>44.167665</v>
      </c>
      <c r="AB8" s="139"/>
      <c r="AC8" s="139"/>
      <c r="AD8" s="139"/>
      <c r="AE8" s="139"/>
      <c r="AF8" s="139"/>
      <c r="AG8" s="139"/>
      <c r="AJ8" s="139"/>
      <c r="AK8" s="139"/>
      <c r="AL8" s="139"/>
      <c r="AM8" s="139"/>
      <c r="AN8" s="139"/>
      <c r="AO8" s="139"/>
    </row>
    <row r="9" customFormat="false" ht="14.5" hidden="false" customHeight="false" outlineLevel="0" collapsed="false">
      <c r="A9" s="156" t="s">
        <v>126</v>
      </c>
      <c r="B9" s="150" t="str">
        <f aca="false">B8</f>
        <v>G€2014</v>
      </c>
      <c r="C9" s="151" t="n">
        <f aca="false">C104+C105+C111</f>
        <v>62.795178</v>
      </c>
      <c r="D9" s="151" t="n">
        <f aca="false">D104+D105+D111</f>
        <v>62.381359</v>
      </c>
      <c r="E9" s="151" t="n">
        <f aca="false">E104+E105+E111</f>
        <v>60.610974</v>
      </c>
      <c r="F9" s="151" t="n">
        <f aca="false">F104+F105+F111</f>
        <v>61.797168</v>
      </c>
      <c r="G9" s="151" t="n">
        <f aca="false">G104+G105+G111</f>
        <v>64.275343</v>
      </c>
      <c r="H9" s="151" t="n">
        <f aca="false">H104+H105+H111</f>
        <v>66.46411</v>
      </c>
      <c r="I9" s="151" t="n">
        <f aca="false">I104+I105+I111</f>
        <v>67.636187</v>
      </c>
      <c r="J9" s="151" t="n">
        <f aca="false">J104+J105+J111</f>
        <v>68.947695</v>
      </c>
      <c r="K9" s="151" t="n">
        <f aca="false">K104+K105+K111</f>
        <v>67.927361</v>
      </c>
      <c r="L9" s="151" t="n">
        <f aca="false">L104+L105+L111</f>
        <v>59.212614</v>
      </c>
      <c r="M9" s="151" t="n">
        <f aca="false">M104+M105+M111</f>
        <v>61.441163</v>
      </c>
      <c r="N9" s="151" t="n">
        <f aca="false">N104+N105+N111</f>
        <v>63.443431</v>
      </c>
      <c r="O9" s="151" t="n">
        <f aca="false">O104+O105+O111</f>
        <v>63.849208</v>
      </c>
      <c r="P9" s="151" t="n">
        <f aca="false">P104+P105+P111</f>
        <v>61.156239</v>
      </c>
      <c r="Q9" s="151" t="n">
        <f aca="false">Q104+Q105+Q111</f>
        <v>60.859242</v>
      </c>
      <c r="R9" s="151" t="n">
        <f aca="false">R104+R105+R111</f>
        <v>60.173128</v>
      </c>
      <c r="S9" s="151" t="n">
        <f aca="false">S104+S105+S111</f>
        <v>59.026021</v>
      </c>
      <c r="T9" s="151" t="n">
        <f aca="false">T104+T105+T111</f>
        <v>60.473291</v>
      </c>
      <c r="U9" s="151" t="n">
        <f aca="false">U104+U105+U111</f>
        <v>63.185554</v>
      </c>
      <c r="V9" s="151" t="n">
        <f aca="false">V104+V105+V111</f>
        <v>63.615234</v>
      </c>
      <c r="W9" s="152"/>
      <c r="AB9" s="139"/>
      <c r="AC9" s="139"/>
      <c r="AD9" s="139"/>
      <c r="AE9" s="139"/>
      <c r="AF9" s="139"/>
      <c r="AG9" s="139"/>
      <c r="AJ9" s="139"/>
      <c r="AK9" s="139"/>
      <c r="AL9" s="139"/>
      <c r="AM9" s="139"/>
      <c r="AN9" s="139"/>
      <c r="AO9" s="139"/>
    </row>
    <row r="10" customFormat="false" ht="14.5" hidden="false" customHeight="false" outlineLevel="0" collapsed="false">
      <c r="A10" s="157" t="s">
        <v>31</v>
      </c>
      <c r="B10" s="150" t="str">
        <f aca="false">B9</f>
        <v>G€2014</v>
      </c>
      <c r="C10" s="151" t="n">
        <f aca="false">C38</f>
        <v>115.435343</v>
      </c>
      <c r="D10" s="151" t="n">
        <f aca="false">D38</f>
        <v>119.966746</v>
      </c>
      <c r="E10" s="151" t="n">
        <f aca="false">E38</f>
        <v>119.421395</v>
      </c>
      <c r="F10" s="151" t="n">
        <f aca="false">F38</f>
        <v>119.088889</v>
      </c>
      <c r="G10" s="151" t="n">
        <f aca="false">G38</f>
        <v>121.36758</v>
      </c>
      <c r="H10" s="151" t="n">
        <f aca="false">H38</f>
        <v>124.698682</v>
      </c>
      <c r="I10" s="151" t="n">
        <f aca="false">I38</f>
        <v>127.732686</v>
      </c>
      <c r="J10" s="151" t="n">
        <f aca="false">J38</f>
        <v>133.597355</v>
      </c>
      <c r="K10" s="151" t="n">
        <f aca="false">K38</f>
        <v>131.619197</v>
      </c>
      <c r="L10" s="151" t="n">
        <f aca="false">L38</f>
        <v>123.994273</v>
      </c>
      <c r="M10" s="151" t="n">
        <f aca="false">M38</f>
        <v>120.903094</v>
      </c>
      <c r="N10" s="151" t="n">
        <f aca="false">N38</f>
        <v>118.618811</v>
      </c>
      <c r="O10" s="151" t="n">
        <f aca="false">O38</f>
        <v>112.593882</v>
      </c>
      <c r="P10" s="151" t="n">
        <f aca="false">P38</f>
        <v>113.121136</v>
      </c>
      <c r="Q10" s="151" t="n">
        <f aca="false">Q38</f>
        <v>110.115753</v>
      </c>
      <c r="R10" s="151" t="n">
        <f aca="false">R38</f>
        <v>109.505257</v>
      </c>
      <c r="S10" s="151" t="n">
        <f aca="false">S38</f>
        <v>108.449133</v>
      </c>
      <c r="T10" s="151" t="n">
        <f aca="false">T38</f>
        <v>110.800995</v>
      </c>
      <c r="U10" s="151" t="n">
        <f aca="false">U38</f>
        <v>111.942451</v>
      </c>
      <c r="V10" s="151" t="n">
        <f aca="false">V38</f>
        <v>114.881552</v>
      </c>
      <c r="W10" s="152" t="n">
        <f aca="false">W38</f>
        <v>96.546553</v>
      </c>
      <c r="AB10" s="139"/>
      <c r="AC10" s="139"/>
      <c r="AD10" s="139"/>
      <c r="AE10" s="139"/>
      <c r="AF10" s="139"/>
      <c r="AG10" s="139"/>
      <c r="AJ10" s="139"/>
      <c r="AK10" s="139"/>
      <c r="AL10" s="139"/>
      <c r="AM10" s="139"/>
      <c r="AN10" s="139"/>
      <c r="AO10" s="139"/>
    </row>
    <row r="11" customFormat="false" ht="14.5" hidden="false" customHeight="false" outlineLevel="0" collapsed="false">
      <c r="A11" s="158" t="s">
        <v>29</v>
      </c>
      <c r="B11" s="150" t="str">
        <f aca="false">B9</f>
        <v>G€2014</v>
      </c>
      <c r="C11" s="151" t="n">
        <f aca="false">C31+C90+C91+C92+C109+C110</f>
        <v>25.817637</v>
      </c>
      <c r="D11" s="151" t="n">
        <f aca="false">D31+D90+D91+D92+D109+D110</f>
        <v>27.18107</v>
      </c>
      <c r="E11" s="151" t="n">
        <f aca="false">E31+E90+E91+E92+E109+E110</f>
        <v>26.584541</v>
      </c>
      <c r="F11" s="151" t="n">
        <f aca="false">F31+F90+F91+F92+F109+F110</f>
        <v>26.466641</v>
      </c>
      <c r="G11" s="151" t="n">
        <f aca="false">G31+G90+G91+G92+G109+G110</f>
        <v>26.299292</v>
      </c>
      <c r="H11" s="151" t="n">
        <f aca="false">H31+H90+H91+H92+H109+H110</f>
        <v>25.722553</v>
      </c>
      <c r="I11" s="151" t="n">
        <f aca="false">I31+I90+I91+I92+I109+I110</f>
        <v>25.213291</v>
      </c>
      <c r="J11" s="151" t="n">
        <f aca="false">J31+J90+J91+J92+J109+J110</f>
        <v>25.7227</v>
      </c>
      <c r="K11" s="151" t="n">
        <f aca="false">K31+K90+K91+K92+K109+K110</f>
        <v>25.29424</v>
      </c>
      <c r="L11" s="151" t="n">
        <f aca="false">L31+L90+L91+L92+L109+L110</f>
        <v>23.75264</v>
      </c>
      <c r="M11" s="151" t="n">
        <f aca="false">M31+M90+M91+M92+M109+M110</f>
        <v>23.25261</v>
      </c>
      <c r="N11" s="151" t="n">
        <f aca="false">N31+N90+N91+N92+N109+N110</f>
        <v>24.5323</v>
      </c>
      <c r="O11" s="151" t="n">
        <f aca="false">O31+O90+O91+O92+O109+O110</f>
        <v>24.333484</v>
      </c>
      <c r="P11" s="151" t="n">
        <f aca="false">P31+P90+P91+P92+P109+P110</f>
        <v>23.708505</v>
      </c>
      <c r="Q11" s="151" t="n">
        <f aca="false">Q31+Q90+Q91+Q92+Q109+Q110</f>
        <v>23.559021</v>
      </c>
      <c r="R11" s="151" t="n">
        <f aca="false">R31+R90+R91+R92+R109+R110</f>
        <v>23.294343</v>
      </c>
      <c r="S11" s="151" t="n">
        <f aca="false">S31+S90+S91+S92+S109+S110</f>
        <v>23.04682</v>
      </c>
      <c r="T11" s="151" t="n">
        <f aca="false">T31+T90+T91+T92+T109+T110</f>
        <v>23.307596</v>
      </c>
      <c r="U11" s="151" t="n">
        <f aca="false">U31+U90+U91+U92+U109+U110</f>
        <v>23.241424</v>
      </c>
      <c r="V11" s="151" t="n">
        <f aca="false">V31+V90+V91+V92+V109+V110</f>
        <v>23.721859</v>
      </c>
      <c r="W11" s="152"/>
      <c r="AB11" s="139"/>
      <c r="AC11" s="139"/>
      <c r="AD11" s="139"/>
      <c r="AE11" s="139"/>
      <c r="AF11" s="139"/>
      <c r="AG11" s="139"/>
      <c r="AJ11" s="139"/>
      <c r="AK11" s="139"/>
      <c r="AL11" s="139"/>
      <c r="AM11" s="139"/>
      <c r="AN11" s="139"/>
      <c r="AO11" s="139"/>
    </row>
    <row r="12" customFormat="false" ht="14.5" hidden="false" customHeight="false" outlineLevel="0" collapsed="false">
      <c r="A12" s="1" t="s">
        <v>127</v>
      </c>
      <c r="C12" s="159"/>
      <c r="D12" s="159"/>
      <c r="E12" s="159"/>
      <c r="F12" s="159"/>
      <c r="G12" s="159"/>
      <c r="H12" s="159"/>
      <c r="I12" s="159"/>
      <c r="J12" s="159"/>
      <c r="K12" s="159"/>
      <c r="L12" s="159"/>
      <c r="M12" s="159"/>
      <c r="N12" s="159"/>
      <c r="O12" s="159"/>
      <c r="P12" s="159"/>
      <c r="Q12" s="159"/>
      <c r="R12" s="159"/>
    </row>
    <row r="14" customFormat="false" ht="14.5" hidden="false" customHeight="false" outlineLevel="0" collapsed="false">
      <c r="A14" s="160" t="s">
        <v>128</v>
      </c>
    </row>
    <row r="16" customFormat="false" ht="14.5" hidden="false" customHeight="false" outlineLevel="0" collapsed="false">
      <c r="C16" s="160" t="n">
        <v>2000</v>
      </c>
      <c r="D16" s="160" t="n">
        <v>2001</v>
      </c>
      <c r="E16" s="160" t="n">
        <v>2002</v>
      </c>
      <c r="F16" s="160" t="n">
        <v>2003</v>
      </c>
      <c r="G16" s="160" t="n">
        <v>2004</v>
      </c>
      <c r="H16" s="160" t="n">
        <v>2005</v>
      </c>
      <c r="I16" s="160" t="n">
        <v>2006</v>
      </c>
      <c r="J16" s="160" t="n">
        <v>2007</v>
      </c>
      <c r="K16" s="160" t="n">
        <v>2008</v>
      </c>
      <c r="L16" s="160" t="n">
        <v>2009</v>
      </c>
      <c r="M16" s="160" t="n">
        <v>2010</v>
      </c>
      <c r="N16" s="160" t="n">
        <v>2011</v>
      </c>
      <c r="O16" s="160" t="n">
        <v>2012</v>
      </c>
      <c r="P16" s="160" t="n">
        <v>2013</v>
      </c>
      <c r="Q16" s="160" t="n">
        <v>2014</v>
      </c>
      <c r="R16" s="160" t="n">
        <v>2015</v>
      </c>
      <c r="S16" s="160" t="n">
        <v>2016</v>
      </c>
      <c r="T16" s="160" t="n">
        <v>2017</v>
      </c>
      <c r="U16" s="160" t="n">
        <v>2018</v>
      </c>
      <c r="V16" s="161" t="n">
        <v>2019</v>
      </c>
      <c r="W16" s="161" t="n">
        <v>2020</v>
      </c>
    </row>
    <row r="17" customFormat="false" ht="14.5" hidden="false" customHeight="false" outlineLevel="0" collapsed="false">
      <c r="A17" s="1" t="s">
        <v>129</v>
      </c>
      <c r="B17" s="159" t="s">
        <v>130</v>
      </c>
      <c r="C17" s="162" t="n">
        <v>29.389969</v>
      </c>
      <c r="D17" s="162" t="n">
        <v>28.546126</v>
      </c>
      <c r="E17" s="162" t="n">
        <v>30.172437</v>
      </c>
      <c r="F17" s="162" t="n">
        <v>25.571212</v>
      </c>
      <c r="G17" s="162" t="n">
        <v>31.018657</v>
      </c>
      <c r="H17" s="162" t="n">
        <v>29.214953</v>
      </c>
      <c r="I17" s="162" t="n">
        <v>29.275854</v>
      </c>
      <c r="J17" s="162" t="n">
        <v>29.047341</v>
      </c>
      <c r="K17" s="162" t="n">
        <v>30.347363</v>
      </c>
      <c r="L17" s="162" t="n">
        <v>32.327104</v>
      </c>
      <c r="M17" s="162" t="n">
        <v>31.228937</v>
      </c>
      <c r="N17" s="162" t="n">
        <v>32.475392</v>
      </c>
      <c r="O17" s="162" t="n">
        <v>29.742468</v>
      </c>
      <c r="P17" s="162" t="n">
        <v>29.169098</v>
      </c>
      <c r="Q17" s="162" t="n">
        <v>33.458134</v>
      </c>
      <c r="R17" s="162" t="n">
        <v>33.504586</v>
      </c>
      <c r="S17" s="162" t="n">
        <v>29.362692</v>
      </c>
      <c r="T17" s="162" t="n">
        <v>31.780947</v>
      </c>
      <c r="U17" s="162" t="n">
        <v>33.024823</v>
      </c>
      <c r="V17" s="162" t="n">
        <v>32.262165</v>
      </c>
      <c r="W17" s="162" t="n">
        <v>32.214969</v>
      </c>
    </row>
    <row r="18" customFormat="false" ht="14.5" hidden="false" customHeight="false" outlineLevel="0" collapsed="false">
      <c r="A18" s="1" t="s">
        <v>131</v>
      </c>
      <c r="B18" s="159" t="s">
        <v>132</v>
      </c>
      <c r="C18" s="162" t="n">
        <v>251.252333</v>
      </c>
      <c r="D18" s="162" t="n">
        <v>255.685604</v>
      </c>
      <c r="E18" s="162" t="n">
        <v>257.880068</v>
      </c>
      <c r="F18" s="162" t="n">
        <v>262.481023</v>
      </c>
      <c r="G18" s="162" t="n">
        <v>269.12421</v>
      </c>
      <c r="H18" s="162" t="n">
        <v>270.997026</v>
      </c>
      <c r="I18" s="162" t="n">
        <v>275.58151</v>
      </c>
      <c r="J18" s="162" t="n">
        <v>280.490021</v>
      </c>
      <c r="K18" s="162" t="n">
        <v>270.352599</v>
      </c>
      <c r="L18" s="162" t="n">
        <v>254.038321</v>
      </c>
      <c r="M18" s="162" t="n">
        <v>258.739256</v>
      </c>
      <c r="N18" s="162" t="n">
        <v>266.073939</v>
      </c>
      <c r="O18" s="162" t="n">
        <v>268.130926</v>
      </c>
      <c r="P18" s="162" t="n">
        <v>270.128504</v>
      </c>
      <c r="Q18" s="162" t="n">
        <v>271.380121</v>
      </c>
      <c r="R18" s="162" t="n">
        <v>272.50424</v>
      </c>
      <c r="S18" s="162" t="n">
        <v>273.293952</v>
      </c>
      <c r="T18" s="162" t="n">
        <v>276.211362</v>
      </c>
      <c r="U18" s="162" t="n">
        <v>282.17447</v>
      </c>
      <c r="V18" s="162" t="n">
        <v>286.887324</v>
      </c>
      <c r="W18" s="162" t="n">
        <v>259.864924</v>
      </c>
    </row>
    <row r="19" customFormat="false" ht="14.5" hidden="false" customHeight="false" outlineLevel="0" collapsed="false">
      <c r="A19" s="1" t="s">
        <v>133</v>
      </c>
      <c r="B19" s="159" t="s">
        <v>134</v>
      </c>
      <c r="C19" s="162" t="n">
        <v>52.436249</v>
      </c>
      <c r="D19" s="162" t="n">
        <v>55.314064</v>
      </c>
      <c r="E19" s="162" t="n">
        <v>59.034858</v>
      </c>
      <c r="F19" s="162" t="n">
        <v>58.792773</v>
      </c>
      <c r="G19" s="162" t="n">
        <v>60.555283</v>
      </c>
      <c r="H19" s="162" t="n">
        <v>58.02312</v>
      </c>
      <c r="I19" s="162" t="n">
        <v>56.268</v>
      </c>
      <c r="J19" s="162" t="n">
        <v>56.650292</v>
      </c>
      <c r="K19" s="162" t="n">
        <v>53.452358</v>
      </c>
      <c r="L19" s="162" t="n">
        <v>49.647824</v>
      </c>
      <c r="M19" s="162" t="n">
        <v>49.2861</v>
      </c>
      <c r="N19" s="162" t="n">
        <v>47.758294</v>
      </c>
      <c r="O19" s="162" t="n">
        <v>50.471073</v>
      </c>
      <c r="P19" s="162" t="n">
        <v>52.836941</v>
      </c>
      <c r="Q19" s="162" t="n">
        <v>50.375036</v>
      </c>
      <c r="R19" s="162" t="n">
        <v>50.02419</v>
      </c>
      <c r="S19" s="162" t="n">
        <v>48.903847</v>
      </c>
      <c r="T19" s="162" t="n">
        <v>46.865982</v>
      </c>
      <c r="U19" s="162" t="n">
        <v>48.963919</v>
      </c>
      <c r="V19" s="162" t="n">
        <v>48.927566</v>
      </c>
      <c r="W19" s="162" t="n">
        <v>47.506179</v>
      </c>
    </row>
    <row r="20" customFormat="false" ht="14.5" hidden="false" customHeight="false" outlineLevel="0" collapsed="false">
      <c r="A20" s="1" t="s">
        <v>135</v>
      </c>
      <c r="B20" s="159" t="s">
        <v>136</v>
      </c>
      <c r="C20" s="162" t="n">
        <v>4.538647</v>
      </c>
      <c r="D20" s="162" t="n">
        <v>4.013586</v>
      </c>
      <c r="E20" s="162" t="n">
        <v>3.793368</v>
      </c>
      <c r="F20" s="162" t="n">
        <v>3.394623</v>
      </c>
      <c r="G20" s="162" t="n">
        <v>3.18141</v>
      </c>
      <c r="H20" s="162" t="n">
        <v>2.921717</v>
      </c>
      <c r="I20" s="162" t="n">
        <v>3.087004</v>
      </c>
      <c r="J20" s="162" t="n">
        <v>3.152703</v>
      </c>
      <c r="K20" s="162" t="n">
        <v>2.929125</v>
      </c>
      <c r="L20" s="162" t="n">
        <v>2.658496</v>
      </c>
      <c r="M20" s="162" t="n">
        <v>2.578846</v>
      </c>
      <c r="N20" s="162" t="n">
        <v>2.563989</v>
      </c>
      <c r="O20" s="162" t="n">
        <v>2.415788</v>
      </c>
      <c r="P20" s="162" t="n">
        <v>2.19126</v>
      </c>
      <c r="Q20" s="162" t="n">
        <v>2.184023</v>
      </c>
      <c r="R20" s="162" t="n">
        <v>2.049087</v>
      </c>
      <c r="S20" s="162" t="n">
        <v>1.974689</v>
      </c>
      <c r="T20" s="162" t="n">
        <v>2.000931</v>
      </c>
      <c r="U20" s="162" t="n">
        <v>2.000888</v>
      </c>
      <c r="V20" s="162" t="n">
        <v>1.982031</v>
      </c>
      <c r="W20" s="162" t="n">
        <v>1.765396</v>
      </c>
    </row>
    <row r="21" customFormat="false" ht="14.5" hidden="false" customHeight="false" outlineLevel="0" collapsed="false">
      <c r="A21" s="1" t="s">
        <v>137</v>
      </c>
      <c r="B21" s="159" t="s">
        <v>138</v>
      </c>
      <c r="C21" s="162" t="n">
        <v>36.49523</v>
      </c>
      <c r="D21" s="162" t="n">
        <v>38.879346</v>
      </c>
      <c r="E21" s="162" t="n">
        <v>42.148148</v>
      </c>
      <c r="F21" s="162" t="n">
        <v>40.938017</v>
      </c>
      <c r="G21" s="162" t="n">
        <v>43.334659</v>
      </c>
      <c r="H21" s="162" t="n">
        <v>41.020854</v>
      </c>
      <c r="I21" s="162" t="n">
        <v>38.977261</v>
      </c>
      <c r="J21" s="162" t="n">
        <v>39.198015</v>
      </c>
      <c r="K21" s="162" t="n">
        <v>36.377787</v>
      </c>
      <c r="L21" s="162" t="n">
        <v>32.28016</v>
      </c>
      <c r="M21" s="162" t="n">
        <v>31.420502</v>
      </c>
      <c r="N21" s="162" t="n">
        <v>30.06841</v>
      </c>
      <c r="O21" s="162" t="n">
        <v>33.414028</v>
      </c>
      <c r="P21" s="162" t="n">
        <v>35.939242</v>
      </c>
      <c r="Q21" s="162" t="n">
        <v>34.085185</v>
      </c>
      <c r="R21" s="162" t="n">
        <v>34.383325</v>
      </c>
      <c r="S21" s="162" t="n">
        <v>33.533637</v>
      </c>
      <c r="T21" s="162" t="n">
        <v>30.996843</v>
      </c>
      <c r="U21" s="162" t="n">
        <v>33.132</v>
      </c>
      <c r="V21" s="162" t="n">
        <v>33.003775</v>
      </c>
      <c r="W21" s="162" t="n">
        <v>31.52249</v>
      </c>
    </row>
    <row r="22" customFormat="false" ht="14.5" hidden="false" customHeight="false" outlineLevel="0" collapsed="false">
      <c r="A22" s="1" t="s">
        <v>139</v>
      </c>
      <c r="B22" s="159" t="s">
        <v>140</v>
      </c>
      <c r="C22" s="162" t="n">
        <v>12.546692</v>
      </c>
      <c r="D22" s="162" t="n">
        <v>13.336209</v>
      </c>
      <c r="E22" s="162" t="n">
        <v>13.965849</v>
      </c>
      <c r="F22" s="162" t="n">
        <v>15.097876</v>
      </c>
      <c r="G22" s="162" t="n">
        <v>14.640785</v>
      </c>
      <c r="H22" s="162" t="n">
        <v>14.563033</v>
      </c>
      <c r="I22" s="162" t="n">
        <v>14.710312</v>
      </c>
      <c r="J22" s="162" t="n">
        <v>14.814892</v>
      </c>
      <c r="K22" s="162" t="n">
        <v>14.501436</v>
      </c>
      <c r="L22" s="162" t="n">
        <v>14.711707</v>
      </c>
      <c r="M22" s="162" t="n">
        <v>15.254386</v>
      </c>
      <c r="N22" s="162" t="n">
        <v>15.058176</v>
      </c>
      <c r="O22" s="162" t="n">
        <v>14.618653</v>
      </c>
      <c r="P22" s="162" t="n">
        <v>14.716125</v>
      </c>
      <c r="Q22" s="162" t="n">
        <v>14.105828</v>
      </c>
      <c r="R22" s="162" t="n">
        <v>13.591778</v>
      </c>
      <c r="S22" s="162" t="n">
        <v>13.392081</v>
      </c>
      <c r="T22" s="162" t="n">
        <v>13.868116</v>
      </c>
      <c r="U22" s="162" t="n">
        <v>13.829894</v>
      </c>
      <c r="V22" s="162" t="n">
        <v>13.936655</v>
      </c>
      <c r="W22" s="162" t="n">
        <v>14.254647</v>
      </c>
    </row>
    <row r="23" customFormat="false" ht="14.5" hidden="false" customHeight="false" outlineLevel="0" collapsed="false">
      <c r="A23" s="163" t="s">
        <v>141</v>
      </c>
      <c r="B23" s="163" t="s">
        <v>142</v>
      </c>
      <c r="C23" s="162" t="n">
        <v>37.851342</v>
      </c>
      <c r="D23" s="162" t="n">
        <v>36.603383</v>
      </c>
      <c r="E23" s="162" t="n">
        <v>37.547612</v>
      </c>
      <c r="F23" s="162" t="n">
        <v>39.651257</v>
      </c>
      <c r="G23" s="162" t="n">
        <v>40.609595</v>
      </c>
      <c r="H23" s="162" t="n">
        <v>40.848894</v>
      </c>
      <c r="I23" s="162" t="n">
        <v>40.817717</v>
      </c>
      <c r="J23" s="162" t="n">
        <v>41.448941</v>
      </c>
      <c r="K23" s="162" t="n">
        <v>37.907621</v>
      </c>
      <c r="L23" s="162" t="n">
        <v>38.774316</v>
      </c>
      <c r="M23" s="162" t="n">
        <v>40.455102</v>
      </c>
      <c r="N23" s="162" t="n">
        <v>42.097633</v>
      </c>
      <c r="O23" s="162" t="n">
        <v>41.755278</v>
      </c>
      <c r="P23" s="162" t="n">
        <v>41.636981</v>
      </c>
      <c r="Q23" s="162" t="n">
        <v>42.8258</v>
      </c>
      <c r="R23" s="162" t="n">
        <v>43.507951</v>
      </c>
      <c r="S23" s="162" t="n">
        <v>44.673572</v>
      </c>
      <c r="T23" s="162" t="n">
        <v>45.48521</v>
      </c>
      <c r="U23" s="162" t="n">
        <v>45.279348</v>
      </c>
      <c r="V23" s="162" t="n">
        <v>45.598266</v>
      </c>
      <c r="W23" s="162" t="n">
        <v>44.167665</v>
      </c>
    </row>
    <row r="24" customFormat="false" ht="14.5" hidden="false" customHeight="false" outlineLevel="0" collapsed="false">
      <c r="A24" s="1" t="s">
        <v>143</v>
      </c>
      <c r="B24" s="159" t="s">
        <v>144</v>
      </c>
      <c r="C24" s="162" t="n">
        <v>2.759281</v>
      </c>
      <c r="D24" s="162" t="n">
        <v>3.585187</v>
      </c>
      <c r="E24" s="162" t="n">
        <v>4.866608</v>
      </c>
      <c r="F24" s="162" t="n">
        <v>3.632693</v>
      </c>
      <c r="G24" s="162" t="n">
        <v>3.117984</v>
      </c>
      <c r="H24" s="162" t="n">
        <v>3.091331</v>
      </c>
      <c r="I24" s="162" t="n">
        <v>3.952697</v>
      </c>
      <c r="J24" s="162" t="n">
        <v>3.918776</v>
      </c>
      <c r="K24" s="162" t="n">
        <v>2.334962</v>
      </c>
      <c r="L24" s="162" t="n">
        <v>1.693401</v>
      </c>
      <c r="M24" s="162" t="n">
        <v>1.465033</v>
      </c>
      <c r="N24" s="162" t="n">
        <v>1.409505</v>
      </c>
      <c r="O24" s="162" t="n">
        <v>1.209752</v>
      </c>
      <c r="P24" s="162" t="n">
        <v>1.143271</v>
      </c>
      <c r="Q24" s="162" t="n">
        <v>2.258806</v>
      </c>
      <c r="R24" s="162" t="n">
        <v>2.453868</v>
      </c>
      <c r="S24" s="162" t="n">
        <v>2.659568</v>
      </c>
      <c r="T24" s="162" t="n">
        <v>2.615611</v>
      </c>
      <c r="U24" s="162" t="n">
        <v>3.11062</v>
      </c>
      <c r="V24" s="162" t="n">
        <v>3.037132</v>
      </c>
      <c r="W24" s="162" t="n">
        <v>3.725882</v>
      </c>
    </row>
    <row r="25" customFormat="false" ht="14.5" hidden="false" customHeight="false" outlineLevel="0" collapsed="false">
      <c r="A25" s="1" t="s">
        <v>145</v>
      </c>
      <c r="B25" s="159" t="s">
        <v>146</v>
      </c>
      <c r="C25" s="162" t="n">
        <v>24.422138</v>
      </c>
      <c r="D25" s="162" t="n">
        <v>24.708074</v>
      </c>
      <c r="E25" s="162" t="n">
        <v>24.75593</v>
      </c>
      <c r="F25" s="162" t="n">
        <v>24.817325</v>
      </c>
      <c r="G25" s="162" t="n">
        <v>27.069546</v>
      </c>
      <c r="H25" s="162" t="n">
        <v>27.27152</v>
      </c>
      <c r="I25" s="162" t="n">
        <v>29.532468</v>
      </c>
      <c r="J25" s="162" t="n">
        <v>30.224132</v>
      </c>
      <c r="K25" s="162" t="n">
        <v>30.255943</v>
      </c>
      <c r="L25" s="162" t="n">
        <v>25.765826</v>
      </c>
      <c r="M25" s="162" t="n">
        <v>28.044132</v>
      </c>
      <c r="N25" s="162" t="n">
        <v>29.355011</v>
      </c>
      <c r="O25" s="162" t="n">
        <v>29.514708</v>
      </c>
      <c r="P25" s="162" t="n">
        <v>30.238057</v>
      </c>
      <c r="Q25" s="162" t="n">
        <v>30.529465</v>
      </c>
      <c r="R25" s="162" t="n">
        <v>29.862834</v>
      </c>
      <c r="S25" s="162" t="n">
        <v>29.393824</v>
      </c>
      <c r="T25" s="162" t="n">
        <v>29.732545</v>
      </c>
      <c r="U25" s="162" t="n">
        <v>30.314031</v>
      </c>
      <c r="V25" s="162" t="n">
        <v>31.823128</v>
      </c>
      <c r="W25" s="162" t="n">
        <v>28.029068</v>
      </c>
    </row>
    <row r="26" customFormat="false" ht="14.5" hidden="false" customHeight="false" outlineLevel="0" collapsed="false">
      <c r="A26" s="1" t="s">
        <v>147</v>
      </c>
      <c r="B26" s="159" t="s">
        <v>148</v>
      </c>
      <c r="C26" s="162" t="n">
        <v>5.331808</v>
      </c>
      <c r="D26" s="162" t="n">
        <v>5.290544</v>
      </c>
      <c r="E26" s="162" t="n">
        <v>5.530023</v>
      </c>
      <c r="F26" s="162" t="n">
        <v>5.64322</v>
      </c>
      <c r="G26" s="162" t="n">
        <v>6.233542</v>
      </c>
      <c r="H26" s="162" t="n">
        <v>6.515556</v>
      </c>
      <c r="I26" s="162" t="n">
        <v>7.585281</v>
      </c>
      <c r="J26" s="162" t="n">
        <v>7.687352</v>
      </c>
      <c r="K26" s="162" t="n">
        <v>7.931704</v>
      </c>
      <c r="L26" s="162" t="n">
        <v>7.406965</v>
      </c>
      <c r="M26" s="162" t="n">
        <v>9.036823</v>
      </c>
      <c r="N26" s="162" t="n">
        <v>9.379092</v>
      </c>
      <c r="O26" s="162" t="n">
        <v>9.828425</v>
      </c>
      <c r="P26" s="162" t="n">
        <v>10.702061</v>
      </c>
      <c r="Q26" s="162" t="n">
        <v>11.123084</v>
      </c>
      <c r="R26" s="162" t="n">
        <v>11.12868</v>
      </c>
      <c r="S26" s="162" t="n">
        <v>11.394397</v>
      </c>
      <c r="T26" s="162" t="n">
        <v>11.786925</v>
      </c>
      <c r="U26" s="162" t="n">
        <v>12.260072</v>
      </c>
      <c r="V26" s="162" t="n">
        <v>13.493798</v>
      </c>
      <c r="W26" s="162" t="n">
        <v>12.077309</v>
      </c>
    </row>
    <row r="27" customFormat="false" ht="14.5" hidden="false" customHeight="false" outlineLevel="0" collapsed="false">
      <c r="A27" s="1" t="s">
        <v>149</v>
      </c>
      <c r="B27" s="159" t="s">
        <v>150</v>
      </c>
      <c r="C27" s="162" t="n">
        <v>10.617983</v>
      </c>
      <c r="D27" s="162" t="n">
        <v>10.120741</v>
      </c>
      <c r="E27" s="162" t="n">
        <v>9.650164</v>
      </c>
      <c r="F27" s="162" t="n">
        <v>9.038754</v>
      </c>
      <c r="G27" s="162" t="n">
        <v>9.754901</v>
      </c>
      <c r="H27" s="162" t="n">
        <v>9.21393</v>
      </c>
      <c r="I27" s="162" t="n">
        <v>8.910492</v>
      </c>
      <c r="J27" s="162" t="n">
        <v>9.194125</v>
      </c>
      <c r="K27" s="162" t="n">
        <v>8.918731</v>
      </c>
      <c r="L27" s="162" t="n">
        <v>7.578569</v>
      </c>
      <c r="M27" s="162" t="n">
        <v>7.707426</v>
      </c>
      <c r="N27" s="162" t="n">
        <v>7.3882</v>
      </c>
      <c r="O27" s="162" t="n">
        <v>7.256133</v>
      </c>
      <c r="P27" s="162" t="n">
        <v>7.122483</v>
      </c>
      <c r="Q27" s="162" t="n">
        <v>6.919794</v>
      </c>
      <c r="R27" s="162" t="n">
        <v>6.859501</v>
      </c>
      <c r="S27" s="162" t="n">
        <v>6.905282</v>
      </c>
      <c r="T27" s="162" t="n">
        <v>6.94336</v>
      </c>
      <c r="U27" s="162" t="n">
        <v>7.054011</v>
      </c>
      <c r="V27" s="162" t="n">
        <v>7.12005</v>
      </c>
      <c r="W27" s="162" t="n">
        <v>6.202362</v>
      </c>
    </row>
    <row r="28" customFormat="false" ht="14.5" hidden="false" customHeight="false" outlineLevel="0" collapsed="false">
      <c r="A28" s="1" t="s">
        <v>151</v>
      </c>
      <c r="B28" s="159" t="s">
        <v>152</v>
      </c>
      <c r="C28" s="162" t="n">
        <v>11.485924</v>
      </c>
      <c r="D28" s="162" t="n">
        <v>12.400689</v>
      </c>
      <c r="E28" s="162" t="n">
        <v>12.157581</v>
      </c>
      <c r="F28" s="162" t="n">
        <v>12.441276</v>
      </c>
      <c r="G28" s="162" t="n">
        <v>13.45471</v>
      </c>
      <c r="H28" s="162" t="n">
        <v>13.507081</v>
      </c>
      <c r="I28" s="162" t="n">
        <v>14.390752</v>
      </c>
      <c r="J28" s="162" t="n">
        <v>14.806767</v>
      </c>
      <c r="K28" s="162" t="n">
        <v>14.643867</v>
      </c>
      <c r="L28" s="162" t="n">
        <v>11.404749</v>
      </c>
      <c r="M28" s="162" t="n">
        <v>11.495244</v>
      </c>
      <c r="N28" s="162" t="n">
        <v>12.772231</v>
      </c>
      <c r="O28" s="162" t="n">
        <v>12.524309</v>
      </c>
      <c r="P28" s="162" t="n">
        <v>12.428447</v>
      </c>
      <c r="Q28" s="162" t="n">
        <v>12.486587</v>
      </c>
      <c r="R28" s="162" t="n">
        <v>11.874653</v>
      </c>
      <c r="S28" s="162" t="n">
        <v>11.096029</v>
      </c>
      <c r="T28" s="162" t="n">
        <v>11.008344</v>
      </c>
      <c r="U28" s="162" t="n">
        <v>11.013046</v>
      </c>
      <c r="V28" s="162" t="n">
        <v>11.25338</v>
      </c>
      <c r="W28" s="162" t="n">
        <v>9.801818</v>
      </c>
    </row>
    <row r="29" customFormat="false" ht="14.5" hidden="false" customHeight="false" outlineLevel="0" collapsed="false">
      <c r="A29" s="1" t="s">
        <v>153</v>
      </c>
      <c r="B29" s="159" t="s">
        <v>154</v>
      </c>
      <c r="C29" s="162" t="n">
        <v>31.312271</v>
      </c>
      <c r="D29" s="162" t="n">
        <v>30.239396</v>
      </c>
      <c r="E29" s="162" t="n">
        <v>28.800541</v>
      </c>
      <c r="F29" s="162" t="n">
        <v>30.740936</v>
      </c>
      <c r="G29" s="162" t="n">
        <v>31.458558</v>
      </c>
      <c r="H29" s="162" t="n">
        <v>32.540165</v>
      </c>
      <c r="I29" s="162" t="n">
        <v>32.320243</v>
      </c>
      <c r="J29" s="162" t="n">
        <v>32.323222</v>
      </c>
      <c r="K29" s="162" t="n">
        <v>31.062786</v>
      </c>
      <c r="L29" s="162" t="n">
        <v>26.000694</v>
      </c>
      <c r="M29" s="162" t="n">
        <v>28.477751</v>
      </c>
      <c r="N29" s="162" t="n">
        <v>28.441257</v>
      </c>
      <c r="O29" s="162" t="n">
        <v>28.448082</v>
      </c>
      <c r="P29" s="162" t="n">
        <v>26.993219</v>
      </c>
      <c r="Q29" s="162" t="n">
        <v>27.034531</v>
      </c>
      <c r="R29" s="162" t="n">
        <v>26.907309</v>
      </c>
      <c r="S29" s="162" t="n">
        <v>27.063397</v>
      </c>
      <c r="T29" s="162" t="n">
        <v>28.382299</v>
      </c>
      <c r="U29" s="162" t="n">
        <v>30.481016</v>
      </c>
      <c r="V29" s="162" t="n">
        <v>29.811317</v>
      </c>
      <c r="W29" s="162" t="n">
        <v>21.588478</v>
      </c>
    </row>
    <row r="30" customFormat="false" ht="14.5" hidden="false" customHeight="false" outlineLevel="0" collapsed="false">
      <c r="A30" s="1" t="s">
        <v>155</v>
      </c>
      <c r="B30" s="159" t="s">
        <v>156</v>
      </c>
      <c r="C30" s="162" t="n">
        <v>107.636529</v>
      </c>
      <c r="D30" s="162" t="n">
        <v>110.73627</v>
      </c>
      <c r="E30" s="162" t="n">
        <v>110.261345</v>
      </c>
      <c r="F30" s="162" t="n">
        <v>111.23528</v>
      </c>
      <c r="G30" s="162" t="n">
        <v>112.00392</v>
      </c>
      <c r="H30" s="162" t="n">
        <v>114.196058</v>
      </c>
      <c r="I30" s="162" t="n">
        <v>116.587794</v>
      </c>
      <c r="J30" s="162" t="n">
        <v>119.58061</v>
      </c>
      <c r="K30" s="162" t="n">
        <v>117.839759</v>
      </c>
      <c r="L30" s="162" t="n">
        <v>114.039581</v>
      </c>
      <c r="M30" s="162" t="n">
        <v>112.603025</v>
      </c>
      <c r="N30" s="162" t="n">
        <v>118.184112</v>
      </c>
      <c r="O30" s="162" t="n">
        <v>118.120992</v>
      </c>
      <c r="P30" s="162" t="n">
        <v>118.718381</v>
      </c>
      <c r="Q30" s="162" t="n">
        <v>118.356483</v>
      </c>
      <c r="R30" s="162" t="n">
        <v>119.748088</v>
      </c>
      <c r="S30" s="162" t="n">
        <v>120.605048</v>
      </c>
      <c r="T30" s="162" t="n">
        <v>123.135418</v>
      </c>
      <c r="U30" s="162" t="n">
        <v>123.838032</v>
      </c>
      <c r="V30" s="162" t="n">
        <v>127.564139</v>
      </c>
      <c r="W30" s="162" t="n">
        <v>115.423219</v>
      </c>
    </row>
    <row r="31" customFormat="false" ht="14.5" hidden="false" customHeight="false" outlineLevel="0" collapsed="false">
      <c r="A31" s="164" t="s">
        <v>157</v>
      </c>
      <c r="B31" s="164" t="s">
        <v>158</v>
      </c>
      <c r="C31" s="162" t="n">
        <v>7.728758</v>
      </c>
      <c r="D31" s="162" t="n">
        <v>7.916379</v>
      </c>
      <c r="E31" s="162" t="n">
        <v>7.619526</v>
      </c>
      <c r="F31" s="162" t="n">
        <v>7.281395</v>
      </c>
      <c r="G31" s="162" t="n">
        <v>6.916942</v>
      </c>
      <c r="H31" s="162" t="n">
        <v>6.615924</v>
      </c>
      <c r="I31" s="162" t="n">
        <v>6.377637</v>
      </c>
      <c r="J31" s="162" t="n">
        <v>6.609352</v>
      </c>
      <c r="K31" s="162" t="n">
        <v>6.356783</v>
      </c>
      <c r="L31" s="162" t="n">
        <v>5.200119</v>
      </c>
      <c r="M31" s="162" t="n">
        <v>5.022257</v>
      </c>
      <c r="N31" s="162" t="n">
        <v>5.720687</v>
      </c>
      <c r="O31" s="162" t="n">
        <v>5.784852</v>
      </c>
      <c r="P31" s="162" t="n">
        <v>5.466527</v>
      </c>
      <c r="Q31" s="162" t="n">
        <v>5.047781</v>
      </c>
      <c r="R31" s="162" t="n">
        <v>5.269618</v>
      </c>
      <c r="S31" s="162" t="n">
        <v>5.234043</v>
      </c>
      <c r="T31" s="162" t="n">
        <v>5.420154</v>
      </c>
      <c r="U31" s="162" t="n">
        <v>5.710988</v>
      </c>
      <c r="V31" s="162" t="n">
        <v>5.739443</v>
      </c>
      <c r="W31" s="162" t="n">
        <v>4.704656</v>
      </c>
    </row>
    <row r="32" customFormat="false" ht="14.5" hidden="false" customHeight="false" outlineLevel="0" collapsed="false">
      <c r="A32" s="1" t="s">
        <v>159</v>
      </c>
      <c r="B32" s="159" t="s">
        <v>160</v>
      </c>
      <c r="C32" s="162" t="n">
        <v>9.75552</v>
      </c>
      <c r="D32" s="162" t="n">
        <v>10.23267</v>
      </c>
      <c r="E32" s="162" t="n">
        <v>10.209158</v>
      </c>
      <c r="F32" s="162" t="n">
        <v>10.472488</v>
      </c>
      <c r="G32" s="162" t="n">
        <v>10.47326</v>
      </c>
      <c r="H32" s="162" t="n">
        <v>10.245185</v>
      </c>
      <c r="I32" s="162" t="n">
        <v>9.993489</v>
      </c>
      <c r="J32" s="162" t="n">
        <v>10.054644</v>
      </c>
      <c r="K32" s="162" t="n">
        <v>10.362041</v>
      </c>
      <c r="L32" s="162" t="n">
        <v>10.315694</v>
      </c>
      <c r="M32" s="162" t="n">
        <v>10.129296</v>
      </c>
      <c r="N32" s="162" t="n">
        <v>10.804295</v>
      </c>
      <c r="O32" s="162" t="n">
        <v>10.891468</v>
      </c>
      <c r="P32" s="162" t="n">
        <v>10.932872</v>
      </c>
      <c r="Q32" s="162" t="n">
        <v>11.156261</v>
      </c>
      <c r="R32" s="162" t="n">
        <v>10.876778</v>
      </c>
      <c r="S32" s="162" t="n">
        <v>10.965141</v>
      </c>
      <c r="T32" s="162" t="n">
        <v>11.110309</v>
      </c>
      <c r="U32" s="162" t="n">
        <v>10.568101</v>
      </c>
      <c r="V32" s="162" t="n">
        <v>10.878606</v>
      </c>
      <c r="W32" s="162" t="n">
        <v>9.954107</v>
      </c>
    </row>
    <row r="33" customFormat="false" ht="14.5" hidden="false" customHeight="false" outlineLevel="0" collapsed="false">
      <c r="A33" s="165" t="s">
        <v>161</v>
      </c>
      <c r="B33" s="165" t="s">
        <v>162</v>
      </c>
      <c r="C33" s="162" t="n">
        <v>15.20151</v>
      </c>
      <c r="D33" s="162" t="n">
        <v>14.763462</v>
      </c>
      <c r="E33" s="162" t="n">
        <v>14.06606</v>
      </c>
      <c r="F33" s="162" t="n">
        <v>14.153542</v>
      </c>
      <c r="G33" s="162" t="n">
        <v>14.133512</v>
      </c>
      <c r="H33" s="162" t="n">
        <v>15.497234</v>
      </c>
      <c r="I33" s="162" t="n">
        <v>14.823026</v>
      </c>
      <c r="J33" s="162" t="n">
        <v>15.47382</v>
      </c>
      <c r="K33" s="162" t="n">
        <v>14.488583</v>
      </c>
      <c r="L33" s="162" t="n">
        <v>15.200738</v>
      </c>
      <c r="M33" s="162" t="n">
        <v>14.442673</v>
      </c>
      <c r="N33" s="162" t="n">
        <v>15.151478</v>
      </c>
      <c r="O33" s="162" t="n">
        <v>15.474825</v>
      </c>
      <c r="P33" s="162" t="n">
        <v>17.462278</v>
      </c>
      <c r="Q33" s="162" t="n">
        <v>18.203213</v>
      </c>
      <c r="R33" s="162" t="n">
        <v>18.339184</v>
      </c>
      <c r="S33" s="162" t="n">
        <v>19.159826</v>
      </c>
      <c r="T33" s="162" t="n">
        <v>20.07204</v>
      </c>
      <c r="U33" s="162" t="n">
        <v>19.723796</v>
      </c>
      <c r="V33" s="162" t="n">
        <v>20.784559</v>
      </c>
      <c r="W33" s="162" t="n">
        <v>19.246948</v>
      </c>
    </row>
    <row r="34" customFormat="false" ht="14.5" hidden="false" customHeight="false" outlineLevel="0" collapsed="false">
      <c r="A34" s="165" t="s">
        <v>163</v>
      </c>
      <c r="B34" s="165" t="s">
        <v>164</v>
      </c>
      <c r="C34" s="162" t="n">
        <v>7.096375</v>
      </c>
      <c r="D34" s="162" t="n">
        <v>8.196974</v>
      </c>
      <c r="E34" s="162" t="n">
        <v>8.535506</v>
      </c>
      <c r="F34" s="162" t="n">
        <v>8.835744</v>
      </c>
      <c r="G34" s="162" t="n">
        <v>8.560719</v>
      </c>
      <c r="H34" s="162" t="n">
        <v>9.247018</v>
      </c>
      <c r="I34" s="162" t="n">
        <v>10.981588</v>
      </c>
      <c r="J34" s="162" t="n">
        <v>11.226612</v>
      </c>
      <c r="K34" s="162" t="n">
        <v>11.339972</v>
      </c>
      <c r="L34" s="162" t="n">
        <v>11.000344</v>
      </c>
      <c r="M34" s="162" t="n">
        <v>10.984916</v>
      </c>
      <c r="N34" s="162" t="n">
        <v>11.392872</v>
      </c>
      <c r="O34" s="162" t="n">
        <v>11.747849</v>
      </c>
      <c r="P34" s="162" t="n">
        <v>11.400753</v>
      </c>
      <c r="Q34" s="162" t="n">
        <v>11.517985</v>
      </c>
      <c r="R34" s="162" t="n">
        <v>12.272225</v>
      </c>
      <c r="S34" s="162" t="n">
        <v>12.81461</v>
      </c>
      <c r="T34" s="162" t="n">
        <v>13.152265</v>
      </c>
      <c r="U34" s="162" t="n">
        <v>13.967621</v>
      </c>
      <c r="V34" s="162" t="n">
        <v>14.940269</v>
      </c>
      <c r="W34" s="162" t="n">
        <v>14.900026</v>
      </c>
    </row>
    <row r="35" customFormat="false" ht="14.5" hidden="false" customHeight="false" outlineLevel="0" collapsed="false">
      <c r="A35" s="1" t="s">
        <v>165</v>
      </c>
      <c r="B35" s="159" t="s">
        <v>166</v>
      </c>
      <c r="C35" s="162" t="n">
        <v>17.412953</v>
      </c>
      <c r="D35" s="162" t="n">
        <v>18.055399</v>
      </c>
      <c r="E35" s="162" t="n">
        <v>18.409974</v>
      </c>
      <c r="F35" s="162" t="n">
        <v>19.716029</v>
      </c>
      <c r="G35" s="162" t="n">
        <v>20.101071</v>
      </c>
      <c r="H35" s="162" t="n">
        <v>20.671483</v>
      </c>
      <c r="I35" s="162" t="n">
        <v>21.298949</v>
      </c>
      <c r="J35" s="162" t="n">
        <v>21.756567</v>
      </c>
      <c r="K35" s="162" t="n">
        <v>21.268037</v>
      </c>
      <c r="L35" s="162" t="n">
        <v>18.832214</v>
      </c>
      <c r="M35" s="162" t="n">
        <v>18.248799</v>
      </c>
      <c r="N35" s="162" t="n">
        <v>20.400644</v>
      </c>
      <c r="O35" s="162" t="n">
        <v>19.666102</v>
      </c>
      <c r="P35" s="162" t="n">
        <v>18.696278</v>
      </c>
      <c r="Q35" s="162" t="n">
        <v>18.523552</v>
      </c>
      <c r="R35" s="162" t="n">
        <v>18.82679</v>
      </c>
      <c r="S35" s="162" t="n">
        <v>18.676333</v>
      </c>
      <c r="T35" s="162" t="n">
        <v>18.876025</v>
      </c>
      <c r="U35" s="162" t="n">
        <v>19.778382</v>
      </c>
      <c r="V35" s="162" t="n">
        <v>19.812343</v>
      </c>
      <c r="W35" s="162" t="n">
        <v>17.885584</v>
      </c>
    </row>
    <row r="36" customFormat="false" ht="14.5" hidden="false" customHeight="false" outlineLevel="0" collapsed="false">
      <c r="A36" s="166" t="s">
        <v>167</v>
      </c>
      <c r="B36" s="166" t="s">
        <v>168</v>
      </c>
      <c r="C36" s="162" t="n">
        <v>24.255374</v>
      </c>
      <c r="D36" s="162" t="n">
        <v>24.447949</v>
      </c>
      <c r="E36" s="162" t="n">
        <v>24.380507</v>
      </c>
      <c r="F36" s="162" t="n">
        <v>24.315009</v>
      </c>
      <c r="G36" s="162" t="n">
        <v>24.667257</v>
      </c>
      <c r="H36" s="162" t="n">
        <v>23.865376</v>
      </c>
      <c r="I36" s="162" t="n">
        <v>24.02612</v>
      </c>
      <c r="J36" s="162" t="n">
        <v>24.463282</v>
      </c>
      <c r="K36" s="162" t="n">
        <v>23.969868</v>
      </c>
      <c r="L36" s="162" t="n">
        <v>23.94085</v>
      </c>
      <c r="M36" s="162" t="n">
        <v>24.627644</v>
      </c>
      <c r="N36" s="162" t="n">
        <v>24.858458</v>
      </c>
      <c r="O36" s="162" t="n">
        <v>24.396314</v>
      </c>
      <c r="P36" s="162" t="n">
        <v>25.766484</v>
      </c>
      <c r="Q36" s="162" t="n">
        <v>25.214588</v>
      </c>
      <c r="R36" s="162" t="n">
        <v>25.624379</v>
      </c>
      <c r="S36" s="162" t="n">
        <v>26.013804</v>
      </c>
      <c r="T36" s="162" t="n">
        <v>26.657764</v>
      </c>
      <c r="U36" s="162" t="n">
        <v>25.460822</v>
      </c>
      <c r="V36" s="162" t="n">
        <v>25.805908</v>
      </c>
      <c r="W36" s="162" t="n">
        <v>21.701089</v>
      </c>
    </row>
    <row r="37" customFormat="false" ht="14.5" hidden="false" customHeight="false" outlineLevel="0" collapsed="false">
      <c r="A37" s="1" t="s">
        <v>169</v>
      </c>
      <c r="B37" s="159" t="s">
        <v>170</v>
      </c>
      <c r="C37" s="162" t="n">
        <v>28.254633</v>
      </c>
      <c r="D37" s="162" t="n">
        <v>28.725096</v>
      </c>
      <c r="E37" s="162" t="n">
        <v>28.35824</v>
      </c>
      <c r="F37" s="162" t="n">
        <v>27.245088</v>
      </c>
      <c r="G37" s="162" t="n">
        <v>28.210154</v>
      </c>
      <c r="H37" s="162" t="n">
        <v>29.230821</v>
      </c>
      <c r="I37" s="162" t="n">
        <v>29.779657</v>
      </c>
      <c r="J37" s="162" t="n">
        <v>30.866016</v>
      </c>
      <c r="K37" s="162" t="n">
        <v>30.781068</v>
      </c>
      <c r="L37" s="162" t="n">
        <v>30.004085</v>
      </c>
      <c r="M37" s="162" t="n">
        <v>29.555235</v>
      </c>
      <c r="N37" s="162" t="n">
        <v>30.235903</v>
      </c>
      <c r="O37" s="162" t="n">
        <v>30.523461</v>
      </c>
      <c r="P37" s="162" t="n">
        <v>29.043524</v>
      </c>
      <c r="Q37" s="162" t="n">
        <v>28.693103</v>
      </c>
      <c r="R37" s="162" t="n">
        <v>28.539113</v>
      </c>
      <c r="S37" s="162" t="n">
        <v>27.720691</v>
      </c>
      <c r="T37" s="162" t="n">
        <v>27.869296</v>
      </c>
      <c r="U37" s="162" t="n">
        <v>28.652469</v>
      </c>
      <c r="V37" s="162" t="n">
        <v>29.66631</v>
      </c>
      <c r="W37" s="162" t="n">
        <v>27.234922</v>
      </c>
    </row>
    <row r="38" customFormat="false" ht="14.5" hidden="false" customHeight="false" outlineLevel="0" collapsed="false">
      <c r="A38" s="167" t="s">
        <v>171</v>
      </c>
      <c r="B38" s="168" t="s">
        <v>31</v>
      </c>
      <c r="C38" s="162" t="n">
        <v>115.435343</v>
      </c>
      <c r="D38" s="162" t="n">
        <v>119.966746</v>
      </c>
      <c r="E38" s="162" t="n">
        <v>119.421395</v>
      </c>
      <c r="F38" s="162" t="n">
        <v>119.088889</v>
      </c>
      <c r="G38" s="162" t="n">
        <v>121.36758</v>
      </c>
      <c r="H38" s="162" t="n">
        <v>124.698682</v>
      </c>
      <c r="I38" s="162" t="n">
        <v>127.732686</v>
      </c>
      <c r="J38" s="162" t="n">
        <v>133.597355</v>
      </c>
      <c r="K38" s="162" t="n">
        <v>131.619197</v>
      </c>
      <c r="L38" s="162" t="n">
        <v>123.994273</v>
      </c>
      <c r="M38" s="162" t="n">
        <v>120.903094</v>
      </c>
      <c r="N38" s="162" t="n">
        <v>118.618811</v>
      </c>
      <c r="O38" s="162" t="n">
        <v>112.593882</v>
      </c>
      <c r="P38" s="162" t="n">
        <v>113.121136</v>
      </c>
      <c r="Q38" s="162" t="n">
        <v>110.115753</v>
      </c>
      <c r="R38" s="162" t="n">
        <v>109.505257</v>
      </c>
      <c r="S38" s="162" t="n">
        <v>108.449133</v>
      </c>
      <c r="T38" s="162" t="n">
        <v>110.800995</v>
      </c>
      <c r="U38" s="162" t="n">
        <v>111.942451</v>
      </c>
      <c r="V38" s="162" t="n">
        <v>114.881552</v>
      </c>
      <c r="W38" s="162" t="n">
        <v>96.546553</v>
      </c>
    </row>
    <row r="39" customFormat="false" ht="14.5" hidden="false" customHeight="false" outlineLevel="0" collapsed="false">
      <c r="A39" s="1" t="s">
        <v>172</v>
      </c>
      <c r="B39" s="159" t="s">
        <v>173</v>
      </c>
      <c r="C39" s="162" t="n">
        <v>854.660981</v>
      </c>
      <c r="D39" s="162" t="n">
        <v>874.043844</v>
      </c>
      <c r="E39" s="162" t="n">
        <v>886.509239</v>
      </c>
      <c r="F39" s="162" t="n">
        <v>896.777748</v>
      </c>
      <c r="G39" s="162" t="n">
        <v>923.688649</v>
      </c>
      <c r="H39" s="162" t="n">
        <v>942.788672</v>
      </c>
      <c r="I39" s="162" t="n">
        <v>972.293969</v>
      </c>
      <c r="J39" s="162" t="n">
        <v>1003.958573</v>
      </c>
      <c r="K39" s="162" t="n">
        <v>1019.252011</v>
      </c>
      <c r="L39" s="162" t="n">
        <v>987.104589</v>
      </c>
      <c r="M39" s="162" t="n">
        <v>1013.315817</v>
      </c>
      <c r="N39" s="162" t="n">
        <v>1041.90435</v>
      </c>
      <c r="O39" s="162" t="n">
        <v>1053.190569</v>
      </c>
      <c r="P39" s="162" t="n">
        <v>1058.51658</v>
      </c>
      <c r="Q39" s="162" t="n">
        <v>1072.57103</v>
      </c>
      <c r="R39" s="162" t="n">
        <v>1087.991701</v>
      </c>
      <c r="S39" s="162" t="n">
        <v>1106.654175</v>
      </c>
      <c r="T39" s="162" t="n">
        <v>1137.041563</v>
      </c>
      <c r="U39" s="162" t="n">
        <v>1163.337865</v>
      </c>
      <c r="V39" s="162" t="n">
        <v>1192.838761</v>
      </c>
      <c r="W39" s="162" t="n">
        <v>1092.654306</v>
      </c>
    </row>
    <row r="40" customFormat="false" ht="14.5" hidden="false" customHeight="false" outlineLevel="0" collapsed="false">
      <c r="A40" s="1" t="s">
        <v>174</v>
      </c>
      <c r="B40" s="159" t="s">
        <v>175</v>
      </c>
      <c r="C40" s="162" t="n">
        <v>290.843732</v>
      </c>
      <c r="D40" s="162" t="n">
        <v>298.635533</v>
      </c>
      <c r="E40" s="162" t="n">
        <v>301.477656</v>
      </c>
      <c r="F40" s="162" t="n">
        <v>302.773362</v>
      </c>
      <c r="G40" s="162" t="n">
        <v>307.178909</v>
      </c>
      <c r="H40" s="162" t="n">
        <v>310.752614</v>
      </c>
      <c r="I40" s="162" t="n">
        <v>316.59435</v>
      </c>
      <c r="J40" s="162" t="n">
        <v>326.748014</v>
      </c>
      <c r="K40" s="162" t="n">
        <v>331.682827</v>
      </c>
      <c r="L40" s="162" t="n">
        <v>314.35573</v>
      </c>
      <c r="M40" s="162" t="n">
        <v>321.782946</v>
      </c>
      <c r="N40" s="162" t="n">
        <v>332.432408</v>
      </c>
      <c r="O40" s="162" t="n">
        <v>333.551574</v>
      </c>
      <c r="P40" s="162" t="n">
        <v>333.726587</v>
      </c>
      <c r="Q40" s="162" t="n">
        <v>336.865562</v>
      </c>
      <c r="R40" s="162" t="n">
        <v>344.028806</v>
      </c>
      <c r="S40" s="162" t="n">
        <v>351.198424</v>
      </c>
      <c r="T40" s="162" t="n">
        <v>358.518607</v>
      </c>
      <c r="U40" s="162" t="n">
        <v>359.130323</v>
      </c>
      <c r="V40" s="162" t="n">
        <v>367.574609</v>
      </c>
      <c r="W40" s="162" t="n">
        <v>308.044202</v>
      </c>
    </row>
    <row r="41" customFormat="false" ht="14.5" hidden="false" customHeight="false" outlineLevel="0" collapsed="false">
      <c r="A41" s="1" t="s">
        <v>176</v>
      </c>
      <c r="B41" s="159" t="s">
        <v>177</v>
      </c>
      <c r="C41" s="162" t="n">
        <v>171.396061</v>
      </c>
      <c r="D41" s="162" t="n">
        <v>178.039224</v>
      </c>
      <c r="E41" s="162" t="n">
        <v>180.915768</v>
      </c>
      <c r="F41" s="162" t="n">
        <v>182.402727</v>
      </c>
      <c r="G41" s="162" t="n">
        <v>183.624863</v>
      </c>
      <c r="H41" s="162" t="n">
        <v>184.189009</v>
      </c>
      <c r="I41" s="162" t="n">
        <v>186.79444</v>
      </c>
      <c r="J41" s="162" t="n">
        <v>192.821993</v>
      </c>
      <c r="K41" s="162" t="n">
        <v>197.992849</v>
      </c>
      <c r="L41" s="162" t="n">
        <v>186.689326</v>
      </c>
      <c r="M41" s="162" t="n">
        <v>186.604307</v>
      </c>
      <c r="N41" s="162" t="n">
        <v>192.73387</v>
      </c>
      <c r="O41" s="162" t="n">
        <v>192.943172</v>
      </c>
      <c r="P41" s="162" t="n">
        <v>194.750599</v>
      </c>
      <c r="Q41" s="162" t="n">
        <v>198.270906</v>
      </c>
      <c r="R41" s="162" t="n">
        <v>208.254282</v>
      </c>
      <c r="S41" s="162" t="n">
        <v>213.191136</v>
      </c>
      <c r="T41" s="162" t="n">
        <v>217.576712</v>
      </c>
      <c r="U41" s="162" t="n">
        <v>219.716903</v>
      </c>
      <c r="V41" s="162" t="n">
        <v>221.64131</v>
      </c>
      <c r="W41" s="162" t="n">
        <v>208.11429</v>
      </c>
    </row>
    <row r="42" customFormat="false" ht="14.5" hidden="false" customHeight="false" outlineLevel="0" collapsed="false">
      <c r="A42" s="1" t="s">
        <v>178</v>
      </c>
      <c r="B42" s="159" t="s">
        <v>179</v>
      </c>
      <c r="C42" s="162" t="n">
        <v>74.15709</v>
      </c>
      <c r="D42" s="162" t="n">
        <v>73.977934</v>
      </c>
      <c r="E42" s="162" t="n">
        <v>75.008655</v>
      </c>
      <c r="F42" s="162" t="n">
        <v>74.949952</v>
      </c>
      <c r="G42" s="162" t="n">
        <v>78.468664</v>
      </c>
      <c r="H42" s="162" t="n">
        <v>80.725566</v>
      </c>
      <c r="I42" s="162" t="n">
        <v>83.277325</v>
      </c>
      <c r="J42" s="162" t="n">
        <v>85.965557</v>
      </c>
      <c r="K42" s="162" t="n">
        <v>85.510874</v>
      </c>
      <c r="L42" s="162" t="n">
        <v>80.593101</v>
      </c>
      <c r="M42" s="162" t="n">
        <v>86.680442</v>
      </c>
      <c r="N42" s="162" t="n">
        <v>88.568936</v>
      </c>
      <c r="O42" s="162" t="n">
        <v>89.679915</v>
      </c>
      <c r="P42" s="162" t="n">
        <v>87.568495</v>
      </c>
      <c r="Q42" s="162" t="n">
        <v>87.696289</v>
      </c>
      <c r="R42" s="162" t="n">
        <v>85.025486</v>
      </c>
      <c r="S42" s="162" t="n">
        <v>86.508731</v>
      </c>
      <c r="T42" s="162" t="n">
        <v>88.749098</v>
      </c>
      <c r="U42" s="162" t="n">
        <v>86.409052</v>
      </c>
      <c r="V42" s="162" t="n">
        <v>89.755248</v>
      </c>
      <c r="W42" s="162" t="n">
        <v>69.124375</v>
      </c>
    </row>
    <row r="43" customFormat="false" ht="14.5" hidden="false" customHeight="false" outlineLevel="0" collapsed="false">
      <c r="A43" s="1" t="s">
        <v>180</v>
      </c>
      <c r="B43" s="159" t="s">
        <v>181</v>
      </c>
      <c r="C43" s="162" t="n">
        <v>45.635715</v>
      </c>
      <c r="D43" s="162" t="n">
        <v>46.779704</v>
      </c>
      <c r="E43" s="162" t="n">
        <v>45.369386</v>
      </c>
      <c r="F43" s="162" t="n">
        <v>45.165066</v>
      </c>
      <c r="G43" s="162" t="n">
        <v>44.852884</v>
      </c>
      <c r="H43" s="162" t="n">
        <v>45.738352</v>
      </c>
      <c r="I43" s="162" t="n">
        <v>46.484978</v>
      </c>
      <c r="J43" s="162" t="n">
        <v>47.918777</v>
      </c>
      <c r="K43" s="162" t="n">
        <v>48.023831</v>
      </c>
      <c r="L43" s="162" t="n">
        <v>47.010202</v>
      </c>
      <c r="M43" s="162" t="n">
        <v>48.664201</v>
      </c>
      <c r="N43" s="162" t="n">
        <v>51.290877</v>
      </c>
      <c r="O43" s="162" t="n">
        <v>51.133006</v>
      </c>
      <c r="P43" s="162" t="n">
        <v>51.460731</v>
      </c>
      <c r="Q43" s="162" t="n">
        <v>50.898366</v>
      </c>
      <c r="R43" s="162" t="n">
        <v>50.749038</v>
      </c>
      <c r="S43" s="162" t="n">
        <v>51.532574</v>
      </c>
      <c r="T43" s="162" t="n">
        <v>52.221138</v>
      </c>
      <c r="U43" s="162" t="n">
        <v>53.183914</v>
      </c>
      <c r="V43" s="162" t="n">
        <v>56.05625</v>
      </c>
      <c r="W43" s="162" t="n">
        <v>32.79637</v>
      </c>
    </row>
    <row r="44" customFormat="false" ht="14.5" hidden="false" customHeight="false" outlineLevel="0" collapsed="false">
      <c r="A44" s="1" t="s">
        <v>182</v>
      </c>
      <c r="B44" s="159" t="s">
        <v>183</v>
      </c>
      <c r="C44" s="162" t="n">
        <v>52.548472</v>
      </c>
      <c r="D44" s="162" t="n">
        <v>56.908489</v>
      </c>
      <c r="E44" s="162" t="n">
        <v>61.428777</v>
      </c>
      <c r="F44" s="162" t="n">
        <v>63.721982</v>
      </c>
      <c r="G44" s="162" t="n">
        <v>68.502025</v>
      </c>
      <c r="H44" s="162" t="n">
        <v>69.330125</v>
      </c>
      <c r="I44" s="162" t="n">
        <v>75.667862</v>
      </c>
      <c r="J44" s="162" t="n">
        <v>79.396193</v>
      </c>
      <c r="K44" s="162" t="n">
        <v>82.10598</v>
      </c>
      <c r="L44" s="162" t="n">
        <v>78.835274</v>
      </c>
      <c r="M44" s="162" t="n">
        <v>81.8163</v>
      </c>
      <c r="N44" s="162" t="n">
        <v>87.005202</v>
      </c>
      <c r="O44" s="162" t="n">
        <v>91.059291</v>
      </c>
      <c r="P44" s="162" t="n">
        <v>90.574571</v>
      </c>
      <c r="Q44" s="162" t="n">
        <v>94.375948</v>
      </c>
      <c r="R44" s="162" t="n">
        <v>97.953289</v>
      </c>
      <c r="S44" s="162" t="n">
        <v>100.967552</v>
      </c>
      <c r="T44" s="162" t="n">
        <v>107.085451</v>
      </c>
      <c r="U44" s="162" t="n">
        <v>113.027378</v>
      </c>
      <c r="V44" s="162" t="n">
        <v>118.480981</v>
      </c>
      <c r="W44" s="162" t="n">
        <v>119.644657</v>
      </c>
    </row>
    <row r="45" customFormat="false" ht="14.5" hidden="false" customHeight="false" outlineLevel="0" collapsed="false">
      <c r="A45" s="1" t="s">
        <v>184</v>
      </c>
      <c r="B45" s="159" t="s">
        <v>185</v>
      </c>
      <c r="C45" s="162" t="n">
        <v>19.383138</v>
      </c>
      <c r="D45" s="162" t="n">
        <v>19.889327</v>
      </c>
      <c r="E45" s="162" t="n">
        <v>19.806692</v>
      </c>
      <c r="F45" s="162" t="n">
        <v>20.317522</v>
      </c>
      <c r="G45" s="162" t="n">
        <v>21.897606</v>
      </c>
      <c r="H45" s="162" t="n">
        <v>22.440643</v>
      </c>
      <c r="I45" s="162" t="n">
        <v>23.190993</v>
      </c>
      <c r="J45" s="162" t="n">
        <v>24.019516</v>
      </c>
      <c r="K45" s="162" t="n">
        <v>23.673562</v>
      </c>
      <c r="L45" s="162" t="n">
        <v>21.876767</v>
      </c>
      <c r="M45" s="162" t="n">
        <v>22.751302</v>
      </c>
      <c r="N45" s="162" t="n">
        <v>24.04584</v>
      </c>
      <c r="O45" s="162" t="n">
        <v>23.243868</v>
      </c>
      <c r="P45" s="162" t="n">
        <v>22.837195</v>
      </c>
      <c r="Q45" s="162" t="n">
        <v>23.40815</v>
      </c>
      <c r="R45" s="162" t="n">
        <v>23.429345</v>
      </c>
      <c r="S45" s="162" t="n">
        <v>23.81153</v>
      </c>
      <c r="T45" s="162" t="n">
        <v>25.365144</v>
      </c>
      <c r="U45" s="162" t="n">
        <v>26.043463</v>
      </c>
      <c r="V45" s="162" t="n">
        <v>26.84594</v>
      </c>
      <c r="W45" s="162" t="n">
        <v>25.355122</v>
      </c>
    </row>
    <row r="46" customFormat="false" ht="14.5" hidden="false" customHeight="false" outlineLevel="0" collapsed="false">
      <c r="A46" s="1" t="s">
        <v>186</v>
      </c>
      <c r="B46" s="159" t="s">
        <v>187</v>
      </c>
      <c r="C46" s="162" t="n">
        <v>9.008286</v>
      </c>
      <c r="D46" s="162" t="n">
        <v>10.810107</v>
      </c>
      <c r="E46" s="162" t="n">
        <v>13.617541</v>
      </c>
      <c r="F46" s="162" t="n">
        <v>13.938879</v>
      </c>
      <c r="G46" s="162" t="n">
        <v>15.007693</v>
      </c>
      <c r="H46" s="162" t="n">
        <v>15.022374</v>
      </c>
      <c r="I46" s="162" t="n">
        <v>17.099735</v>
      </c>
      <c r="J46" s="162" t="n">
        <v>17.901907</v>
      </c>
      <c r="K46" s="162" t="n">
        <v>18.385792</v>
      </c>
      <c r="L46" s="162" t="n">
        <v>17.932514</v>
      </c>
      <c r="M46" s="162" t="n">
        <v>18.637521</v>
      </c>
      <c r="N46" s="162" t="n">
        <v>20.962476</v>
      </c>
      <c r="O46" s="162" t="n">
        <v>23.168898</v>
      </c>
      <c r="P46" s="162" t="n">
        <v>23.219666</v>
      </c>
      <c r="Q46" s="162" t="n">
        <v>24.141014</v>
      </c>
      <c r="R46" s="162" t="n">
        <v>25.387605</v>
      </c>
      <c r="S46" s="162" t="n">
        <v>24.902417</v>
      </c>
      <c r="T46" s="162" t="n">
        <v>26.1104</v>
      </c>
      <c r="U46" s="162" t="n">
        <v>27.289002</v>
      </c>
      <c r="V46" s="162" t="n">
        <v>28.413038</v>
      </c>
      <c r="W46" s="162" t="n">
        <v>30.402188</v>
      </c>
    </row>
    <row r="47" customFormat="false" ht="14.5" hidden="false" customHeight="false" outlineLevel="0" collapsed="false">
      <c r="A47" s="1" t="s">
        <v>188</v>
      </c>
      <c r="B47" s="159" t="s">
        <v>189</v>
      </c>
      <c r="C47" s="162" t="n">
        <v>28.864282</v>
      </c>
      <c r="D47" s="162" t="n">
        <v>29.842191</v>
      </c>
      <c r="E47" s="162" t="n">
        <v>29.690265</v>
      </c>
      <c r="F47" s="162" t="n">
        <v>31.339994</v>
      </c>
      <c r="G47" s="162" t="n">
        <v>33.594562</v>
      </c>
      <c r="H47" s="162" t="n">
        <v>34.07847</v>
      </c>
      <c r="I47" s="162" t="n">
        <v>36.959558</v>
      </c>
      <c r="J47" s="162" t="n">
        <v>39.130225</v>
      </c>
      <c r="K47" s="162" t="n">
        <v>41.676504</v>
      </c>
      <c r="L47" s="162" t="n">
        <v>40.287552</v>
      </c>
      <c r="M47" s="162" t="n">
        <v>41.71791</v>
      </c>
      <c r="N47" s="162" t="n">
        <v>42.608907</v>
      </c>
      <c r="O47" s="162" t="n">
        <v>44.678975</v>
      </c>
      <c r="P47" s="162" t="n">
        <v>44.511213</v>
      </c>
      <c r="Q47" s="162" t="n">
        <v>46.826785</v>
      </c>
      <c r="R47" s="162" t="n">
        <v>49.136339</v>
      </c>
      <c r="S47" s="162" t="n">
        <v>52.227703</v>
      </c>
      <c r="T47" s="162" t="n">
        <v>55.573904</v>
      </c>
      <c r="U47" s="162" t="n">
        <v>59.66756</v>
      </c>
      <c r="V47" s="162" t="n">
        <v>63.189658</v>
      </c>
      <c r="W47" s="162" t="n">
        <v>64.102996</v>
      </c>
    </row>
    <row r="48" customFormat="false" ht="14.5" hidden="false" customHeight="false" outlineLevel="0" collapsed="false">
      <c r="A48" s="1" t="s">
        <v>190</v>
      </c>
      <c r="B48" s="159" t="s">
        <v>191</v>
      </c>
      <c r="C48" s="162" t="n">
        <v>62.867616</v>
      </c>
      <c r="D48" s="162" t="n">
        <v>61.420134</v>
      </c>
      <c r="E48" s="162" t="n">
        <v>63.902166</v>
      </c>
      <c r="F48" s="162" t="n">
        <v>64.976046</v>
      </c>
      <c r="G48" s="162" t="n">
        <v>68.616904</v>
      </c>
      <c r="H48" s="162" t="n">
        <v>68.926483</v>
      </c>
      <c r="I48" s="162" t="n">
        <v>67.465088</v>
      </c>
      <c r="J48" s="162" t="n">
        <v>72.481999</v>
      </c>
      <c r="K48" s="162" t="n">
        <v>73.459676</v>
      </c>
      <c r="L48" s="162" t="n">
        <v>78.393385</v>
      </c>
      <c r="M48" s="162" t="n">
        <v>78.692867</v>
      </c>
      <c r="N48" s="162" t="n">
        <v>83.877753</v>
      </c>
      <c r="O48" s="162" t="n">
        <v>85.825555</v>
      </c>
      <c r="P48" s="162" t="n">
        <v>85.828543</v>
      </c>
      <c r="Q48" s="162" t="n">
        <v>86.922708</v>
      </c>
      <c r="R48" s="162" t="n">
        <v>87.092391</v>
      </c>
      <c r="S48" s="162" t="n">
        <v>86.822427</v>
      </c>
      <c r="T48" s="162" t="n">
        <v>87.271519</v>
      </c>
      <c r="U48" s="162" t="n">
        <v>93.555758</v>
      </c>
      <c r="V48" s="162" t="n">
        <v>95.154635</v>
      </c>
      <c r="W48" s="162" t="n">
        <v>89.213161</v>
      </c>
    </row>
    <row r="49" customFormat="false" ht="14.5" hidden="false" customHeight="false" outlineLevel="0" collapsed="false">
      <c r="A49" s="1" t="s">
        <v>192</v>
      </c>
      <c r="B49" s="159" t="s">
        <v>193</v>
      </c>
      <c r="C49" s="162" t="n">
        <v>199.851969</v>
      </c>
      <c r="D49" s="162" t="n">
        <v>206.111817</v>
      </c>
      <c r="E49" s="162" t="n">
        <v>202.706471</v>
      </c>
      <c r="F49" s="162" t="n">
        <v>204.071217</v>
      </c>
      <c r="G49" s="162" t="n">
        <v>211.829916</v>
      </c>
      <c r="H49" s="162" t="n">
        <v>218.520775</v>
      </c>
      <c r="I49" s="162" t="n">
        <v>225.146554</v>
      </c>
      <c r="J49" s="162" t="n">
        <v>228.096936</v>
      </c>
      <c r="K49" s="162" t="n">
        <v>228.50704</v>
      </c>
      <c r="L49" s="162" t="n">
        <v>230.21879</v>
      </c>
      <c r="M49" s="162" t="n">
        <v>234.79736</v>
      </c>
      <c r="N49" s="162" t="n">
        <v>234.243888</v>
      </c>
      <c r="O49" s="162" t="n">
        <v>238.522329</v>
      </c>
      <c r="P49" s="162" t="n">
        <v>243.200633</v>
      </c>
      <c r="Q49" s="162" t="n">
        <v>245.920552</v>
      </c>
      <c r="R49" s="162" t="n">
        <v>246.727453</v>
      </c>
      <c r="S49" s="162" t="n">
        <v>248.683895</v>
      </c>
      <c r="T49" s="162" t="n">
        <v>250.644665</v>
      </c>
      <c r="U49" s="162" t="n">
        <v>253.901689</v>
      </c>
      <c r="V49" s="162" t="n">
        <v>258.663773</v>
      </c>
      <c r="W49" s="162" t="n">
        <v>255.364762</v>
      </c>
    </row>
    <row r="50" customFormat="false" ht="14.5" hidden="false" customHeight="false" outlineLevel="0" collapsed="false">
      <c r="A50" s="1" t="s">
        <v>194</v>
      </c>
      <c r="B50" s="159" t="s">
        <v>195</v>
      </c>
      <c r="C50" s="162" t="n">
        <v>209.588158</v>
      </c>
      <c r="D50" s="162" t="n">
        <v>208.524891</v>
      </c>
      <c r="E50" s="162" t="n">
        <v>210.816509</v>
      </c>
      <c r="F50" s="162" t="n">
        <v>212.732999</v>
      </c>
      <c r="G50" s="162" t="n">
        <v>217.172141</v>
      </c>
      <c r="H50" s="162" t="n">
        <v>224.640277</v>
      </c>
      <c r="I50" s="162" t="n">
        <v>233.861132</v>
      </c>
      <c r="J50" s="162" t="n">
        <v>242.279824</v>
      </c>
      <c r="K50" s="162" t="n">
        <v>246.59454</v>
      </c>
      <c r="L50" s="162" t="n">
        <v>228.912692</v>
      </c>
      <c r="M50" s="162" t="n">
        <v>237.928557</v>
      </c>
      <c r="N50" s="162" t="n">
        <v>246.169619</v>
      </c>
      <c r="O50" s="162" t="n">
        <v>245.926755</v>
      </c>
      <c r="P50" s="162" t="n">
        <v>246.89798</v>
      </c>
      <c r="Q50" s="162" t="n">
        <v>250.22551</v>
      </c>
      <c r="R50" s="162" t="n">
        <v>254.548956</v>
      </c>
      <c r="S50" s="162" t="n">
        <v>261.285006</v>
      </c>
      <c r="T50" s="162" t="n">
        <v>274.961071</v>
      </c>
      <c r="U50" s="162" t="n">
        <v>284.708953</v>
      </c>
      <c r="V50" s="162" t="n">
        <v>292.6495</v>
      </c>
      <c r="W50" s="162" t="n">
        <v>274.46176</v>
      </c>
    </row>
    <row r="51" customFormat="false" ht="14.5" hidden="false" customHeight="false" outlineLevel="0" collapsed="false">
      <c r="A51" s="1" t="s">
        <v>196</v>
      </c>
      <c r="B51" s="159" t="s">
        <v>197</v>
      </c>
      <c r="C51" s="162" t="n">
        <v>69.865483</v>
      </c>
      <c r="D51" s="162" t="n">
        <v>69.079358</v>
      </c>
      <c r="E51" s="162" t="n">
        <v>72.161818</v>
      </c>
      <c r="F51" s="162" t="n">
        <v>75.704162</v>
      </c>
      <c r="G51" s="162" t="n">
        <v>78.42636</v>
      </c>
      <c r="H51" s="162" t="n">
        <v>81.717325</v>
      </c>
      <c r="I51" s="162" t="n">
        <v>87.155295</v>
      </c>
      <c r="J51" s="162" t="n">
        <v>90.310184</v>
      </c>
      <c r="K51" s="162" t="n">
        <v>92.020143</v>
      </c>
      <c r="L51" s="162" t="n">
        <v>87.376951</v>
      </c>
      <c r="M51" s="162" t="n">
        <v>92.349597</v>
      </c>
      <c r="N51" s="162" t="n">
        <v>95.639998</v>
      </c>
      <c r="O51" s="162" t="n">
        <v>97.611407</v>
      </c>
      <c r="P51" s="162" t="n">
        <v>98.985678</v>
      </c>
      <c r="Q51" s="162" t="n">
        <v>100.608776</v>
      </c>
      <c r="R51" s="162" t="n">
        <v>102.374822</v>
      </c>
      <c r="S51" s="162" t="n">
        <v>105.076504</v>
      </c>
      <c r="T51" s="162" t="n">
        <v>110.178216</v>
      </c>
      <c r="U51" s="162" t="n">
        <v>114.41453</v>
      </c>
      <c r="V51" s="162" t="n">
        <v>118.260933</v>
      </c>
      <c r="W51" s="162" t="n">
        <v>112.490301</v>
      </c>
    </row>
    <row r="52" customFormat="false" ht="14.5" hidden="false" customHeight="false" outlineLevel="0" collapsed="false">
      <c r="A52" s="1" t="s">
        <v>198</v>
      </c>
      <c r="B52" s="159" t="s">
        <v>199</v>
      </c>
      <c r="C52" s="162" t="n">
        <v>27.413891</v>
      </c>
      <c r="D52" s="162" t="n">
        <v>26.476153</v>
      </c>
      <c r="E52" s="162" t="n">
        <v>27.087041</v>
      </c>
      <c r="F52" s="162" t="n">
        <v>26.676573</v>
      </c>
      <c r="G52" s="162" t="n">
        <v>26.896057</v>
      </c>
      <c r="H52" s="162" t="n">
        <v>26.565214</v>
      </c>
      <c r="I52" s="162" t="n">
        <v>26.985468</v>
      </c>
      <c r="J52" s="162" t="n">
        <v>27.64117</v>
      </c>
      <c r="K52" s="162" t="n">
        <v>29.067184</v>
      </c>
      <c r="L52" s="162" t="n">
        <v>29.596569</v>
      </c>
      <c r="M52" s="162" t="n">
        <v>30.390977</v>
      </c>
      <c r="N52" s="162" t="n">
        <v>31.111065</v>
      </c>
      <c r="O52" s="162" t="n">
        <v>31.905929</v>
      </c>
      <c r="P52" s="162" t="n">
        <v>32.930802</v>
      </c>
      <c r="Q52" s="162" t="n">
        <v>33.550325</v>
      </c>
      <c r="R52" s="162" t="n">
        <v>33.455739</v>
      </c>
      <c r="S52" s="162" t="n">
        <v>33.362495</v>
      </c>
      <c r="T52" s="162" t="n">
        <v>35.352969</v>
      </c>
      <c r="U52" s="162" t="n">
        <v>35.547234</v>
      </c>
      <c r="V52" s="162" t="n">
        <v>36.015592</v>
      </c>
      <c r="W52" s="162" t="n">
        <v>35.794106</v>
      </c>
    </row>
    <row r="53" customFormat="false" ht="14.5" hidden="false" customHeight="false" outlineLevel="0" collapsed="false">
      <c r="A53" s="1" t="s">
        <v>200</v>
      </c>
      <c r="B53" s="159" t="s">
        <v>201</v>
      </c>
      <c r="C53" s="162" t="n">
        <v>10.73372</v>
      </c>
      <c r="D53" s="162" t="n">
        <v>10.706769</v>
      </c>
      <c r="E53" s="162" t="n">
        <v>11.292026</v>
      </c>
      <c r="F53" s="162" t="n">
        <v>10.709196</v>
      </c>
      <c r="G53" s="162" t="n">
        <v>11.259017</v>
      </c>
      <c r="H53" s="162" t="n">
        <v>11.983407</v>
      </c>
      <c r="I53" s="162" t="n">
        <v>12.145347</v>
      </c>
      <c r="J53" s="162" t="n">
        <v>12.519088</v>
      </c>
      <c r="K53" s="162" t="n">
        <v>12.700179</v>
      </c>
      <c r="L53" s="162" t="n">
        <v>12.485498</v>
      </c>
      <c r="M53" s="162" t="n">
        <v>13.040074</v>
      </c>
      <c r="N53" s="162" t="n">
        <v>13.938494</v>
      </c>
      <c r="O53" s="162" t="n">
        <v>14.510355</v>
      </c>
      <c r="P53" s="162" t="n">
        <v>14.326101</v>
      </c>
      <c r="Q53" s="162" t="n">
        <v>14.585618</v>
      </c>
      <c r="R53" s="162" t="n">
        <v>14.890879</v>
      </c>
      <c r="S53" s="162" t="n">
        <v>14.951174</v>
      </c>
      <c r="T53" s="162" t="n">
        <v>15.388038</v>
      </c>
      <c r="U53" s="162" t="n">
        <v>15.743113</v>
      </c>
      <c r="V53" s="162" t="n">
        <v>16.322865</v>
      </c>
      <c r="W53" s="162" t="n">
        <v>16.311185</v>
      </c>
    </row>
    <row r="54" customFormat="false" ht="14.5" hidden="false" customHeight="false" outlineLevel="0" collapsed="false">
      <c r="A54" s="1" t="s">
        <v>202</v>
      </c>
      <c r="B54" s="159" t="s">
        <v>203</v>
      </c>
      <c r="C54" s="162" t="n">
        <v>103.006795</v>
      </c>
      <c r="D54" s="162" t="n">
        <v>103.789891</v>
      </c>
      <c r="E54" s="162" t="n">
        <v>101.415895</v>
      </c>
      <c r="F54" s="162" t="n">
        <v>100.942015</v>
      </c>
      <c r="G54" s="162" t="n">
        <v>101.748911</v>
      </c>
      <c r="H54" s="162" t="n">
        <v>105.558716</v>
      </c>
      <c r="I54" s="162" t="n">
        <v>108.780387</v>
      </c>
      <c r="J54" s="162" t="n">
        <v>113.118298</v>
      </c>
      <c r="K54" s="162" t="n">
        <v>114.033905</v>
      </c>
      <c r="L54" s="162" t="n">
        <v>99.930391</v>
      </c>
      <c r="M54" s="162" t="n">
        <v>102.496095</v>
      </c>
      <c r="N54" s="162" t="n">
        <v>105.78235</v>
      </c>
      <c r="O54" s="162" t="n">
        <v>101.932438</v>
      </c>
      <c r="P54" s="162" t="n">
        <v>100.661902</v>
      </c>
      <c r="Q54" s="162" t="n">
        <v>101.480791</v>
      </c>
      <c r="R54" s="162" t="n">
        <v>103.827516</v>
      </c>
      <c r="S54" s="162" t="n">
        <v>107.887181</v>
      </c>
      <c r="T54" s="162" t="n">
        <v>114.034493</v>
      </c>
      <c r="U54" s="162" t="n">
        <v>119.003781</v>
      </c>
      <c r="V54" s="162" t="n">
        <v>122.048527</v>
      </c>
      <c r="W54" s="162" t="n">
        <v>109.878233</v>
      </c>
    </row>
    <row r="55" customFormat="false" ht="14.5" hidden="false" customHeight="false" outlineLevel="0" collapsed="false">
      <c r="A55" s="1" t="s">
        <v>204</v>
      </c>
      <c r="B55" s="159" t="s">
        <v>205</v>
      </c>
      <c r="C55" s="162" t="n">
        <v>47.3494</v>
      </c>
      <c r="D55" s="162" t="n">
        <v>49.062909</v>
      </c>
      <c r="E55" s="162" t="n">
        <v>50.262763</v>
      </c>
      <c r="F55" s="162" t="n">
        <v>51.79764</v>
      </c>
      <c r="G55" s="162" t="n">
        <v>52.844029</v>
      </c>
      <c r="H55" s="162" t="n">
        <v>53.579525</v>
      </c>
      <c r="I55" s="162" t="n">
        <v>55.184276</v>
      </c>
      <c r="J55" s="162" t="n">
        <v>56.284261</v>
      </c>
      <c r="K55" s="162" t="n">
        <v>58.073079</v>
      </c>
      <c r="L55" s="162" t="n">
        <v>57.844971</v>
      </c>
      <c r="M55" s="162" t="n">
        <v>59.524766</v>
      </c>
      <c r="N55" s="162" t="n">
        <v>58.590951</v>
      </c>
      <c r="O55" s="162" t="n">
        <v>58.430746</v>
      </c>
      <c r="P55" s="162" t="n">
        <v>58.376354</v>
      </c>
      <c r="Q55" s="162" t="n">
        <v>58.260749</v>
      </c>
      <c r="R55" s="162" t="n">
        <v>57.640808</v>
      </c>
      <c r="S55" s="162" t="n">
        <v>57.707044</v>
      </c>
      <c r="T55" s="162" t="n">
        <v>58.586411</v>
      </c>
      <c r="U55" s="162" t="n">
        <v>59.62024</v>
      </c>
      <c r="V55" s="162" t="n">
        <v>61.001089</v>
      </c>
      <c r="W55" s="162" t="n">
        <v>47.149341</v>
      </c>
    </row>
    <row r="56" customFormat="false" ht="14.5" hidden="false" customHeight="false" outlineLevel="0" collapsed="false">
      <c r="A56" s="1" t="s">
        <v>206</v>
      </c>
      <c r="B56" s="159" t="s">
        <v>207</v>
      </c>
      <c r="C56" s="162" t="n">
        <v>18.263514</v>
      </c>
      <c r="D56" s="162" t="n">
        <v>19.841491</v>
      </c>
      <c r="E56" s="162" t="n">
        <v>21.669107</v>
      </c>
      <c r="F56" s="162" t="n">
        <v>22.937189</v>
      </c>
      <c r="G56" s="162" t="n">
        <v>22.858195</v>
      </c>
      <c r="H56" s="162" t="n">
        <v>23.350496</v>
      </c>
      <c r="I56" s="162" t="n">
        <v>24.103405</v>
      </c>
      <c r="J56" s="162" t="n">
        <v>24.564737</v>
      </c>
      <c r="K56" s="162" t="n">
        <v>25.603322</v>
      </c>
      <c r="L56" s="162" t="n">
        <v>25.858514</v>
      </c>
      <c r="M56" s="162" t="n">
        <v>26.642338</v>
      </c>
      <c r="N56" s="162" t="n">
        <v>26.556215</v>
      </c>
      <c r="O56" s="162" t="n">
        <v>26.344842</v>
      </c>
      <c r="P56" s="162" t="n">
        <v>26.826383</v>
      </c>
      <c r="Q56" s="162" t="n">
        <v>27.182729</v>
      </c>
      <c r="R56" s="162" t="n">
        <v>27.423155</v>
      </c>
      <c r="S56" s="162" t="n">
        <v>27.614006</v>
      </c>
      <c r="T56" s="162" t="n">
        <v>28.34408</v>
      </c>
      <c r="U56" s="162" t="n">
        <v>29.583916</v>
      </c>
      <c r="V56" s="162" t="n">
        <v>30.76833</v>
      </c>
      <c r="W56" s="162" t="n">
        <v>20.89597</v>
      </c>
    </row>
    <row r="57" customFormat="false" ht="14.5" hidden="false" customHeight="false" outlineLevel="0" collapsed="false">
      <c r="A57" s="1" t="s">
        <v>208</v>
      </c>
      <c r="B57" s="159" t="s">
        <v>209</v>
      </c>
      <c r="C57" s="162" t="n">
        <v>25.364768</v>
      </c>
      <c r="D57" s="162" t="n">
        <v>25.493661</v>
      </c>
      <c r="E57" s="162" t="n">
        <v>24.713368</v>
      </c>
      <c r="F57" s="162" t="n">
        <v>24.844025</v>
      </c>
      <c r="G57" s="162" t="n">
        <v>25.827387</v>
      </c>
      <c r="H57" s="162" t="n">
        <v>26.132899</v>
      </c>
      <c r="I57" s="162" t="n">
        <v>27.004312</v>
      </c>
      <c r="J57" s="162" t="n">
        <v>27.64751</v>
      </c>
      <c r="K57" s="162" t="n">
        <v>28.280309</v>
      </c>
      <c r="L57" s="162" t="n">
        <v>27.827314</v>
      </c>
      <c r="M57" s="162" t="n">
        <v>28.713319</v>
      </c>
      <c r="N57" s="162" t="n">
        <v>27.987737</v>
      </c>
      <c r="O57" s="162" t="n">
        <v>28.181689</v>
      </c>
      <c r="P57" s="162" t="n">
        <v>27.832937</v>
      </c>
      <c r="Q57" s="162" t="n">
        <v>27.475021</v>
      </c>
      <c r="R57" s="162" t="n">
        <v>26.703653</v>
      </c>
      <c r="S57" s="162" t="n">
        <v>26.529759</v>
      </c>
      <c r="T57" s="162" t="n">
        <v>26.690853</v>
      </c>
      <c r="U57" s="162" t="n">
        <v>26.593794</v>
      </c>
      <c r="V57" s="162" t="n">
        <v>26.782655</v>
      </c>
      <c r="W57" s="162" t="n">
        <v>23.416933</v>
      </c>
    </row>
    <row r="58" customFormat="false" ht="14.5" hidden="false" customHeight="false" outlineLevel="0" collapsed="false">
      <c r="A58" s="1" t="s">
        <v>210</v>
      </c>
      <c r="B58" s="159" t="s">
        <v>211</v>
      </c>
      <c r="C58" s="162" t="n">
        <v>3.536213</v>
      </c>
      <c r="D58" s="162" t="n">
        <v>3.574057</v>
      </c>
      <c r="E58" s="162" t="n">
        <v>3.788844</v>
      </c>
      <c r="F58" s="162" t="n">
        <v>3.964997</v>
      </c>
      <c r="G58" s="162" t="n">
        <v>4.050351</v>
      </c>
      <c r="H58" s="162" t="n">
        <v>4.016543</v>
      </c>
      <c r="I58" s="162" t="n">
        <v>4.024541</v>
      </c>
      <c r="J58" s="162" t="n">
        <v>4.035024</v>
      </c>
      <c r="K58" s="162" t="n">
        <v>4.159493</v>
      </c>
      <c r="L58" s="162" t="n">
        <v>4.142021</v>
      </c>
      <c r="M58" s="162" t="n">
        <v>4.15554</v>
      </c>
      <c r="N58" s="162" t="n">
        <v>4.039934</v>
      </c>
      <c r="O58" s="162" t="n">
        <v>3.90144</v>
      </c>
      <c r="P58" s="162" t="n">
        <v>3.718022</v>
      </c>
      <c r="Q58" s="162" t="n">
        <v>3.603</v>
      </c>
      <c r="R58" s="162" t="n">
        <v>3.514</v>
      </c>
      <c r="S58" s="162" t="n">
        <v>3.565647</v>
      </c>
      <c r="T58" s="162" t="n">
        <v>3.554029</v>
      </c>
      <c r="U58" s="162" t="n">
        <v>3.433143</v>
      </c>
      <c r="V58" s="162" t="n">
        <v>3.365355</v>
      </c>
      <c r="W58" s="162" t="n">
        <v>2.894708</v>
      </c>
    </row>
    <row r="59" customFormat="false" ht="14.5" hidden="false" customHeight="false" outlineLevel="0" collapsed="false">
      <c r="A59" s="1" t="s">
        <v>212</v>
      </c>
      <c r="B59" s="159" t="s">
        <v>213</v>
      </c>
      <c r="C59" s="162" t="n">
        <v>373.852233</v>
      </c>
      <c r="D59" s="162" t="n">
        <v>379.656517</v>
      </c>
      <c r="E59" s="162" t="n">
        <v>381.136773</v>
      </c>
      <c r="F59" s="162" t="n">
        <v>383.384388</v>
      </c>
      <c r="G59" s="162" t="n">
        <v>391.126118</v>
      </c>
      <c r="H59" s="162" t="n">
        <v>395.001955</v>
      </c>
      <c r="I59" s="162" t="n">
        <v>401.389854</v>
      </c>
      <c r="J59" s="162" t="n">
        <v>405.453888</v>
      </c>
      <c r="K59" s="162" t="n">
        <v>409.798876</v>
      </c>
      <c r="L59" s="162" t="n">
        <v>415.250594</v>
      </c>
      <c r="M59" s="162" t="n">
        <v>419.03451</v>
      </c>
      <c r="N59" s="162" t="n">
        <v>424.838195</v>
      </c>
      <c r="O59" s="162" t="n">
        <v>430.798727</v>
      </c>
      <c r="P59" s="162" t="n">
        <v>435.388668</v>
      </c>
      <c r="Q59" s="162" t="n">
        <v>439.704974</v>
      </c>
      <c r="R59" s="162" t="n">
        <v>441.127141</v>
      </c>
      <c r="S59" s="162" t="n">
        <v>445.873257</v>
      </c>
      <c r="T59" s="162" t="n">
        <v>450.381359</v>
      </c>
      <c r="U59" s="162" t="n">
        <v>453.510622</v>
      </c>
      <c r="V59" s="162" t="n">
        <v>456.023778</v>
      </c>
      <c r="W59" s="162" t="n">
        <v>434.617763</v>
      </c>
    </row>
    <row r="60" customFormat="false" ht="14.5" hidden="false" customHeight="false" outlineLevel="0" collapsed="false">
      <c r="A60" s="1" t="s">
        <v>214</v>
      </c>
      <c r="B60" s="159" t="s">
        <v>215</v>
      </c>
      <c r="C60" s="162" t="n">
        <v>140.701752</v>
      </c>
      <c r="D60" s="162" t="n">
        <v>141.958236</v>
      </c>
      <c r="E60" s="162" t="n">
        <v>139.554482</v>
      </c>
      <c r="F60" s="162" t="n">
        <v>141.007749</v>
      </c>
      <c r="G60" s="162" t="n">
        <v>143.419872</v>
      </c>
      <c r="H60" s="162" t="n">
        <v>146.115793</v>
      </c>
      <c r="I60" s="162" t="n">
        <v>147.616066</v>
      </c>
      <c r="J60" s="162" t="n">
        <v>148.702191</v>
      </c>
      <c r="K60" s="162" t="n">
        <v>148.916079</v>
      </c>
      <c r="L60" s="162" t="n">
        <v>152.654229</v>
      </c>
      <c r="M60" s="162" t="n">
        <v>153.429832</v>
      </c>
      <c r="N60" s="162" t="n">
        <v>154.054009</v>
      </c>
      <c r="O60" s="162" t="n">
        <v>155.710864</v>
      </c>
      <c r="P60" s="162" t="n">
        <v>157.272521</v>
      </c>
      <c r="Q60" s="162" t="n">
        <v>158.179</v>
      </c>
      <c r="R60" s="162" t="n">
        <v>157.380333</v>
      </c>
      <c r="S60" s="162" t="n">
        <v>157.607644</v>
      </c>
      <c r="T60" s="162" t="n">
        <v>157.853395</v>
      </c>
      <c r="U60" s="162" t="n">
        <v>159.499843</v>
      </c>
      <c r="V60" s="162" t="n">
        <v>161.571984</v>
      </c>
      <c r="W60" s="162" t="n">
        <v>158.695736</v>
      </c>
    </row>
    <row r="61" customFormat="false" ht="14.5" hidden="false" customHeight="false" outlineLevel="0" collapsed="false">
      <c r="A61" s="1" t="s">
        <v>216</v>
      </c>
      <c r="B61" s="159" t="s">
        <v>217</v>
      </c>
      <c r="C61" s="162" t="n">
        <v>102.597251</v>
      </c>
      <c r="D61" s="162" t="n">
        <v>103.536886</v>
      </c>
      <c r="E61" s="162" t="n">
        <v>102.037848</v>
      </c>
      <c r="F61" s="162" t="n">
        <v>102.329721</v>
      </c>
      <c r="G61" s="162" t="n">
        <v>103.315622</v>
      </c>
      <c r="H61" s="162" t="n">
        <v>102.704002</v>
      </c>
      <c r="I61" s="162" t="n">
        <v>102.036215</v>
      </c>
      <c r="J61" s="162" t="n">
        <v>103.078901</v>
      </c>
      <c r="K61" s="162" t="n">
        <v>102.208138</v>
      </c>
      <c r="L61" s="162" t="n">
        <v>100.686631</v>
      </c>
      <c r="M61" s="162" t="n">
        <v>100.518596</v>
      </c>
      <c r="N61" s="162" t="n">
        <v>101.136051</v>
      </c>
      <c r="O61" s="162" t="n">
        <v>102.444561</v>
      </c>
      <c r="P61" s="162" t="n">
        <v>102.858095</v>
      </c>
      <c r="Q61" s="162" t="n">
        <v>103.454358</v>
      </c>
      <c r="R61" s="162" t="n">
        <v>103.977374</v>
      </c>
      <c r="S61" s="162" t="n">
        <v>105.42508</v>
      </c>
      <c r="T61" s="162" t="n">
        <v>106.494408</v>
      </c>
      <c r="U61" s="162" t="n">
        <v>107.645666</v>
      </c>
      <c r="V61" s="162" t="n">
        <v>107.508837</v>
      </c>
      <c r="W61" s="162" t="n">
        <v>99.508637</v>
      </c>
    </row>
    <row r="62" customFormat="false" ht="14.5" hidden="false" customHeight="false" outlineLevel="0" collapsed="false">
      <c r="A62" s="1" t="s">
        <v>218</v>
      </c>
      <c r="B62" s="159" t="s">
        <v>219</v>
      </c>
      <c r="C62" s="162" t="n">
        <v>84.547805</v>
      </c>
      <c r="D62" s="162" t="n">
        <v>86.992638</v>
      </c>
      <c r="E62" s="162" t="n">
        <v>89.372179</v>
      </c>
      <c r="F62" s="162" t="n">
        <v>89.155618</v>
      </c>
      <c r="G62" s="162" t="n">
        <v>91.941986</v>
      </c>
      <c r="H62" s="162" t="n">
        <v>93.429441</v>
      </c>
      <c r="I62" s="162" t="n">
        <v>94.226689</v>
      </c>
      <c r="J62" s="162" t="n">
        <v>96.137834</v>
      </c>
      <c r="K62" s="162" t="n">
        <v>99.803068</v>
      </c>
      <c r="L62" s="162" t="n">
        <v>101.921138</v>
      </c>
      <c r="M62" s="162" t="n">
        <v>103.870937</v>
      </c>
      <c r="N62" s="162" t="n">
        <v>107.019245</v>
      </c>
      <c r="O62" s="162" t="n">
        <v>109.129424</v>
      </c>
      <c r="P62" s="162" t="n">
        <v>111.096658</v>
      </c>
      <c r="Q62" s="162" t="n">
        <v>113.346187</v>
      </c>
      <c r="R62" s="162" t="n">
        <v>115.411078</v>
      </c>
      <c r="S62" s="162" t="n">
        <v>118.476882</v>
      </c>
      <c r="T62" s="162" t="n">
        <v>120.700522</v>
      </c>
      <c r="U62" s="162" t="n">
        <v>121.164116</v>
      </c>
      <c r="V62" s="162" t="n">
        <v>121.557746</v>
      </c>
      <c r="W62" s="162" t="n">
        <v>113.086945</v>
      </c>
    </row>
    <row r="63" customFormat="false" ht="14.5" hidden="false" customHeight="false" outlineLevel="0" collapsed="false">
      <c r="A63" s="1" t="s">
        <v>220</v>
      </c>
      <c r="B63" s="159" t="s">
        <v>221</v>
      </c>
      <c r="C63" s="162" t="n">
        <v>46.33799</v>
      </c>
      <c r="D63" s="162" t="n">
        <v>47.500639</v>
      </c>
      <c r="E63" s="162" t="n">
        <v>50.694277</v>
      </c>
      <c r="F63" s="162" t="n">
        <v>51.461514</v>
      </c>
      <c r="G63" s="162" t="n">
        <v>52.978431</v>
      </c>
      <c r="H63" s="162" t="n">
        <v>53.048422</v>
      </c>
      <c r="I63" s="162" t="n">
        <v>58.030081</v>
      </c>
      <c r="J63" s="162" t="n">
        <v>57.931693</v>
      </c>
      <c r="K63" s="162" t="n">
        <v>59.019248</v>
      </c>
      <c r="L63" s="162" t="n">
        <v>60.033958</v>
      </c>
      <c r="M63" s="162" t="n">
        <v>61.246789</v>
      </c>
      <c r="N63" s="162" t="n">
        <v>62.638601</v>
      </c>
      <c r="O63" s="162" t="n">
        <v>63.518252</v>
      </c>
      <c r="P63" s="162" t="n">
        <v>64.16162</v>
      </c>
      <c r="Q63" s="162" t="n">
        <v>64.725429</v>
      </c>
      <c r="R63" s="162" t="n">
        <v>64.358356</v>
      </c>
      <c r="S63" s="162" t="n">
        <v>64.365116</v>
      </c>
      <c r="T63" s="162" t="n">
        <v>65.329175</v>
      </c>
      <c r="U63" s="162" t="n">
        <v>65.193813</v>
      </c>
      <c r="V63" s="162" t="n">
        <v>65.391183</v>
      </c>
      <c r="W63" s="162" t="n">
        <v>63.348976</v>
      </c>
    </row>
    <row r="64" customFormat="false" ht="14.5" hidden="false" customHeight="false" outlineLevel="0" collapsed="false">
      <c r="A64" s="1" t="s">
        <v>85</v>
      </c>
      <c r="B64" s="159" t="s">
        <v>222</v>
      </c>
      <c r="C64" s="162" t="n">
        <v>1621.24485</v>
      </c>
      <c r="D64" s="162" t="n">
        <v>1653.422257</v>
      </c>
      <c r="E64" s="162" t="n">
        <v>1671.850476</v>
      </c>
      <c r="F64" s="162" t="n">
        <v>1683.765773</v>
      </c>
      <c r="G64" s="162" t="n">
        <v>1734.797684</v>
      </c>
      <c r="H64" s="162" t="n">
        <v>1760.517107</v>
      </c>
      <c r="I64" s="162" t="n">
        <v>1804.131248</v>
      </c>
      <c r="J64" s="162" t="n">
        <v>1850.186553</v>
      </c>
      <c r="K64" s="162" t="n">
        <v>1859.701021</v>
      </c>
      <c r="L64" s="162" t="n">
        <v>1810.886527</v>
      </c>
      <c r="M64" s="162" t="n">
        <v>1842.424463</v>
      </c>
      <c r="N64" s="162" t="n">
        <v>1883.669227</v>
      </c>
      <c r="O64" s="162" t="n">
        <v>1894.309037</v>
      </c>
      <c r="P64" s="162" t="n">
        <v>1906.042506</v>
      </c>
      <c r="Q64" s="162" t="n">
        <v>1927.230012</v>
      </c>
      <c r="R64" s="162" t="n">
        <v>1944.632926</v>
      </c>
      <c r="S64" s="162" t="n">
        <v>1963.460903</v>
      </c>
      <c r="T64" s="162" t="n">
        <v>2006.178239</v>
      </c>
      <c r="U64" s="162" t="n">
        <v>2043.984681</v>
      </c>
      <c r="V64" s="162" t="n">
        <v>2082.657815</v>
      </c>
      <c r="W64" s="162" t="n">
        <v>1915.592242</v>
      </c>
    </row>
    <row r="65" customFormat="false" ht="14.5" hidden="false" customHeight="false" outlineLevel="0" collapsed="false">
      <c r="B65" s="159" t="s">
        <v>223</v>
      </c>
    </row>
    <row r="66" customFormat="false" ht="14.5" hidden="false" customHeight="false" outlineLevel="0" collapsed="false">
      <c r="B66" s="159"/>
    </row>
    <row r="67" customFormat="false" ht="14.5" hidden="false" customHeight="false" outlineLevel="0" collapsed="false">
      <c r="B67" s="159" t="s">
        <v>224</v>
      </c>
    </row>
    <row r="69" customFormat="false" ht="14.5" hidden="false" customHeight="false" outlineLevel="0" collapsed="false">
      <c r="A69" s="160" t="s">
        <v>225</v>
      </c>
    </row>
    <row r="70" customFormat="false" ht="13.8" hidden="false" customHeight="false" outlineLevel="0" collapsed="false">
      <c r="C70" s="161" t="n">
        <v>2000</v>
      </c>
      <c r="D70" s="161" t="n">
        <v>2001</v>
      </c>
      <c r="E70" s="161" t="n">
        <v>2002</v>
      </c>
      <c r="F70" s="161" t="n">
        <v>2003</v>
      </c>
      <c r="G70" s="161" t="n">
        <v>2004</v>
      </c>
      <c r="H70" s="161" t="n">
        <v>2005</v>
      </c>
      <c r="I70" s="161" t="n">
        <v>2006</v>
      </c>
      <c r="J70" s="161" t="n">
        <v>2007</v>
      </c>
      <c r="K70" s="161" t="n">
        <v>2008</v>
      </c>
      <c r="L70" s="161" t="n">
        <v>2009</v>
      </c>
      <c r="M70" s="161" t="n">
        <v>2010</v>
      </c>
      <c r="N70" s="161" t="n">
        <v>2011</v>
      </c>
      <c r="O70" s="161" t="n">
        <v>2012</v>
      </c>
      <c r="P70" s="161" t="n">
        <v>2013</v>
      </c>
      <c r="Q70" s="161" t="n">
        <v>2014</v>
      </c>
      <c r="R70" s="161" t="n">
        <v>2015</v>
      </c>
      <c r="S70" s="161" t="n">
        <v>2016</v>
      </c>
      <c r="T70" s="161" t="n">
        <v>2017</v>
      </c>
      <c r="U70" s="161" t="n">
        <v>2018</v>
      </c>
      <c r="V70" s="161" t="n">
        <v>2019</v>
      </c>
      <c r="W70" s="161" t="n">
        <v>2020</v>
      </c>
    </row>
    <row r="71" customFormat="false" ht="14.5" hidden="false" customHeight="false" outlineLevel="0" collapsed="false">
      <c r="A71" s="1" t="s">
        <v>226</v>
      </c>
      <c r="B71" s="159" t="s">
        <v>130</v>
      </c>
      <c r="C71" s="162" t="n">
        <v>29.390118</v>
      </c>
      <c r="D71" s="162" t="n">
        <v>28.546222</v>
      </c>
      <c r="E71" s="162" t="n">
        <v>30.172536</v>
      </c>
      <c r="F71" s="162" t="n">
        <v>25.571261</v>
      </c>
      <c r="G71" s="162" t="n">
        <v>31.018731</v>
      </c>
      <c r="H71" s="162" t="n">
        <v>29.214993</v>
      </c>
      <c r="I71" s="162" t="n">
        <v>29.275862</v>
      </c>
      <c r="J71" s="162" t="n">
        <v>29.047318</v>
      </c>
      <c r="K71" s="162" t="n">
        <v>30.347298</v>
      </c>
      <c r="L71" s="162" t="n">
        <v>32.326986</v>
      </c>
      <c r="M71" s="162" t="n">
        <v>31.228867</v>
      </c>
      <c r="N71" s="162" t="n">
        <v>32.475356</v>
      </c>
      <c r="O71" s="162" t="n">
        <v>29.742454</v>
      </c>
      <c r="P71" s="162" t="n">
        <v>29.169098</v>
      </c>
      <c r="Q71" s="162" t="n">
        <v>33.458134</v>
      </c>
      <c r="R71" s="162" t="n">
        <v>33.504586</v>
      </c>
      <c r="S71" s="162" t="n">
        <v>29.362692</v>
      </c>
      <c r="T71" s="162" t="n">
        <v>31.780947</v>
      </c>
      <c r="U71" s="162" t="n">
        <v>33.024823</v>
      </c>
      <c r="V71" s="162" t="n">
        <v>32.262165</v>
      </c>
      <c r="W71" s="1" t="n">
        <v>30.2</v>
      </c>
    </row>
    <row r="72" customFormat="false" ht="14.5" hidden="false" customHeight="false" outlineLevel="0" collapsed="false">
      <c r="A72" s="1" t="s">
        <v>227</v>
      </c>
      <c r="B72" s="159" t="s">
        <v>228</v>
      </c>
      <c r="C72" s="162" t="n">
        <v>25.332662</v>
      </c>
      <c r="D72" s="162" t="n">
        <v>24.233354</v>
      </c>
      <c r="E72" s="162" t="n">
        <v>25.989148</v>
      </c>
      <c r="F72" s="162" t="n">
        <v>22.037272</v>
      </c>
      <c r="G72" s="162" t="n">
        <v>27.11316</v>
      </c>
      <c r="H72" s="162" t="n">
        <v>25.422479</v>
      </c>
      <c r="I72" s="162" t="n">
        <v>25.582253</v>
      </c>
      <c r="J72" s="162" t="n">
        <v>25.291296</v>
      </c>
      <c r="K72" s="162" t="n">
        <v>26.879682</v>
      </c>
      <c r="L72" s="162" t="n">
        <v>29.099206</v>
      </c>
      <c r="M72" s="162" t="n">
        <v>27.887472</v>
      </c>
      <c r="N72" s="162" t="n">
        <v>29.022329</v>
      </c>
      <c r="O72" s="162" t="n">
        <v>26.337358</v>
      </c>
      <c r="P72" s="162" t="n">
        <v>25.699657</v>
      </c>
      <c r="Q72" s="162" t="n">
        <v>29.690876</v>
      </c>
      <c r="R72" s="162" t="n">
        <v>29.699066</v>
      </c>
      <c r="S72" s="162" t="n">
        <v>25.727701</v>
      </c>
      <c r="T72" s="162" t="n">
        <v>28.138798</v>
      </c>
      <c r="U72" s="162" t="n">
        <v>29.374352</v>
      </c>
      <c r="V72" s="162" t="n">
        <v>28.680539</v>
      </c>
      <c r="W72" s="1" t="n">
        <v>26.8</v>
      </c>
    </row>
    <row r="73" customFormat="false" ht="14.5" hidden="false" customHeight="false" outlineLevel="0" collapsed="false">
      <c r="A73" s="1" t="s">
        <v>229</v>
      </c>
      <c r="B73" s="159" t="s">
        <v>230</v>
      </c>
      <c r="C73" s="162" t="n">
        <v>3.509197</v>
      </c>
      <c r="D73" s="162" t="n">
        <v>4.134375</v>
      </c>
      <c r="E73" s="162" t="n">
        <v>3.799848</v>
      </c>
      <c r="F73" s="162" t="n">
        <v>2.921548</v>
      </c>
      <c r="G73" s="162" t="n">
        <v>3.151885</v>
      </c>
      <c r="H73" s="162" t="n">
        <v>3.136343</v>
      </c>
      <c r="I73" s="162" t="n">
        <v>3.00214</v>
      </c>
      <c r="J73" s="162" t="n">
        <v>3.096264</v>
      </c>
      <c r="K73" s="162" t="n">
        <v>2.844674</v>
      </c>
      <c r="L73" s="162" t="n">
        <v>2.539885</v>
      </c>
      <c r="M73" s="162" t="n">
        <v>2.68727</v>
      </c>
      <c r="N73" s="162" t="n">
        <v>2.809616</v>
      </c>
      <c r="O73" s="162" t="n">
        <v>2.76636</v>
      </c>
      <c r="P73" s="162" t="n">
        <v>2.888541</v>
      </c>
      <c r="Q73" s="162" t="n">
        <v>3.066333</v>
      </c>
      <c r="R73" s="162" t="n">
        <v>3.159314</v>
      </c>
      <c r="S73" s="162" t="n">
        <v>2.986751</v>
      </c>
      <c r="T73" s="162" t="n">
        <v>2.907082</v>
      </c>
      <c r="U73" s="162" t="n">
        <v>2.927881</v>
      </c>
      <c r="V73" s="162" t="n">
        <v>2.851589</v>
      </c>
      <c r="W73" s="1" t="n">
        <v>2.8</v>
      </c>
    </row>
    <row r="74" customFormat="false" ht="14.5" hidden="false" customHeight="false" outlineLevel="0" collapsed="false">
      <c r="A74" s="1" t="s">
        <v>231</v>
      </c>
      <c r="B74" s="159" t="s">
        <v>232</v>
      </c>
      <c r="C74" s="162" t="n">
        <v>0.830827</v>
      </c>
      <c r="D74" s="162" t="n">
        <v>0.810414</v>
      </c>
      <c r="E74" s="162" t="n">
        <v>0.794047</v>
      </c>
      <c r="F74" s="162" t="n">
        <v>0.818175</v>
      </c>
      <c r="G74" s="162" t="n">
        <v>0.795803</v>
      </c>
      <c r="H74" s="162" t="n">
        <v>0.765837</v>
      </c>
      <c r="I74" s="162" t="n">
        <v>0.74345</v>
      </c>
      <c r="J74" s="162" t="n">
        <v>0.732883</v>
      </c>
      <c r="K74" s="162" t="n">
        <v>0.631002</v>
      </c>
      <c r="L74" s="162" t="n">
        <v>0.634313</v>
      </c>
      <c r="M74" s="162" t="n">
        <v>0.623486</v>
      </c>
      <c r="N74" s="162" t="n">
        <v>0.617115</v>
      </c>
      <c r="O74" s="162" t="n">
        <v>0.634048</v>
      </c>
      <c r="P74" s="162" t="n">
        <v>0.640427</v>
      </c>
      <c r="Q74" s="162" t="n">
        <v>0.700925</v>
      </c>
      <c r="R74" s="162" t="n">
        <v>0.646206</v>
      </c>
      <c r="S74" s="162" t="n">
        <v>0.643567</v>
      </c>
      <c r="T74" s="162" t="n">
        <v>0.707515</v>
      </c>
      <c r="U74" s="162" t="n">
        <v>0.688588</v>
      </c>
      <c r="V74" s="162" t="n">
        <v>0.697403</v>
      </c>
      <c r="W74" s="1" t="n">
        <v>0.6</v>
      </c>
    </row>
    <row r="75" customFormat="false" ht="14.5" hidden="false" customHeight="false" outlineLevel="0" collapsed="false">
      <c r="A75" s="1" t="s">
        <v>135</v>
      </c>
      <c r="B75" s="159" t="s">
        <v>233</v>
      </c>
      <c r="C75" s="162" t="n">
        <v>4.538647</v>
      </c>
      <c r="D75" s="162" t="n">
        <v>4.013586</v>
      </c>
      <c r="E75" s="162" t="n">
        <v>3.793368</v>
      </c>
      <c r="F75" s="162" t="n">
        <v>3.394623</v>
      </c>
      <c r="G75" s="162" t="n">
        <v>3.18141</v>
      </c>
      <c r="H75" s="162" t="n">
        <v>2.921717</v>
      </c>
      <c r="I75" s="162" t="n">
        <v>3.087004</v>
      </c>
      <c r="J75" s="162" t="n">
        <v>3.152703</v>
      </c>
      <c r="K75" s="162" t="n">
        <v>2.929125</v>
      </c>
      <c r="L75" s="162" t="n">
        <v>2.658496</v>
      </c>
      <c r="M75" s="162" t="n">
        <v>2.578846</v>
      </c>
      <c r="N75" s="162" t="n">
        <v>2.563989</v>
      </c>
      <c r="O75" s="162" t="n">
        <v>2.415788</v>
      </c>
      <c r="P75" s="162" t="n">
        <v>2.19126</v>
      </c>
      <c r="Q75" s="162" t="n">
        <v>2.184023</v>
      </c>
      <c r="R75" s="162" t="n">
        <v>2.049087</v>
      </c>
      <c r="S75" s="162" t="n">
        <v>1.974689</v>
      </c>
      <c r="T75" s="162" t="n">
        <v>2.000931</v>
      </c>
      <c r="U75" s="162" t="n">
        <v>2.000888</v>
      </c>
      <c r="V75" s="162" t="n">
        <v>1.982031</v>
      </c>
      <c r="W75" s="1" t="n">
        <v>1.7</v>
      </c>
    </row>
    <row r="76" customFormat="false" ht="14.5" hidden="false" customHeight="false" outlineLevel="0" collapsed="false">
      <c r="A76" s="1" t="s">
        <v>234</v>
      </c>
      <c r="B76" s="159" t="s">
        <v>235</v>
      </c>
      <c r="C76" s="162" t="n">
        <v>0</v>
      </c>
      <c r="D76" s="162" t="n">
        <v>0</v>
      </c>
      <c r="E76" s="162" t="n">
        <v>0</v>
      </c>
      <c r="F76" s="162" t="n">
        <v>0</v>
      </c>
      <c r="G76" s="162" t="n">
        <v>0</v>
      </c>
      <c r="H76" s="162" t="n">
        <v>0</v>
      </c>
      <c r="I76" s="162" t="n">
        <v>0</v>
      </c>
      <c r="J76" s="162" t="n">
        <v>0</v>
      </c>
      <c r="K76" s="162" t="n">
        <v>0</v>
      </c>
      <c r="L76" s="162" t="n">
        <v>0</v>
      </c>
      <c r="M76" s="162" t="n">
        <v>0</v>
      </c>
      <c r="N76" s="162" t="n">
        <v>0</v>
      </c>
      <c r="O76" s="162" t="n">
        <v>0</v>
      </c>
      <c r="P76" s="162" t="n">
        <v>0</v>
      </c>
      <c r="Q76" s="162" t="n">
        <v>0</v>
      </c>
      <c r="R76" s="162" t="n">
        <v>0</v>
      </c>
      <c r="S76" s="162" t="n">
        <v>0</v>
      </c>
      <c r="T76" s="162" t="n">
        <v>0</v>
      </c>
      <c r="U76" s="162" t="n">
        <v>0</v>
      </c>
      <c r="V76" s="162" t="n">
        <v>0</v>
      </c>
      <c r="W76" s="1" t="n">
        <v>0</v>
      </c>
    </row>
    <row r="77" customFormat="false" ht="14.5" hidden="false" customHeight="false" outlineLevel="0" collapsed="false">
      <c r="A77" s="1" t="s">
        <v>236</v>
      </c>
      <c r="B77" s="159" t="s">
        <v>237</v>
      </c>
      <c r="C77" s="162" t="n">
        <v>0.555595</v>
      </c>
      <c r="D77" s="162" t="n">
        <v>0.456267</v>
      </c>
      <c r="E77" s="162" t="n">
        <v>0.505049</v>
      </c>
      <c r="F77" s="162" t="n">
        <v>0.41455</v>
      </c>
      <c r="G77" s="162" t="n">
        <v>0.377308</v>
      </c>
      <c r="H77" s="162" t="n">
        <v>0.374563</v>
      </c>
      <c r="I77" s="162" t="n">
        <v>0.422005</v>
      </c>
      <c r="J77" s="162" t="n">
        <v>0.397892</v>
      </c>
      <c r="K77" s="162" t="n">
        <v>0.362136</v>
      </c>
      <c r="L77" s="162" t="n">
        <v>0.325146</v>
      </c>
      <c r="M77" s="162" t="n">
        <v>0.312897</v>
      </c>
      <c r="N77" s="162" t="n">
        <v>0.268392</v>
      </c>
      <c r="O77" s="162" t="n">
        <v>0.263655</v>
      </c>
      <c r="P77" s="162" t="n">
        <v>0.195563</v>
      </c>
      <c r="Q77" s="162" t="n">
        <v>0.296414</v>
      </c>
      <c r="R77" s="162" t="n">
        <v>0.358</v>
      </c>
      <c r="S77" s="162" t="n">
        <v>0.332675</v>
      </c>
      <c r="T77" s="162" t="n">
        <v>0.240948</v>
      </c>
      <c r="U77" s="162" t="n">
        <v>0.222546</v>
      </c>
      <c r="V77" s="162" t="n">
        <v>0.198401</v>
      </c>
      <c r="W77" s="1" t="n">
        <v>0.2</v>
      </c>
    </row>
    <row r="78" customFormat="false" ht="14.5" hidden="false" customHeight="false" outlineLevel="0" collapsed="false">
      <c r="A78" s="1" t="s">
        <v>238</v>
      </c>
      <c r="B78" s="159" t="s">
        <v>239</v>
      </c>
      <c r="C78" s="162" t="n">
        <v>0</v>
      </c>
      <c r="D78" s="162" t="n">
        <v>0</v>
      </c>
      <c r="E78" s="162" t="n">
        <v>0</v>
      </c>
      <c r="F78" s="162" t="n">
        <v>0</v>
      </c>
      <c r="G78" s="162" t="n">
        <v>0</v>
      </c>
      <c r="H78" s="162" t="n">
        <v>0</v>
      </c>
      <c r="I78" s="162" t="n">
        <v>0</v>
      </c>
      <c r="J78" s="162" t="n">
        <v>0</v>
      </c>
      <c r="K78" s="162" t="n">
        <v>0</v>
      </c>
      <c r="L78" s="162" t="n">
        <v>0</v>
      </c>
      <c r="M78" s="162" t="n">
        <v>0</v>
      </c>
      <c r="N78" s="162" t="n">
        <v>0</v>
      </c>
      <c r="O78" s="162" t="n">
        <v>0</v>
      </c>
      <c r="P78" s="162" t="n">
        <v>0</v>
      </c>
      <c r="Q78" s="162" t="n">
        <v>0</v>
      </c>
      <c r="R78" s="162" t="n">
        <v>0</v>
      </c>
      <c r="S78" s="162" t="n">
        <v>0</v>
      </c>
      <c r="T78" s="162" t="n">
        <v>0</v>
      </c>
      <c r="U78" s="162" t="n">
        <v>0</v>
      </c>
      <c r="V78" s="162" t="n">
        <v>0</v>
      </c>
      <c r="W78" s="1" t="n">
        <v>0</v>
      </c>
    </row>
    <row r="79" customFormat="false" ht="14.5" hidden="false" customHeight="false" outlineLevel="0" collapsed="false">
      <c r="A79" s="1" t="s">
        <v>240</v>
      </c>
      <c r="B79" s="159" t="s">
        <v>241</v>
      </c>
      <c r="C79" s="162" t="n">
        <v>3.512945</v>
      </c>
      <c r="D79" s="162" t="n">
        <v>3.196167</v>
      </c>
      <c r="E79" s="162" t="n">
        <v>2.968559</v>
      </c>
      <c r="F79" s="162" t="n">
        <v>2.763689</v>
      </c>
      <c r="G79" s="162" t="n">
        <v>2.645175</v>
      </c>
      <c r="H79" s="162" t="n">
        <v>2.449201</v>
      </c>
      <c r="I79" s="162" t="n">
        <v>2.599285</v>
      </c>
      <c r="J79" s="162" t="n">
        <v>2.685946</v>
      </c>
      <c r="K79" s="162" t="n">
        <v>2.515811</v>
      </c>
      <c r="L79" s="162" t="n">
        <v>2.245047</v>
      </c>
      <c r="M79" s="162" t="n">
        <v>2.215073</v>
      </c>
      <c r="N79" s="162" t="n">
        <v>2.263269</v>
      </c>
      <c r="O79" s="162" t="n">
        <v>2.092689</v>
      </c>
      <c r="P79" s="162" t="n">
        <v>1.941474</v>
      </c>
      <c r="Q79" s="162" t="n">
        <v>1.721052</v>
      </c>
      <c r="R79" s="162" t="n">
        <v>1.588753</v>
      </c>
      <c r="S79" s="162" t="n">
        <v>1.500747</v>
      </c>
      <c r="T79" s="162" t="n">
        <v>1.566808</v>
      </c>
      <c r="U79" s="162" t="n">
        <v>1.558064</v>
      </c>
      <c r="V79" s="162" t="n">
        <v>1.581384</v>
      </c>
      <c r="W79" s="1" t="n">
        <v>1.4</v>
      </c>
    </row>
    <row r="80" customFormat="false" ht="14.5" hidden="false" customHeight="false" outlineLevel="0" collapsed="false">
      <c r="A80" s="1" t="s">
        <v>242</v>
      </c>
      <c r="B80" s="159" t="s">
        <v>243</v>
      </c>
      <c r="C80" s="162" t="n">
        <v>0.067122</v>
      </c>
      <c r="D80" s="162" t="n">
        <v>0.066432</v>
      </c>
      <c r="E80" s="162" t="n">
        <v>0.067303</v>
      </c>
      <c r="F80" s="162" t="n">
        <v>0.059939</v>
      </c>
      <c r="G80" s="162" t="n">
        <v>0.047255</v>
      </c>
      <c r="H80" s="162" t="n">
        <v>0.045259</v>
      </c>
      <c r="I80" s="162" t="n">
        <v>0.040484</v>
      </c>
      <c r="J80" s="162" t="n">
        <v>0.042545</v>
      </c>
      <c r="K80" s="162" t="n">
        <v>0.051661</v>
      </c>
      <c r="L80" s="162" t="n">
        <v>0.062207</v>
      </c>
      <c r="M80" s="162" t="n">
        <v>0.04764</v>
      </c>
      <c r="N80" s="162" t="n">
        <v>0.036968</v>
      </c>
      <c r="O80" s="162" t="n">
        <v>0.037991</v>
      </c>
      <c r="P80" s="162" t="n">
        <v>0.042</v>
      </c>
      <c r="Q80" s="162" t="n">
        <v>0.13</v>
      </c>
      <c r="R80" s="162" t="n">
        <v>0.069</v>
      </c>
      <c r="S80" s="162" t="n">
        <v>0.098</v>
      </c>
      <c r="T80" s="162" t="n">
        <v>0.128409</v>
      </c>
      <c r="U80" s="162" t="n">
        <v>0.151128</v>
      </c>
      <c r="V80" s="162" t="n">
        <v>0.131422</v>
      </c>
      <c r="W80" s="1" t="n">
        <v>0.1</v>
      </c>
    </row>
    <row r="81" customFormat="false" ht="14.5" hidden="false" customHeight="false" outlineLevel="0" collapsed="false">
      <c r="A81" s="1" t="s">
        <v>244</v>
      </c>
      <c r="B81" s="159" t="s">
        <v>245</v>
      </c>
      <c r="C81" s="162" t="n">
        <v>37.851342</v>
      </c>
      <c r="D81" s="162" t="n">
        <v>36.603383</v>
      </c>
      <c r="E81" s="162" t="n">
        <v>37.547612</v>
      </c>
      <c r="F81" s="162" t="n">
        <v>39.651257</v>
      </c>
      <c r="G81" s="162" t="n">
        <v>40.609595</v>
      </c>
      <c r="H81" s="162" t="n">
        <v>40.848894</v>
      </c>
      <c r="I81" s="162" t="n">
        <v>40.817717</v>
      </c>
      <c r="J81" s="162" t="n">
        <v>41.448941</v>
      </c>
      <c r="K81" s="162" t="n">
        <v>37.907621</v>
      </c>
      <c r="L81" s="162" t="n">
        <v>38.774316</v>
      </c>
      <c r="M81" s="162" t="n">
        <v>40.455102</v>
      </c>
      <c r="N81" s="162" t="n">
        <v>42.097633</v>
      </c>
      <c r="O81" s="162" t="n">
        <v>41.755278</v>
      </c>
      <c r="P81" s="162" t="n">
        <v>41.636981</v>
      </c>
      <c r="Q81" s="162" t="n">
        <v>42.8258</v>
      </c>
      <c r="R81" s="162" t="n">
        <v>43.507951</v>
      </c>
      <c r="S81" s="162" t="n">
        <v>44.673572</v>
      </c>
      <c r="T81" s="162" t="n">
        <v>45.48521</v>
      </c>
      <c r="U81" s="162" t="n">
        <v>45.279348</v>
      </c>
      <c r="V81" s="162" t="n">
        <v>45.598266</v>
      </c>
      <c r="W81" s="1" t="n">
        <v>43.4</v>
      </c>
    </row>
    <row r="82" customFormat="false" ht="14.5" hidden="false" customHeight="false" outlineLevel="0" collapsed="false">
      <c r="A82" s="1" t="s">
        <v>246</v>
      </c>
      <c r="B82" s="159" t="s">
        <v>247</v>
      </c>
      <c r="C82" s="162" t="n">
        <v>29.762303</v>
      </c>
      <c r="D82" s="162" t="n">
        <v>28.586917</v>
      </c>
      <c r="E82" s="162" t="n">
        <v>29.570686</v>
      </c>
      <c r="F82" s="162" t="n">
        <v>30.995165</v>
      </c>
      <c r="G82" s="162" t="n">
        <v>32.130209</v>
      </c>
      <c r="H82" s="162" t="n">
        <v>32.371514</v>
      </c>
      <c r="I82" s="162" t="n">
        <v>32.609328</v>
      </c>
      <c r="J82" s="162" t="n">
        <v>33.444873</v>
      </c>
      <c r="K82" s="162" t="n">
        <v>30.406323</v>
      </c>
      <c r="L82" s="162" t="n">
        <v>31.703175</v>
      </c>
      <c r="M82" s="162" t="n">
        <v>33.854795</v>
      </c>
      <c r="N82" s="162" t="n">
        <v>35.227919</v>
      </c>
      <c r="O82" s="162" t="n">
        <v>34.936716</v>
      </c>
      <c r="P82" s="162" t="n">
        <v>35.388181</v>
      </c>
      <c r="Q82" s="162" t="n">
        <v>37.039306</v>
      </c>
      <c r="R82" s="162" t="n">
        <v>37.530867</v>
      </c>
      <c r="S82" s="162" t="n">
        <v>38.768967</v>
      </c>
      <c r="T82" s="162" t="n">
        <v>39.296081</v>
      </c>
      <c r="U82" s="162" t="n">
        <v>39.249041</v>
      </c>
      <c r="V82" s="162" t="n">
        <v>39.644911</v>
      </c>
      <c r="W82" s="1" t="n">
        <v>37.5</v>
      </c>
    </row>
    <row r="83" customFormat="false" ht="14.5" hidden="false" customHeight="false" outlineLevel="0" collapsed="false">
      <c r="A83" s="1" t="s">
        <v>248</v>
      </c>
      <c r="B83" s="159" t="s">
        <v>249</v>
      </c>
      <c r="C83" s="162" t="n">
        <v>7.82209</v>
      </c>
      <c r="D83" s="162" t="n">
        <v>7.813994</v>
      </c>
      <c r="E83" s="162" t="n">
        <v>7.704564</v>
      </c>
      <c r="F83" s="162" t="n">
        <v>8.547857</v>
      </c>
      <c r="G83" s="162" t="n">
        <v>8.299034</v>
      </c>
      <c r="H83" s="162" t="n">
        <v>8.246316</v>
      </c>
      <c r="I83" s="162" t="n">
        <v>7.678032</v>
      </c>
      <c r="J83" s="162" t="n">
        <v>7.649325</v>
      </c>
      <c r="K83" s="162" t="n">
        <v>7.474412</v>
      </c>
      <c r="L83" s="162" t="n">
        <v>6.491889</v>
      </c>
      <c r="M83" s="162" t="n">
        <v>5.962878</v>
      </c>
      <c r="N83" s="162" t="n">
        <v>6.310807</v>
      </c>
      <c r="O83" s="162" t="n">
        <v>6.268959</v>
      </c>
      <c r="P83" s="162" t="n">
        <v>5.819938</v>
      </c>
      <c r="Q83" s="162" t="n">
        <v>5.489566</v>
      </c>
      <c r="R83" s="162" t="n">
        <v>5.804711</v>
      </c>
      <c r="S83" s="162" t="n">
        <v>5.734388</v>
      </c>
      <c r="T83" s="162" t="n">
        <v>6.034335</v>
      </c>
      <c r="U83" s="162" t="n">
        <v>5.933888</v>
      </c>
      <c r="V83" s="162" t="n">
        <v>5.875897</v>
      </c>
      <c r="W83" s="1" t="n">
        <v>5.7</v>
      </c>
    </row>
    <row r="84" customFormat="false" ht="14.5" hidden="false" customHeight="false" outlineLevel="0" collapsed="false">
      <c r="A84" s="1" t="s">
        <v>250</v>
      </c>
      <c r="B84" s="159" t="s">
        <v>251</v>
      </c>
      <c r="C84" s="162" t="n">
        <v>2.271993</v>
      </c>
      <c r="D84" s="162" t="n">
        <v>2.34413</v>
      </c>
      <c r="E84" s="162" t="n">
        <v>2.11955</v>
      </c>
      <c r="F84" s="162" t="n">
        <v>2.282305</v>
      </c>
      <c r="G84" s="162" t="n">
        <v>1.960887</v>
      </c>
      <c r="H84" s="162" t="n">
        <v>1.988705</v>
      </c>
      <c r="I84" s="162" t="n">
        <v>2.115439</v>
      </c>
      <c r="J84" s="162" t="n">
        <v>1.389236</v>
      </c>
      <c r="K84" s="162" t="n">
        <v>1.047825</v>
      </c>
      <c r="L84" s="162" t="n">
        <v>1.195406</v>
      </c>
      <c r="M84" s="162" t="n">
        <v>0.94346</v>
      </c>
      <c r="N84" s="162" t="n">
        <v>0.827093</v>
      </c>
      <c r="O84" s="162" t="n">
        <v>0.813973</v>
      </c>
      <c r="P84" s="162" t="n">
        <v>0.545571</v>
      </c>
      <c r="Q84" s="162" t="n">
        <v>0.296928</v>
      </c>
      <c r="R84" s="162" t="n">
        <v>0.172372</v>
      </c>
      <c r="S84" s="162" t="n">
        <v>0.181458</v>
      </c>
      <c r="T84" s="162" t="n">
        <v>0.152367</v>
      </c>
      <c r="U84" s="162" t="n">
        <v>0.082466</v>
      </c>
      <c r="V84" s="162" t="n">
        <v>0.069059</v>
      </c>
      <c r="W84" s="1" t="n">
        <v>0.1</v>
      </c>
    </row>
    <row r="85" customFormat="false" ht="14.5" hidden="false" customHeight="false" outlineLevel="0" collapsed="false">
      <c r="A85" s="1" t="s">
        <v>157</v>
      </c>
      <c r="B85" s="159" t="s">
        <v>252</v>
      </c>
      <c r="C85" s="162" t="n">
        <v>7.728758</v>
      </c>
      <c r="D85" s="162" t="n">
        <v>7.916379</v>
      </c>
      <c r="E85" s="162" t="n">
        <v>7.619526</v>
      </c>
      <c r="F85" s="162" t="n">
        <v>7.281395</v>
      </c>
      <c r="G85" s="162" t="n">
        <v>6.916942</v>
      </c>
      <c r="H85" s="162" t="n">
        <v>6.615924</v>
      </c>
      <c r="I85" s="162" t="n">
        <v>6.377637</v>
      </c>
      <c r="J85" s="162" t="n">
        <v>6.609352</v>
      </c>
      <c r="K85" s="162" t="n">
        <v>6.356783</v>
      </c>
      <c r="L85" s="162" t="n">
        <v>5.200119</v>
      </c>
      <c r="M85" s="162" t="n">
        <v>5.022257</v>
      </c>
      <c r="N85" s="162" t="n">
        <v>5.720687</v>
      </c>
      <c r="O85" s="162" t="n">
        <v>5.784852</v>
      </c>
      <c r="P85" s="162" t="n">
        <v>5.466527</v>
      </c>
      <c r="Q85" s="162" t="n">
        <v>5.047781</v>
      </c>
      <c r="R85" s="162" t="n">
        <v>5.269618</v>
      </c>
      <c r="S85" s="162" t="n">
        <v>5.234043</v>
      </c>
      <c r="T85" s="162" t="n">
        <v>5.420154</v>
      </c>
      <c r="U85" s="162" t="n">
        <v>5.710988</v>
      </c>
      <c r="V85" s="162" t="n">
        <v>5.739443</v>
      </c>
      <c r="W85" s="1" t="n">
        <v>5.1</v>
      </c>
    </row>
    <row r="86" customFormat="false" ht="14.5" hidden="false" customHeight="false" outlineLevel="0" collapsed="false">
      <c r="A86" s="1" t="s">
        <v>253</v>
      </c>
      <c r="B86" s="159" t="s">
        <v>254</v>
      </c>
      <c r="C86" s="162" t="n">
        <v>2.895736</v>
      </c>
      <c r="D86" s="162" t="n">
        <v>2.866029</v>
      </c>
      <c r="E86" s="162" t="n">
        <v>2.676929</v>
      </c>
      <c r="F86" s="162" t="n">
        <v>2.554944</v>
      </c>
      <c r="G86" s="162" t="n">
        <v>2.388154</v>
      </c>
      <c r="H86" s="162" t="n">
        <v>2.343437</v>
      </c>
      <c r="I86" s="162" t="n">
        <v>2.331898</v>
      </c>
      <c r="J86" s="162" t="n">
        <v>2.357946</v>
      </c>
      <c r="K86" s="162" t="n">
        <v>2.26085</v>
      </c>
      <c r="L86" s="162" t="n">
        <v>1.933324</v>
      </c>
      <c r="M86" s="162" t="n">
        <v>1.901301</v>
      </c>
      <c r="N86" s="162" t="n">
        <v>2.115737</v>
      </c>
      <c r="O86" s="162" t="n">
        <v>2.075867</v>
      </c>
      <c r="P86" s="162" t="n">
        <v>2.038535</v>
      </c>
      <c r="Q86" s="162" t="n">
        <v>1.870245</v>
      </c>
      <c r="R86" s="162" t="n">
        <v>1.862665</v>
      </c>
      <c r="S86" s="162" t="n">
        <v>1.814314</v>
      </c>
      <c r="T86" s="162" t="n">
        <v>1.833494</v>
      </c>
      <c r="U86" s="162" t="n">
        <v>1.748877</v>
      </c>
      <c r="V86" s="162" t="n">
        <v>1.624173</v>
      </c>
      <c r="W86" s="1" t="n">
        <v>1.4</v>
      </c>
    </row>
    <row r="87" customFormat="false" ht="14.5" hidden="false" customHeight="false" outlineLevel="0" collapsed="false">
      <c r="A87" s="1" t="s">
        <v>255</v>
      </c>
      <c r="B87" s="159" t="s">
        <v>256</v>
      </c>
      <c r="C87" s="162" t="n">
        <v>2.301258</v>
      </c>
      <c r="D87" s="162" t="n">
        <v>2.477239</v>
      </c>
      <c r="E87" s="162" t="n">
        <v>2.583308</v>
      </c>
      <c r="F87" s="162" t="n">
        <v>2.514329</v>
      </c>
      <c r="G87" s="162" t="n">
        <v>2.629126</v>
      </c>
      <c r="H87" s="162" t="n">
        <v>2.404145</v>
      </c>
      <c r="I87" s="162" t="n">
        <v>2.216551</v>
      </c>
      <c r="J87" s="162" t="n">
        <v>2.3678</v>
      </c>
      <c r="K87" s="162" t="n">
        <v>2.257955</v>
      </c>
      <c r="L87" s="162" t="n">
        <v>1.761794</v>
      </c>
      <c r="M87" s="162" t="n">
        <v>1.646184</v>
      </c>
      <c r="N87" s="162" t="n">
        <v>1.939314</v>
      </c>
      <c r="O87" s="162" t="n">
        <v>1.934043</v>
      </c>
      <c r="P87" s="162" t="n">
        <v>1.833836</v>
      </c>
      <c r="Q87" s="162" t="n">
        <v>1.776935</v>
      </c>
      <c r="R87" s="162" t="n">
        <v>1.963543</v>
      </c>
      <c r="S87" s="162" t="n">
        <v>2.068827</v>
      </c>
      <c r="T87" s="162" t="n">
        <v>2.151932</v>
      </c>
      <c r="U87" s="162" t="n">
        <v>2.455907</v>
      </c>
      <c r="V87" s="162" t="n">
        <v>2.488897</v>
      </c>
      <c r="W87" s="1" t="n">
        <v>2.3</v>
      </c>
    </row>
    <row r="88" customFormat="false" ht="14.5" hidden="false" customHeight="false" outlineLevel="0" collapsed="false">
      <c r="A88" s="1" t="s">
        <v>257</v>
      </c>
      <c r="B88" s="159" t="s">
        <v>258</v>
      </c>
      <c r="C88" s="162" t="n">
        <v>3.00987</v>
      </c>
      <c r="D88" s="162" t="n">
        <v>3.042189</v>
      </c>
      <c r="E88" s="162" t="n">
        <v>2.64247</v>
      </c>
      <c r="F88" s="162" t="n">
        <v>2.425561</v>
      </c>
      <c r="G88" s="162" t="n">
        <v>1.853581</v>
      </c>
      <c r="H88" s="162" t="n">
        <v>1.869425</v>
      </c>
      <c r="I88" s="162" t="n">
        <v>1.838354</v>
      </c>
      <c r="J88" s="162" t="n">
        <v>1.88922</v>
      </c>
      <c r="K88" s="162" t="n">
        <v>1.864028</v>
      </c>
      <c r="L88" s="162" t="n">
        <v>1.510692</v>
      </c>
      <c r="M88" s="162" t="n">
        <v>1.489358</v>
      </c>
      <c r="N88" s="162" t="n">
        <v>1.680128</v>
      </c>
      <c r="O88" s="162" t="n">
        <v>1.80543</v>
      </c>
      <c r="P88" s="162" t="n">
        <v>1.606786</v>
      </c>
      <c r="Q88" s="162" t="n">
        <v>1.400602</v>
      </c>
      <c r="R88" s="162" t="n">
        <v>1.44341</v>
      </c>
      <c r="S88" s="162" t="n">
        <v>1.367811</v>
      </c>
      <c r="T88" s="162" t="n">
        <v>1.451091</v>
      </c>
      <c r="U88" s="162" t="n">
        <v>1.564495</v>
      </c>
      <c r="V88" s="162" t="n">
        <v>1.682739</v>
      </c>
      <c r="W88" s="1" t="n">
        <v>1.4</v>
      </c>
    </row>
    <row r="89" customFormat="false" ht="14.5" hidden="false" customHeight="false" outlineLevel="0" collapsed="false">
      <c r="A89" s="1" t="s">
        <v>159</v>
      </c>
      <c r="B89" s="159" t="s">
        <v>259</v>
      </c>
      <c r="C89" s="162" t="n">
        <v>9.75552</v>
      </c>
      <c r="D89" s="162" t="n">
        <v>10.23267</v>
      </c>
      <c r="E89" s="162" t="n">
        <v>10.209158</v>
      </c>
      <c r="F89" s="162" t="n">
        <v>10.472488</v>
      </c>
      <c r="G89" s="162" t="n">
        <v>10.47326</v>
      </c>
      <c r="H89" s="162" t="n">
        <v>10.245185</v>
      </c>
      <c r="I89" s="162" t="n">
        <v>9.993489</v>
      </c>
      <c r="J89" s="162" t="n">
        <v>10.054644</v>
      </c>
      <c r="K89" s="162" t="n">
        <v>10.362041</v>
      </c>
      <c r="L89" s="162" t="n">
        <v>10.315694</v>
      </c>
      <c r="M89" s="162" t="n">
        <v>10.129296</v>
      </c>
      <c r="N89" s="162" t="n">
        <v>10.804295</v>
      </c>
      <c r="O89" s="162" t="n">
        <v>10.891468</v>
      </c>
      <c r="P89" s="162" t="n">
        <v>10.932872</v>
      </c>
      <c r="Q89" s="162" t="n">
        <v>11.156261</v>
      </c>
      <c r="R89" s="162" t="n">
        <v>10.876778</v>
      </c>
      <c r="S89" s="162" t="n">
        <v>10.965141</v>
      </c>
      <c r="T89" s="162" t="n">
        <v>11.110309</v>
      </c>
      <c r="U89" s="162" t="n">
        <v>10.568101</v>
      </c>
      <c r="V89" s="162" t="n">
        <v>10.878606</v>
      </c>
      <c r="W89" s="1" t="n">
        <v>10</v>
      </c>
    </row>
    <row r="90" customFormat="false" ht="14.5" hidden="false" customHeight="false" outlineLevel="0" collapsed="false">
      <c r="A90" s="164" t="s">
        <v>260</v>
      </c>
      <c r="B90" s="164" t="s">
        <v>261</v>
      </c>
      <c r="C90" s="162" t="n">
        <v>2.220303</v>
      </c>
      <c r="D90" s="162" t="n">
        <v>2.425839</v>
      </c>
      <c r="E90" s="162" t="n">
        <v>2.713772</v>
      </c>
      <c r="F90" s="162" t="n">
        <v>3.099322</v>
      </c>
      <c r="G90" s="162" t="n">
        <v>2.885233</v>
      </c>
      <c r="H90" s="162" t="n">
        <v>2.63501</v>
      </c>
      <c r="I90" s="162" t="n">
        <v>2.6723</v>
      </c>
      <c r="J90" s="162" t="n">
        <v>2.726439</v>
      </c>
      <c r="K90" s="162" t="n">
        <v>3.005082</v>
      </c>
      <c r="L90" s="162" t="n">
        <v>2.812558</v>
      </c>
      <c r="M90" s="162" t="n">
        <v>2.736486</v>
      </c>
      <c r="N90" s="162" t="n">
        <v>2.980625</v>
      </c>
      <c r="O90" s="162" t="n">
        <v>2.867721</v>
      </c>
      <c r="P90" s="162" t="n">
        <v>2.97068</v>
      </c>
      <c r="Q90" s="162" t="n">
        <v>2.90193</v>
      </c>
      <c r="R90" s="162" t="n">
        <v>2.744683</v>
      </c>
      <c r="S90" s="162" t="n">
        <v>2.841015</v>
      </c>
      <c r="T90" s="162" t="n">
        <v>2.959012</v>
      </c>
      <c r="U90" s="162" t="n">
        <v>2.684766</v>
      </c>
      <c r="V90" s="162" t="n">
        <v>2.773155</v>
      </c>
      <c r="W90" s="1" t="n">
        <v>2.5</v>
      </c>
    </row>
    <row r="91" customFormat="false" ht="14.5" hidden="false" customHeight="false" outlineLevel="0" collapsed="false">
      <c r="A91" s="164" t="s">
        <v>262</v>
      </c>
      <c r="B91" s="164" t="s">
        <v>263</v>
      </c>
      <c r="C91" s="162" t="n">
        <v>4.204739</v>
      </c>
      <c r="D91" s="162" t="n">
        <v>4.458429</v>
      </c>
      <c r="E91" s="162" t="n">
        <v>4.165064</v>
      </c>
      <c r="F91" s="162" t="n">
        <v>4.152467</v>
      </c>
      <c r="G91" s="162" t="n">
        <v>4.297651</v>
      </c>
      <c r="H91" s="162" t="n">
        <v>4.291515</v>
      </c>
      <c r="I91" s="162" t="n">
        <v>3.804352</v>
      </c>
      <c r="J91" s="162" t="n">
        <v>3.863838</v>
      </c>
      <c r="K91" s="162" t="n">
        <v>3.746957</v>
      </c>
      <c r="L91" s="162" t="n">
        <v>4.121345</v>
      </c>
      <c r="M91" s="162" t="n">
        <v>3.880445</v>
      </c>
      <c r="N91" s="162" t="n">
        <v>4.02997</v>
      </c>
      <c r="O91" s="162" t="n">
        <v>4.237513</v>
      </c>
      <c r="P91" s="162" t="n">
        <v>4.144737</v>
      </c>
      <c r="Q91" s="162" t="n">
        <v>4.223904</v>
      </c>
      <c r="R91" s="162" t="n">
        <v>4.290565</v>
      </c>
      <c r="S91" s="162" t="n">
        <v>4.270307</v>
      </c>
      <c r="T91" s="162" t="n">
        <v>4.279726</v>
      </c>
      <c r="U91" s="162" t="n">
        <v>3.997597</v>
      </c>
      <c r="V91" s="162" t="n">
        <v>4.143644</v>
      </c>
      <c r="W91" s="1" t="n">
        <v>4.1</v>
      </c>
    </row>
    <row r="92" customFormat="false" ht="14.5" hidden="false" customHeight="false" outlineLevel="0" collapsed="false">
      <c r="A92" s="164" t="s">
        <v>264</v>
      </c>
      <c r="B92" s="164" t="s">
        <v>265</v>
      </c>
      <c r="C92" s="162" t="n">
        <v>3.42815</v>
      </c>
      <c r="D92" s="162" t="n">
        <v>3.460522</v>
      </c>
      <c r="E92" s="162" t="n">
        <v>3.435936</v>
      </c>
      <c r="F92" s="162" t="n">
        <v>3.374696</v>
      </c>
      <c r="G92" s="162" t="n">
        <v>3.414514</v>
      </c>
      <c r="H92" s="162" t="n">
        <v>3.406364</v>
      </c>
      <c r="I92" s="162" t="n">
        <v>3.532984</v>
      </c>
      <c r="J92" s="162" t="n">
        <v>3.494648</v>
      </c>
      <c r="K92" s="162" t="n">
        <v>3.632647</v>
      </c>
      <c r="L92" s="162" t="n">
        <v>3.420472</v>
      </c>
      <c r="M92" s="162" t="n">
        <v>3.515713</v>
      </c>
      <c r="N92" s="162" t="n">
        <v>3.78794</v>
      </c>
      <c r="O92" s="162" t="n">
        <v>3.791456</v>
      </c>
      <c r="P92" s="162" t="n">
        <v>3.81314</v>
      </c>
      <c r="Q92" s="162" t="n">
        <v>4.030427</v>
      </c>
      <c r="R92" s="162" t="n">
        <v>3.84153</v>
      </c>
      <c r="S92" s="162" t="n">
        <v>3.849999</v>
      </c>
      <c r="T92" s="162" t="n">
        <v>3.866047</v>
      </c>
      <c r="U92" s="162" t="n">
        <v>3.891905</v>
      </c>
      <c r="V92" s="162" t="n">
        <v>3.960718</v>
      </c>
      <c r="W92" s="1" t="n">
        <v>3.4</v>
      </c>
    </row>
    <row r="93" customFormat="false" ht="14.5" hidden="false" customHeight="false" outlineLevel="0" collapsed="false">
      <c r="A93" s="1" t="s">
        <v>266</v>
      </c>
      <c r="B93" s="159" t="s">
        <v>267</v>
      </c>
      <c r="C93" s="162" t="n">
        <v>2.759281</v>
      </c>
      <c r="D93" s="162" t="n">
        <v>3.585187</v>
      </c>
      <c r="E93" s="162" t="n">
        <v>4.866608</v>
      </c>
      <c r="F93" s="162" t="n">
        <v>3.632693</v>
      </c>
      <c r="G93" s="162" t="n">
        <v>3.117984</v>
      </c>
      <c r="H93" s="162" t="n">
        <v>3.091331</v>
      </c>
      <c r="I93" s="162" t="n">
        <v>3.952697</v>
      </c>
      <c r="J93" s="162" t="n">
        <v>3.918776</v>
      </c>
      <c r="K93" s="162" t="n">
        <v>2.334962</v>
      </c>
      <c r="L93" s="162" t="n">
        <v>1.693401</v>
      </c>
      <c r="M93" s="162" t="n">
        <v>1.465033</v>
      </c>
      <c r="N93" s="162" t="n">
        <v>1.409505</v>
      </c>
      <c r="O93" s="162" t="n">
        <v>1.209752</v>
      </c>
      <c r="P93" s="162" t="n">
        <v>1.143271</v>
      </c>
      <c r="Q93" s="162" t="n">
        <v>2.258806</v>
      </c>
      <c r="R93" s="162" t="n">
        <v>2.453868</v>
      </c>
      <c r="S93" s="162" t="n">
        <v>2.659568</v>
      </c>
      <c r="T93" s="162" t="n">
        <v>2.615611</v>
      </c>
      <c r="U93" s="162" t="n">
        <v>3.11062</v>
      </c>
      <c r="V93" s="162" t="n">
        <v>3.037132</v>
      </c>
      <c r="W93" s="1" t="n">
        <v>3.9</v>
      </c>
    </row>
    <row r="94" customFormat="false" ht="14.5" hidden="false" customHeight="false" outlineLevel="0" collapsed="false">
      <c r="A94" s="1" t="s">
        <v>161</v>
      </c>
      <c r="B94" s="159" t="s">
        <v>268</v>
      </c>
      <c r="C94" s="162" t="n">
        <v>15.20151</v>
      </c>
      <c r="D94" s="162" t="n">
        <v>14.763462</v>
      </c>
      <c r="E94" s="162" t="n">
        <v>14.06606</v>
      </c>
      <c r="F94" s="162" t="n">
        <v>14.153542</v>
      </c>
      <c r="G94" s="162" t="n">
        <v>14.133512</v>
      </c>
      <c r="H94" s="162" t="n">
        <v>15.497234</v>
      </c>
      <c r="I94" s="162" t="n">
        <v>14.823026</v>
      </c>
      <c r="J94" s="162" t="n">
        <v>15.47382</v>
      </c>
      <c r="K94" s="162" t="n">
        <v>14.488583</v>
      </c>
      <c r="L94" s="162" t="n">
        <v>15.200738</v>
      </c>
      <c r="M94" s="162" t="n">
        <v>14.442673</v>
      </c>
      <c r="N94" s="162" t="n">
        <v>15.151478</v>
      </c>
      <c r="O94" s="162" t="n">
        <v>15.474825</v>
      </c>
      <c r="P94" s="162" t="n">
        <v>17.462278</v>
      </c>
      <c r="Q94" s="162" t="n">
        <v>18.203213</v>
      </c>
      <c r="R94" s="162" t="n">
        <v>18.339184</v>
      </c>
      <c r="S94" s="162" t="n">
        <v>19.159826</v>
      </c>
      <c r="T94" s="162" t="n">
        <v>20.07204</v>
      </c>
      <c r="U94" s="162" t="n">
        <v>19.723796</v>
      </c>
      <c r="V94" s="162" t="n">
        <v>20.784559</v>
      </c>
      <c r="W94" s="1" t="n">
        <v>20.2</v>
      </c>
    </row>
    <row r="95" customFormat="false" ht="14.5" hidden="false" customHeight="false" outlineLevel="0" collapsed="false">
      <c r="A95" s="1" t="s">
        <v>163</v>
      </c>
      <c r="B95" s="159" t="s">
        <v>269</v>
      </c>
      <c r="C95" s="162" t="n">
        <v>7.096375</v>
      </c>
      <c r="D95" s="162" t="n">
        <v>8.196974</v>
      </c>
      <c r="E95" s="162" t="n">
        <v>8.535506</v>
      </c>
      <c r="F95" s="162" t="n">
        <v>8.835744</v>
      </c>
      <c r="G95" s="162" t="n">
        <v>8.560719</v>
      </c>
      <c r="H95" s="162" t="n">
        <v>9.247018</v>
      </c>
      <c r="I95" s="162" t="n">
        <v>10.981588</v>
      </c>
      <c r="J95" s="162" t="n">
        <v>11.226612</v>
      </c>
      <c r="K95" s="162" t="n">
        <v>11.339972</v>
      </c>
      <c r="L95" s="162" t="n">
        <v>11.000344</v>
      </c>
      <c r="M95" s="162" t="n">
        <v>10.984916</v>
      </c>
      <c r="N95" s="162" t="n">
        <v>11.392872</v>
      </c>
      <c r="O95" s="162" t="n">
        <v>11.747849</v>
      </c>
      <c r="P95" s="162" t="n">
        <v>11.400753</v>
      </c>
      <c r="Q95" s="162" t="n">
        <v>11.517985</v>
      </c>
      <c r="R95" s="162" t="n">
        <v>12.272225</v>
      </c>
      <c r="S95" s="162" t="n">
        <v>12.81461</v>
      </c>
      <c r="T95" s="162" t="n">
        <v>13.152265</v>
      </c>
      <c r="U95" s="162" t="n">
        <v>13.967621</v>
      </c>
      <c r="V95" s="162" t="n">
        <v>14.940269</v>
      </c>
      <c r="W95" s="1" t="n">
        <v>15.1</v>
      </c>
    </row>
    <row r="96" customFormat="false" ht="14.5" hidden="false" customHeight="false" outlineLevel="0" collapsed="false">
      <c r="A96" s="1" t="s">
        <v>165</v>
      </c>
      <c r="B96" s="159" t="s">
        <v>270</v>
      </c>
      <c r="C96" s="162" t="n">
        <v>17.412953</v>
      </c>
      <c r="D96" s="162" t="n">
        <v>18.055399</v>
      </c>
      <c r="E96" s="162" t="n">
        <v>18.409974</v>
      </c>
      <c r="F96" s="162" t="n">
        <v>19.716029</v>
      </c>
      <c r="G96" s="162" t="n">
        <v>20.101071</v>
      </c>
      <c r="H96" s="162" t="n">
        <v>20.671483</v>
      </c>
      <c r="I96" s="162" t="n">
        <v>21.298949</v>
      </c>
      <c r="J96" s="162" t="n">
        <v>21.756567</v>
      </c>
      <c r="K96" s="162" t="n">
        <v>21.268037</v>
      </c>
      <c r="L96" s="162" t="n">
        <v>18.832214</v>
      </c>
      <c r="M96" s="162" t="n">
        <v>18.248799</v>
      </c>
      <c r="N96" s="162" t="n">
        <v>20.400644</v>
      </c>
      <c r="O96" s="162" t="n">
        <v>19.666102</v>
      </c>
      <c r="P96" s="162" t="n">
        <v>18.696278</v>
      </c>
      <c r="Q96" s="162" t="n">
        <v>18.523552</v>
      </c>
      <c r="R96" s="162" t="n">
        <v>18.82679</v>
      </c>
      <c r="S96" s="162" t="n">
        <v>18.676333</v>
      </c>
      <c r="T96" s="162" t="n">
        <v>18.876025</v>
      </c>
      <c r="U96" s="162" t="n">
        <v>19.778382</v>
      </c>
      <c r="V96" s="162" t="n">
        <v>19.812343</v>
      </c>
      <c r="W96" s="1" t="n">
        <v>17.6</v>
      </c>
    </row>
    <row r="97" customFormat="false" ht="14.5" hidden="false" customHeight="false" outlineLevel="0" collapsed="false">
      <c r="A97" s="165" t="s">
        <v>271</v>
      </c>
      <c r="B97" s="165" t="s">
        <v>272</v>
      </c>
      <c r="C97" s="162" t="n">
        <v>9.644626</v>
      </c>
      <c r="D97" s="162" t="n">
        <v>10.31295</v>
      </c>
      <c r="E97" s="162" t="n">
        <v>10.589752</v>
      </c>
      <c r="F97" s="162" t="n">
        <v>11.766668</v>
      </c>
      <c r="G97" s="162" t="n">
        <v>12.189597</v>
      </c>
      <c r="H97" s="162" t="n">
        <v>12.791534</v>
      </c>
      <c r="I97" s="162" t="n">
        <v>13.137658</v>
      </c>
      <c r="J97" s="162" t="n">
        <v>13.435532</v>
      </c>
      <c r="K97" s="162" t="n">
        <v>13.561536</v>
      </c>
      <c r="L97" s="162" t="n">
        <v>11.958853</v>
      </c>
      <c r="M97" s="162" t="n">
        <v>10.837251</v>
      </c>
      <c r="N97" s="162" t="n">
        <v>12.225529</v>
      </c>
      <c r="O97" s="162" t="n">
        <v>11.848004</v>
      </c>
      <c r="P97" s="162" t="n">
        <v>11.129168</v>
      </c>
      <c r="Q97" s="162" t="n">
        <v>10.78034</v>
      </c>
      <c r="R97" s="162" t="n">
        <v>10.803717</v>
      </c>
      <c r="S97" s="162" t="n">
        <v>10.584342</v>
      </c>
      <c r="T97" s="162" t="n">
        <v>10.601438</v>
      </c>
      <c r="U97" s="162" t="n">
        <v>11.501566</v>
      </c>
      <c r="V97" s="162" t="n">
        <v>11.448584</v>
      </c>
      <c r="W97" s="1" t="n">
        <v>10.1</v>
      </c>
    </row>
    <row r="98" customFormat="false" ht="14.5" hidden="false" customHeight="false" outlineLevel="0" collapsed="false">
      <c r="A98" s="169" t="s">
        <v>273</v>
      </c>
      <c r="B98" s="169" t="s">
        <v>274</v>
      </c>
      <c r="C98" s="162" t="n">
        <v>8.090308</v>
      </c>
      <c r="D98" s="162" t="n">
        <v>7.980012</v>
      </c>
      <c r="E98" s="162" t="n">
        <v>8.044519</v>
      </c>
      <c r="F98" s="162" t="n">
        <v>8.097228</v>
      </c>
      <c r="G98" s="162" t="n">
        <v>8.032248</v>
      </c>
      <c r="H98" s="162" t="n">
        <v>7.970259</v>
      </c>
      <c r="I98" s="162" t="n">
        <v>8.254819</v>
      </c>
      <c r="J98" s="162" t="n">
        <v>8.416677</v>
      </c>
      <c r="K98" s="162" t="n">
        <v>7.840287</v>
      </c>
      <c r="L98" s="162" t="n">
        <v>6.982471</v>
      </c>
      <c r="M98" s="162" t="n">
        <v>7.414941</v>
      </c>
      <c r="N98" s="162" t="n">
        <v>8.186167</v>
      </c>
      <c r="O98" s="162" t="n">
        <v>7.834263</v>
      </c>
      <c r="P98" s="162" t="n">
        <v>7.57438</v>
      </c>
      <c r="Q98" s="162" t="n">
        <v>7.743213</v>
      </c>
      <c r="R98" s="162" t="n">
        <v>8.023073</v>
      </c>
      <c r="S98" s="162" t="n">
        <v>8.099836</v>
      </c>
      <c r="T98" s="162" t="n">
        <v>8.29235</v>
      </c>
      <c r="U98" s="162" t="n">
        <v>8.270174</v>
      </c>
      <c r="V98" s="162" t="n">
        <v>8.358497</v>
      </c>
      <c r="W98" s="1" t="n">
        <v>7.5</v>
      </c>
    </row>
    <row r="99" customFormat="false" ht="14.5" hidden="false" customHeight="false" outlineLevel="0" collapsed="false">
      <c r="A99" s="166" t="s">
        <v>167</v>
      </c>
      <c r="B99" s="166" t="s">
        <v>275</v>
      </c>
      <c r="C99" s="162" t="n">
        <v>24.255374</v>
      </c>
      <c r="D99" s="162" t="n">
        <v>24.447949</v>
      </c>
      <c r="E99" s="162" t="n">
        <v>24.380507</v>
      </c>
      <c r="F99" s="162" t="n">
        <v>24.315009</v>
      </c>
      <c r="G99" s="162" t="n">
        <v>24.667257</v>
      </c>
      <c r="H99" s="162" t="n">
        <v>23.865376</v>
      </c>
      <c r="I99" s="162" t="n">
        <v>24.02612</v>
      </c>
      <c r="J99" s="162" t="n">
        <v>24.463282</v>
      </c>
      <c r="K99" s="162" t="n">
        <v>23.969868</v>
      </c>
      <c r="L99" s="162" t="n">
        <v>23.94085</v>
      </c>
      <c r="M99" s="162" t="n">
        <v>24.627644</v>
      </c>
      <c r="N99" s="162" t="n">
        <v>24.858458</v>
      </c>
      <c r="O99" s="162" t="n">
        <v>24.396314</v>
      </c>
      <c r="P99" s="162" t="n">
        <v>25.766484</v>
      </c>
      <c r="Q99" s="162" t="n">
        <v>25.214588</v>
      </c>
      <c r="R99" s="162" t="n">
        <v>25.624379</v>
      </c>
      <c r="S99" s="162" t="n">
        <v>26.013804</v>
      </c>
      <c r="T99" s="162" t="n">
        <v>26.657764</v>
      </c>
      <c r="U99" s="162" t="n">
        <v>25.460822</v>
      </c>
      <c r="V99" s="162" t="n">
        <v>25.805908</v>
      </c>
      <c r="W99" s="1" t="n">
        <v>21.5</v>
      </c>
    </row>
    <row r="100" customFormat="false" ht="14.5" hidden="false" customHeight="false" outlineLevel="0" collapsed="false">
      <c r="A100" s="1" t="s">
        <v>276</v>
      </c>
      <c r="B100" s="1" t="s">
        <v>277</v>
      </c>
      <c r="C100" s="162" t="n">
        <v>5.870741</v>
      </c>
      <c r="D100" s="162" t="n">
        <v>5.703711</v>
      </c>
      <c r="E100" s="162" t="n">
        <v>5.903915</v>
      </c>
      <c r="F100" s="162" t="n">
        <v>5.76121</v>
      </c>
      <c r="G100" s="162" t="n">
        <v>5.500436</v>
      </c>
      <c r="H100" s="162" t="n">
        <v>5.196918</v>
      </c>
      <c r="I100" s="162" t="n">
        <v>4.787639</v>
      </c>
      <c r="J100" s="162" t="n">
        <v>4.859018</v>
      </c>
      <c r="K100" s="162" t="n">
        <v>4.859176</v>
      </c>
      <c r="L100" s="162" t="n">
        <v>6.392446</v>
      </c>
      <c r="M100" s="162" t="n">
        <v>5.809258</v>
      </c>
      <c r="N100" s="162" t="n">
        <v>5.821135</v>
      </c>
      <c r="O100" s="162" t="n">
        <v>5.550613</v>
      </c>
      <c r="P100" s="162" t="n">
        <v>6.45363</v>
      </c>
      <c r="Q100" s="162" t="n">
        <v>5.823253</v>
      </c>
      <c r="R100" s="162" t="n">
        <v>6.302608</v>
      </c>
      <c r="S100" s="162" t="n">
        <v>7.038197</v>
      </c>
      <c r="T100" s="162" t="n">
        <v>7.212259</v>
      </c>
      <c r="U100" s="162" t="n">
        <v>5.816732</v>
      </c>
      <c r="V100" s="162" t="n">
        <v>5.984549</v>
      </c>
      <c r="W100" s="1" t="n">
        <v>4.8</v>
      </c>
    </row>
    <row r="101" customFormat="false" ht="14.5" hidden="false" customHeight="false" outlineLevel="0" collapsed="false">
      <c r="A101" s="1" t="s">
        <v>278</v>
      </c>
      <c r="B101" s="159" t="s">
        <v>279</v>
      </c>
      <c r="C101" s="162" t="n">
        <v>19.404259</v>
      </c>
      <c r="D101" s="162" t="n">
        <v>19.860689</v>
      </c>
      <c r="E101" s="162" t="n">
        <v>19.524709</v>
      </c>
      <c r="F101" s="162" t="n">
        <v>19.614987</v>
      </c>
      <c r="G101" s="162" t="n">
        <v>20.281329</v>
      </c>
      <c r="H101" s="162" t="n">
        <v>19.793567</v>
      </c>
      <c r="I101" s="162" t="n">
        <v>20.572875</v>
      </c>
      <c r="J101" s="162" t="n">
        <v>20.971878</v>
      </c>
      <c r="K101" s="162" t="n">
        <v>20.379167</v>
      </c>
      <c r="L101" s="162" t="n">
        <v>17.605535</v>
      </c>
      <c r="M101" s="162" t="n">
        <v>18.835313</v>
      </c>
      <c r="N101" s="162" t="n">
        <v>19.058635</v>
      </c>
      <c r="O101" s="162" t="n">
        <v>18.907676</v>
      </c>
      <c r="P101" s="162" t="n">
        <v>19.350933</v>
      </c>
      <c r="Q101" s="162" t="n">
        <v>19.391335</v>
      </c>
      <c r="R101" s="162" t="n">
        <v>19.321771</v>
      </c>
      <c r="S101" s="162" t="n">
        <v>18.988881</v>
      </c>
      <c r="T101" s="162" t="n">
        <v>19.459074</v>
      </c>
      <c r="U101" s="162" t="n">
        <v>19.483629</v>
      </c>
      <c r="V101" s="162" t="n">
        <v>19.659434</v>
      </c>
      <c r="W101" s="1" t="n">
        <v>16.5</v>
      </c>
    </row>
    <row r="102" customFormat="false" ht="14.5" hidden="false" customHeight="false" outlineLevel="0" collapsed="false">
      <c r="A102" s="1" t="s">
        <v>147</v>
      </c>
      <c r="B102" s="159" t="s">
        <v>280</v>
      </c>
      <c r="C102" s="162" t="n">
        <v>5.331808</v>
      </c>
      <c r="D102" s="162" t="n">
        <v>5.290544</v>
      </c>
      <c r="E102" s="162" t="n">
        <v>5.530023</v>
      </c>
      <c r="F102" s="162" t="n">
        <v>5.64322</v>
      </c>
      <c r="G102" s="162" t="n">
        <v>6.233542</v>
      </c>
      <c r="H102" s="162" t="n">
        <v>6.515556</v>
      </c>
      <c r="I102" s="162" t="n">
        <v>7.585281</v>
      </c>
      <c r="J102" s="162" t="n">
        <v>7.687352</v>
      </c>
      <c r="K102" s="162" t="n">
        <v>7.931704</v>
      </c>
      <c r="L102" s="162" t="n">
        <v>7.406965</v>
      </c>
      <c r="M102" s="162" t="n">
        <v>9.036823</v>
      </c>
      <c r="N102" s="162" t="n">
        <v>9.379092</v>
      </c>
      <c r="O102" s="162" t="n">
        <v>9.828425</v>
      </c>
      <c r="P102" s="162" t="n">
        <v>10.702061</v>
      </c>
      <c r="Q102" s="162" t="n">
        <v>11.123084</v>
      </c>
      <c r="R102" s="162" t="n">
        <v>11.12868</v>
      </c>
      <c r="S102" s="162" t="n">
        <v>11.394397</v>
      </c>
      <c r="T102" s="162" t="n">
        <v>11.786925</v>
      </c>
      <c r="U102" s="162" t="n">
        <v>12.260072</v>
      </c>
      <c r="V102" s="162" t="n">
        <v>13.493798</v>
      </c>
      <c r="W102" s="1" t="n">
        <v>11.9</v>
      </c>
    </row>
    <row r="103" customFormat="false" ht="14.5" hidden="false" customHeight="false" outlineLevel="0" collapsed="false">
      <c r="A103" s="1" t="s">
        <v>149</v>
      </c>
      <c r="B103" s="159" t="s">
        <v>281</v>
      </c>
      <c r="C103" s="162" t="n">
        <v>10.617983</v>
      </c>
      <c r="D103" s="162" t="n">
        <v>10.120741</v>
      </c>
      <c r="E103" s="162" t="n">
        <v>9.650164</v>
      </c>
      <c r="F103" s="162" t="n">
        <v>9.038754</v>
      </c>
      <c r="G103" s="162" t="n">
        <v>9.754901</v>
      </c>
      <c r="H103" s="162" t="n">
        <v>9.21393</v>
      </c>
      <c r="I103" s="162" t="n">
        <v>8.910492</v>
      </c>
      <c r="J103" s="162" t="n">
        <v>9.194125</v>
      </c>
      <c r="K103" s="162" t="n">
        <v>8.918731</v>
      </c>
      <c r="L103" s="162" t="n">
        <v>7.578569</v>
      </c>
      <c r="M103" s="162" t="n">
        <v>7.707426</v>
      </c>
      <c r="N103" s="162" t="n">
        <v>7.3882</v>
      </c>
      <c r="O103" s="162" t="n">
        <v>7.256133</v>
      </c>
      <c r="P103" s="162" t="n">
        <v>7.122483</v>
      </c>
      <c r="Q103" s="162" t="n">
        <v>6.919794</v>
      </c>
      <c r="R103" s="162" t="n">
        <v>6.859501</v>
      </c>
      <c r="S103" s="162" t="n">
        <v>6.905282</v>
      </c>
      <c r="T103" s="162" t="n">
        <v>6.94336</v>
      </c>
      <c r="U103" s="162" t="n">
        <v>7.054011</v>
      </c>
      <c r="V103" s="162" t="n">
        <v>7.12005</v>
      </c>
      <c r="W103" s="1" t="n">
        <v>6.4</v>
      </c>
    </row>
    <row r="104" customFormat="false" ht="14.5" hidden="false" customHeight="false" outlineLevel="0" collapsed="false">
      <c r="A104" s="170" t="s">
        <v>151</v>
      </c>
      <c r="B104" s="170" t="s">
        <v>282</v>
      </c>
      <c r="C104" s="162" t="n">
        <v>11.485924</v>
      </c>
      <c r="D104" s="162" t="n">
        <v>12.400689</v>
      </c>
      <c r="E104" s="162" t="n">
        <v>12.157581</v>
      </c>
      <c r="F104" s="162" t="n">
        <v>12.441276</v>
      </c>
      <c r="G104" s="162" t="n">
        <v>13.45471</v>
      </c>
      <c r="H104" s="162" t="n">
        <v>13.507081</v>
      </c>
      <c r="I104" s="162" t="n">
        <v>14.390752</v>
      </c>
      <c r="J104" s="162" t="n">
        <v>14.806767</v>
      </c>
      <c r="K104" s="162" t="n">
        <v>14.643867</v>
      </c>
      <c r="L104" s="162" t="n">
        <v>11.404749</v>
      </c>
      <c r="M104" s="162" t="n">
        <v>11.495244</v>
      </c>
      <c r="N104" s="162" t="n">
        <v>12.772231</v>
      </c>
      <c r="O104" s="162" t="n">
        <v>12.524309</v>
      </c>
      <c r="P104" s="162" t="n">
        <v>12.428447</v>
      </c>
      <c r="Q104" s="162" t="n">
        <v>12.486587</v>
      </c>
      <c r="R104" s="162" t="n">
        <v>11.874653</v>
      </c>
      <c r="S104" s="162" t="n">
        <v>11.096029</v>
      </c>
      <c r="T104" s="162" t="n">
        <v>11.008344</v>
      </c>
      <c r="U104" s="162" t="n">
        <v>11.013046</v>
      </c>
      <c r="V104" s="162" t="n">
        <v>11.25338</v>
      </c>
      <c r="W104" s="1" t="n">
        <v>10</v>
      </c>
    </row>
    <row r="105" customFormat="false" ht="14.5" hidden="false" customHeight="false" outlineLevel="0" collapsed="false">
      <c r="A105" s="170" t="s">
        <v>283</v>
      </c>
      <c r="B105" s="170" t="s">
        <v>284</v>
      </c>
      <c r="C105" s="162" t="n">
        <v>31.312271</v>
      </c>
      <c r="D105" s="162" t="n">
        <v>30.239396</v>
      </c>
      <c r="E105" s="162" t="n">
        <v>28.800541</v>
      </c>
      <c r="F105" s="162" t="n">
        <v>30.740936</v>
      </c>
      <c r="G105" s="162" t="n">
        <v>31.458558</v>
      </c>
      <c r="H105" s="162" t="n">
        <v>32.540165</v>
      </c>
      <c r="I105" s="162" t="n">
        <v>32.320243</v>
      </c>
      <c r="J105" s="162" t="n">
        <v>32.323222</v>
      </c>
      <c r="K105" s="162" t="n">
        <v>31.062786</v>
      </c>
      <c r="L105" s="162" t="n">
        <v>26.000694</v>
      </c>
      <c r="M105" s="162" t="n">
        <v>28.477751</v>
      </c>
      <c r="N105" s="162" t="n">
        <v>28.441257</v>
      </c>
      <c r="O105" s="162" t="n">
        <v>28.448082</v>
      </c>
      <c r="P105" s="162" t="n">
        <v>26.993219</v>
      </c>
      <c r="Q105" s="162" t="n">
        <v>27.034531</v>
      </c>
      <c r="R105" s="162" t="n">
        <v>26.907309</v>
      </c>
      <c r="S105" s="162" t="n">
        <v>27.063397</v>
      </c>
      <c r="T105" s="162" t="n">
        <v>28.382299</v>
      </c>
      <c r="U105" s="162" t="n">
        <v>30.481016</v>
      </c>
      <c r="V105" s="162" t="n">
        <v>29.811317</v>
      </c>
      <c r="W105" s="1" t="n">
        <v>17.4</v>
      </c>
    </row>
    <row r="106" customFormat="false" ht="14.5" hidden="false" customHeight="false" outlineLevel="0" collapsed="false">
      <c r="A106" s="1" t="s">
        <v>285</v>
      </c>
      <c r="B106" s="159" t="s">
        <v>286</v>
      </c>
      <c r="C106" s="162" t="n">
        <v>20.354438</v>
      </c>
      <c r="D106" s="162" t="n">
        <v>19.480935</v>
      </c>
      <c r="E106" s="162" t="n">
        <v>19.568905</v>
      </c>
      <c r="F106" s="162" t="n">
        <v>20.340808</v>
      </c>
      <c r="G106" s="162" t="n">
        <v>21.698671</v>
      </c>
      <c r="H106" s="162" t="n">
        <v>20.832203</v>
      </c>
      <c r="I106" s="162" t="n">
        <v>20.514844</v>
      </c>
      <c r="J106" s="162" t="n">
        <v>20.161345</v>
      </c>
      <c r="K106" s="162" t="n">
        <v>18.361038</v>
      </c>
      <c r="L106" s="162" t="n">
        <v>13.636471</v>
      </c>
      <c r="M106" s="162" t="n">
        <v>15.627941</v>
      </c>
      <c r="N106" s="162" t="n">
        <v>16.514938</v>
      </c>
      <c r="O106" s="162" t="n">
        <v>14.521451</v>
      </c>
      <c r="P106" s="162" t="n">
        <v>12.609652</v>
      </c>
      <c r="Q106" s="162" t="n">
        <v>12.585031</v>
      </c>
      <c r="R106" s="162" t="n">
        <v>12.654174</v>
      </c>
      <c r="S106" s="162" t="n">
        <v>12.426857</v>
      </c>
      <c r="T106" s="162" t="n">
        <v>13.469141</v>
      </c>
      <c r="U106" s="162" t="n">
        <v>13.02356</v>
      </c>
      <c r="V106" s="162" t="n">
        <v>13.038845</v>
      </c>
      <c r="W106" s="1" t="n">
        <v>9.3</v>
      </c>
    </row>
    <row r="107" customFormat="false" ht="14.5" hidden="false" customHeight="false" outlineLevel="0" collapsed="false">
      <c r="A107" s="1" t="s">
        <v>287</v>
      </c>
      <c r="B107" s="159" t="s">
        <v>288</v>
      </c>
      <c r="C107" s="162" t="n">
        <v>11.208796</v>
      </c>
      <c r="D107" s="162" t="n">
        <v>11.045203</v>
      </c>
      <c r="E107" s="162" t="n">
        <v>9.384036</v>
      </c>
      <c r="F107" s="162" t="n">
        <v>10.569376</v>
      </c>
      <c r="G107" s="162" t="n">
        <v>9.820428</v>
      </c>
      <c r="H107" s="162" t="n">
        <v>12.144293</v>
      </c>
      <c r="I107" s="162" t="n">
        <v>12.2582</v>
      </c>
      <c r="J107" s="162" t="n">
        <v>12.593268</v>
      </c>
      <c r="K107" s="162" t="n">
        <v>13.062334</v>
      </c>
      <c r="L107" s="162" t="n">
        <v>12.516994</v>
      </c>
      <c r="M107" s="162" t="n">
        <v>13.000316</v>
      </c>
      <c r="N107" s="162" t="n">
        <v>12.030248</v>
      </c>
      <c r="O107" s="162" t="n">
        <v>14.007463</v>
      </c>
      <c r="P107" s="162" t="n">
        <v>14.381936</v>
      </c>
      <c r="Q107" s="162" t="n">
        <v>14.4495</v>
      </c>
      <c r="R107" s="162" t="n">
        <v>14.253136</v>
      </c>
      <c r="S107" s="162" t="n">
        <v>14.604546</v>
      </c>
      <c r="T107" s="162" t="n">
        <v>14.902966</v>
      </c>
      <c r="U107" s="162" t="n">
        <v>17.326832</v>
      </c>
      <c r="V107" s="162" t="n">
        <v>16.668767</v>
      </c>
      <c r="W107" s="1" t="n">
        <v>8.3</v>
      </c>
    </row>
    <row r="108" customFormat="false" ht="14.5" hidden="false" customHeight="false" outlineLevel="0" collapsed="false">
      <c r="A108" s="1" t="s">
        <v>169</v>
      </c>
      <c r="B108" s="159" t="s">
        <v>289</v>
      </c>
      <c r="C108" s="162" t="n">
        <v>28.254633</v>
      </c>
      <c r="D108" s="162" t="n">
        <v>28.725096</v>
      </c>
      <c r="E108" s="162" t="n">
        <v>28.35824</v>
      </c>
      <c r="F108" s="162" t="n">
        <v>27.245088</v>
      </c>
      <c r="G108" s="162" t="n">
        <v>28.210154</v>
      </c>
      <c r="H108" s="162" t="n">
        <v>29.230821</v>
      </c>
      <c r="I108" s="162" t="n">
        <v>29.779657</v>
      </c>
      <c r="J108" s="162" t="n">
        <v>30.866016</v>
      </c>
      <c r="K108" s="162" t="n">
        <v>30.781068</v>
      </c>
      <c r="L108" s="162" t="n">
        <v>30.004085</v>
      </c>
      <c r="M108" s="162" t="n">
        <v>29.555235</v>
      </c>
      <c r="N108" s="162" t="n">
        <v>30.235903</v>
      </c>
      <c r="O108" s="162" t="n">
        <v>30.523461</v>
      </c>
      <c r="P108" s="162" t="n">
        <v>29.043524</v>
      </c>
      <c r="Q108" s="162" t="n">
        <v>28.693103</v>
      </c>
      <c r="R108" s="162" t="n">
        <v>28.539113</v>
      </c>
      <c r="S108" s="162" t="n">
        <v>27.720691</v>
      </c>
      <c r="T108" s="162" t="n">
        <v>27.869296</v>
      </c>
      <c r="U108" s="162" t="n">
        <v>28.652469</v>
      </c>
      <c r="V108" s="162" t="n">
        <v>29.66631</v>
      </c>
      <c r="W108" s="1" t="n">
        <v>27.2</v>
      </c>
    </row>
    <row r="109" customFormat="false" ht="14.5" hidden="false" customHeight="false" outlineLevel="0" collapsed="false">
      <c r="A109" s="164" t="s">
        <v>290</v>
      </c>
      <c r="B109" s="164" t="s">
        <v>291</v>
      </c>
      <c r="C109" s="162" t="n">
        <v>3.697276</v>
      </c>
      <c r="D109" s="162" t="n">
        <v>3.955931</v>
      </c>
      <c r="E109" s="162" t="n">
        <v>3.79786</v>
      </c>
      <c r="F109" s="162" t="n">
        <v>3.752091</v>
      </c>
      <c r="G109" s="162" t="n">
        <v>3.660444</v>
      </c>
      <c r="H109" s="162" t="n">
        <v>3.751045</v>
      </c>
      <c r="I109" s="162" t="n">
        <v>3.762244</v>
      </c>
      <c r="J109" s="162" t="n">
        <v>3.727264</v>
      </c>
      <c r="K109" s="162" t="n">
        <v>3.269593</v>
      </c>
      <c r="L109" s="162" t="n">
        <v>3.122005</v>
      </c>
      <c r="M109" s="162" t="n">
        <v>2.889572</v>
      </c>
      <c r="N109" s="162" t="n">
        <v>2.806756</v>
      </c>
      <c r="O109" s="162" t="n">
        <v>2.716949</v>
      </c>
      <c r="P109" s="162" t="n">
        <v>2.4825</v>
      </c>
      <c r="Q109" s="162" t="n">
        <v>2.390979</v>
      </c>
      <c r="R109" s="162" t="n">
        <v>2.381142</v>
      </c>
      <c r="S109" s="162" t="n">
        <v>2.15337</v>
      </c>
      <c r="T109" s="162" t="n">
        <v>2.21458</v>
      </c>
      <c r="U109" s="162" t="n">
        <v>2.19623</v>
      </c>
      <c r="V109" s="162" t="n">
        <v>2.179294</v>
      </c>
      <c r="W109" s="1" t="n">
        <v>1.8</v>
      </c>
    </row>
    <row r="110" customFormat="false" ht="14.5" hidden="false" customHeight="false" outlineLevel="0" collapsed="false">
      <c r="A110" s="164" t="s">
        <v>292</v>
      </c>
      <c r="B110" s="164" t="s">
        <v>293</v>
      </c>
      <c r="C110" s="162" t="n">
        <v>4.538411</v>
      </c>
      <c r="D110" s="162" t="n">
        <v>4.96397</v>
      </c>
      <c r="E110" s="162" t="n">
        <v>4.852383</v>
      </c>
      <c r="F110" s="162" t="n">
        <v>4.80667</v>
      </c>
      <c r="G110" s="162" t="n">
        <v>5.124508</v>
      </c>
      <c r="H110" s="162" t="n">
        <v>5.022695</v>
      </c>
      <c r="I110" s="162" t="n">
        <v>5.063774</v>
      </c>
      <c r="J110" s="162" t="n">
        <v>5.301159</v>
      </c>
      <c r="K110" s="162" t="n">
        <v>5.283178</v>
      </c>
      <c r="L110" s="162" t="n">
        <v>5.076141</v>
      </c>
      <c r="M110" s="162" t="n">
        <v>5.208137</v>
      </c>
      <c r="N110" s="162" t="n">
        <v>5.206322</v>
      </c>
      <c r="O110" s="162" t="n">
        <v>4.934993</v>
      </c>
      <c r="P110" s="162" t="n">
        <v>4.830921</v>
      </c>
      <c r="Q110" s="162" t="n">
        <v>4.964</v>
      </c>
      <c r="R110" s="162" t="n">
        <v>4.766805</v>
      </c>
      <c r="S110" s="162" t="n">
        <v>4.698086</v>
      </c>
      <c r="T110" s="162" t="n">
        <v>4.568077</v>
      </c>
      <c r="U110" s="162" t="n">
        <v>4.759938</v>
      </c>
      <c r="V110" s="162" t="n">
        <v>4.925605</v>
      </c>
      <c r="W110" s="1" t="n">
        <v>5</v>
      </c>
    </row>
    <row r="111" customFormat="false" ht="14.5" hidden="false" customHeight="false" outlineLevel="0" collapsed="false">
      <c r="A111" s="170" t="s">
        <v>294</v>
      </c>
      <c r="B111" s="170" t="s">
        <v>295</v>
      </c>
      <c r="C111" s="162" t="n">
        <v>19.996983</v>
      </c>
      <c r="D111" s="162" t="n">
        <v>19.741274</v>
      </c>
      <c r="E111" s="162" t="n">
        <v>19.652852</v>
      </c>
      <c r="F111" s="162" t="n">
        <v>18.614956</v>
      </c>
      <c r="G111" s="162" t="n">
        <v>19.362075</v>
      </c>
      <c r="H111" s="162" t="n">
        <v>20.416864</v>
      </c>
      <c r="I111" s="162" t="n">
        <v>20.925192</v>
      </c>
      <c r="J111" s="162" t="n">
        <v>21.817706</v>
      </c>
      <c r="K111" s="162" t="n">
        <v>22.220708</v>
      </c>
      <c r="L111" s="162" t="n">
        <v>21.807171</v>
      </c>
      <c r="M111" s="162" t="n">
        <v>21.468168</v>
      </c>
      <c r="N111" s="162" t="n">
        <v>22.229943</v>
      </c>
      <c r="O111" s="162" t="n">
        <v>22.876817</v>
      </c>
      <c r="P111" s="162" t="n">
        <v>21.734573</v>
      </c>
      <c r="Q111" s="162" t="n">
        <v>21.338124</v>
      </c>
      <c r="R111" s="162" t="n">
        <v>21.391166</v>
      </c>
      <c r="S111" s="162" t="n">
        <v>20.866595</v>
      </c>
      <c r="T111" s="162" t="n">
        <v>21.082648</v>
      </c>
      <c r="U111" s="162" t="n">
        <v>21.691492</v>
      </c>
      <c r="V111" s="162" t="n">
        <v>22.550537</v>
      </c>
      <c r="W111" s="1" t="n">
        <v>20.4</v>
      </c>
    </row>
    <row r="112" customFormat="false" ht="14.5" hidden="false" customHeight="false" outlineLevel="0" collapsed="false">
      <c r="A112" s="1" t="s">
        <v>137</v>
      </c>
      <c r="B112" s="159" t="s">
        <v>296</v>
      </c>
      <c r="C112" s="162" t="n">
        <v>36.49523</v>
      </c>
      <c r="D112" s="162" t="n">
        <v>38.879346</v>
      </c>
      <c r="E112" s="162" t="n">
        <v>42.148148</v>
      </c>
      <c r="F112" s="162" t="n">
        <v>40.938017</v>
      </c>
      <c r="G112" s="162" t="n">
        <v>43.334659</v>
      </c>
      <c r="H112" s="162" t="n">
        <v>41.020854</v>
      </c>
      <c r="I112" s="162" t="n">
        <v>38.977261</v>
      </c>
      <c r="J112" s="162" t="n">
        <v>39.198015</v>
      </c>
      <c r="K112" s="162" t="n">
        <v>36.377787</v>
      </c>
      <c r="L112" s="162" t="n">
        <v>32.28016</v>
      </c>
      <c r="M112" s="162" t="n">
        <v>31.420502</v>
      </c>
      <c r="N112" s="162" t="n">
        <v>30.06841</v>
      </c>
      <c r="O112" s="162" t="n">
        <v>33.414028</v>
      </c>
      <c r="P112" s="162" t="n">
        <v>35.939242</v>
      </c>
      <c r="Q112" s="162" t="n">
        <v>34.085185</v>
      </c>
      <c r="R112" s="162" t="n">
        <v>34.383325</v>
      </c>
      <c r="S112" s="162" t="n">
        <v>33.533637</v>
      </c>
      <c r="T112" s="162" t="n">
        <v>30.996843</v>
      </c>
      <c r="U112" s="162" t="n">
        <v>33.132</v>
      </c>
      <c r="V112" s="162" t="n">
        <v>33.003775</v>
      </c>
      <c r="W112" s="1" t="n">
        <v>32.5</v>
      </c>
    </row>
    <row r="113" customFormat="false" ht="14.5" hidden="false" customHeight="false" outlineLevel="0" collapsed="false">
      <c r="A113" s="1" t="s">
        <v>139</v>
      </c>
      <c r="B113" s="159" t="s">
        <v>297</v>
      </c>
      <c r="C113" s="162" t="n">
        <v>12.546692</v>
      </c>
      <c r="D113" s="162" t="n">
        <v>13.336209</v>
      </c>
      <c r="E113" s="162" t="n">
        <v>13.965849</v>
      </c>
      <c r="F113" s="162" t="n">
        <v>15.097876</v>
      </c>
      <c r="G113" s="162" t="n">
        <v>14.640785</v>
      </c>
      <c r="H113" s="162" t="n">
        <v>14.563033</v>
      </c>
      <c r="I113" s="162" t="n">
        <v>14.710312</v>
      </c>
      <c r="J113" s="162" t="n">
        <v>14.814892</v>
      </c>
      <c r="K113" s="162" t="n">
        <v>14.501436</v>
      </c>
      <c r="L113" s="162" t="n">
        <v>14.711707</v>
      </c>
      <c r="M113" s="162" t="n">
        <v>15.254386</v>
      </c>
      <c r="N113" s="162" t="n">
        <v>15.058176</v>
      </c>
      <c r="O113" s="162" t="n">
        <v>14.618653</v>
      </c>
      <c r="P113" s="162" t="n">
        <v>14.716125</v>
      </c>
      <c r="Q113" s="162" t="n">
        <v>14.105828</v>
      </c>
      <c r="R113" s="162" t="n">
        <v>13.591778</v>
      </c>
      <c r="S113" s="162" t="n">
        <v>13.392081</v>
      </c>
      <c r="T113" s="162" t="n">
        <v>13.868116</v>
      </c>
      <c r="U113" s="162" t="n">
        <v>13.829894</v>
      </c>
      <c r="V113" s="162" t="n">
        <v>13.936655</v>
      </c>
      <c r="W113" s="1" t="n">
        <v>13.5</v>
      </c>
    </row>
    <row r="114" customFormat="false" ht="14.5" hidden="false" customHeight="false" outlineLevel="0" collapsed="false">
      <c r="A114" s="1" t="s">
        <v>298</v>
      </c>
      <c r="B114" s="159" t="s">
        <v>299</v>
      </c>
      <c r="C114" s="162" t="n">
        <v>2.126238</v>
      </c>
      <c r="D114" s="162" t="n">
        <v>2.400181</v>
      </c>
      <c r="E114" s="162" t="n">
        <v>2.608925</v>
      </c>
      <c r="F114" s="162" t="n">
        <v>3.439381</v>
      </c>
      <c r="G114" s="162" t="n">
        <v>3.010562</v>
      </c>
      <c r="H114" s="162" t="n">
        <v>3.147308</v>
      </c>
      <c r="I114" s="162" t="n">
        <v>3.120981</v>
      </c>
      <c r="J114" s="162" t="n">
        <v>3.210916</v>
      </c>
      <c r="K114" s="162" t="n">
        <v>2.931276</v>
      </c>
      <c r="L114" s="162" t="n">
        <v>2.871464</v>
      </c>
      <c r="M114" s="162" t="n">
        <v>3.032999</v>
      </c>
      <c r="N114" s="162" t="n">
        <v>3.150838</v>
      </c>
      <c r="O114" s="162" t="n">
        <v>3.23975</v>
      </c>
      <c r="P114" s="162" t="n">
        <v>3.265947</v>
      </c>
      <c r="Q114" s="162" t="n">
        <v>3.312526</v>
      </c>
      <c r="R114" s="162" t="n">
        <v>3.122728</v>
      </c>
      <c r="S114" s="162" t="n">
        <v>3.136497</v>
      </c>
      <c r="T114" s="162" t="n">
        <v>3.267216</v>
      </c>
      <c r="U114" s="162" t="n">
        <v>3.250362</v>
      </c>
      <c r="V114" s="162" t="n">
        <v>3.261781</v>
      </c>
      <c r="W114" s="1" t="n">
        <v>3.2</v>
      </c>
    </row>
    <row r="115" customFormat="false" ht="14.5" hidden="false" customHeight="false" outlineLevel="0" collapsed="false">
      <c r="A115" s="1" t="s">
        <v>300</v>
      </c>
      <c r="B115" s="159" t="s">
        <v>301</v>
      </c>
      <c r="C115" s="162" t="n">
        <v>4.45762</v>
      </c>
      <c r="D115" s="162" t="n">
        <v>4.617557</v>
      </c>
      <c r="E115" s="162" t="n">
        <v>4.742686</v>
      </c>
      <c r="F115" s="162" t="n">
        <v>4.521459</v>
      </c>
      <c r="G115" s="162" t="n">
        <v>4.498398</v>
      </c>
      <c r="H115" s="162" t="n">
        <v>4.327624</v>
      </c>
      <c r="I115" s="162" t="n">
        <v>4.398499</v>
      </c>
      <c r="J115" s="162" t="n">
        <v>4.36962</v>
      </c>
      <c r="K115" s="162" t="n">
        <v>4.350241</v>
      </c>
      <c r="L115" s="162" t="n">
        <v>4.7304</v>
      </c>
      <c r="M115" s="162" t="n">
        <v>4.819093</v>
      </c>
      <c r="N115" s="162" t="n">
        <v>4.671564</v>
      </c>
      <c r="O115" s="162" t="n">
        <v>4.444681</v>
      </c>
      <c r="P115" s="162" t="n">
        <v>4.70907</v>
      </c>
      <c r="Q115" s="162" t="n">
        <v>4.681337</v>
      </c>
      <c r="R115" s="162" t="n">
        <v>4.607171</v>
      </c>
      <c r="S115" s="162" t="n">
        <v>4.630412</v>
      </c>
      <c r="T115" s="162" t="n">
        <v>4.915112</v>
      </c>
      <c r="U115" s="162" t="n">
        <v>4.851098</v>
      </c>
      <c r="V115" s="162" t="n">
        <v>4.793896</v>
      </c>
      <c r="W115" s="1" t="n">
        <v>4.7</v>
      </c>
    </row>
    <row r="116" customFormat="false" ht="14.5" hidden="false" customHeight="false" outlineLevel="0" collapsed="false">
      <c r="A116" s="1" t="s">
        <v>302</v>
      </c>
      <c r="B116" s="159" t="s">
        <v>303</v>
      </c>
      <c r="C116" s="162" t="n">
        <v>6.349559</v>
      </c>
      <c r="D116" s="162" t="n">
        <v>6.583833</v>
      </c>
      <c r="E116" s="162" t="n">
        <v>6.827889</v>
      </c>
      <c r="F116" s="162" t="n">
        <v>6.814431</v>
      </c>
      <c r="G116" s="162" t="n">
        <v>7.019586</v>
      </c>
      <c r="H116" s="162" t="n">
        <v>6.885073</v>
      </c>
      <c r="I116" s="162" t="n">
        <v>7.032213</v>
      </c>
      <c r="J116" s="162" t="n">
        <v>7.028742</v>
      </c>
      <c r="K116" s="162" t="n">
        <v>7.098027</v>
      </c>
      <c r="L116" s="162" t="n">
        <v>6.973184</v>
      </c>
      <c r="M116" s="162" t="n">
        <v>7.205646</v>
      </c>
      <c r="N116" s="162" t="n">
        <v>7.006079</v>
      </c>
      <c r="O116" s="162" t="n">
        <v>6.577152</v>
      </c>
      <c r="P116" s="162" t="n">
        <v>6.313389</v>
      </c>
      <c r="Q116" s="162" t="n">
        <v>5.651204</v>
      </c>
      <c r="R116" s="162" t="n">
        <v>5.392141</v>
      </c>
      <c r="S116" s="162" t="n">
        <v>5.164215</v>
      </c>
      <c r="T116" s="162" t="n">
        <v>5.229098</v>
      </c>
      <c r="U116" s="162" t="n">
        <v>5.29258</v>
      </c>
      <c r="V116" s="162" t="n">
        <v>5.422473</v>
      </c>
      <c r="W116" s="1" t="n">
        <v>5.3</v>
      </c>
    </row>
    <row r="117" customFormat="false" ht="14.5" hidden="false" customHeight="false" outlineLevel="0" collapsed="false">
      <c r="A117" s="1" t="s">
        <v>304</v>
      </c>
      <c r="B117" s="159" t="s">
        <v>305</v>
      </c>
      <c r="C117" s="162" t="n">
        <v>0.180535</v>
      </c>
      <c r="D117" s="162" t="n">
        <v>0.184894</v>
      </c>
      <c r="E117" s="162" t="n">
        <v>0.181851</v>
      </c>
      <c r="F117" s="162" t="n">
        <v>0.182391</v>
      </c>
      <c r="G117" s="162" t="n">
        <v>0.185628</v>
      </c>
      <c r="H117" s="162" t="n">
        <v>0.182096</v>
      </c>
      <c r="I117" s="162" t="n">
        <v>0.179252</v>
      </c>
      <c r="J117" s="162" t="n">
        <v>0.186165</v>
      </c>
      <c r="K117" s="162" t="n">
        <v>0.199344</v>
      </c>
      <c r="L117" s="162" t="n">
        <v>0.258047</v>
      </c>
      <c r="M117" s="162" t="n">
        <v>0.296774</v>
      </c>
      <c r="N117" s="162" t="n">
        <v>0.285021</v>
      </c>
      <c r="O117" s="162" t="n">
        <v>0.365221</v>
      </c>
      <c r="P117" s="162" t="n">
        <v>0.442294</v>
      </c>
      <c r="Q117" s="162" t="n">
        <v>0.46076</v>
      </c>
      <c r="R117" s="162" t="n">
        <v>0.469737</v>
      </c>
      <c r="S117" s="162" t="n">
        <v>0.458277</v>
      </c>
      <c r="T117" s="162" t="n">
        <v>0.460286</v>
      </c>
      <c r="U117" s="162" t="n">
        <v>0.436736</v>
      </c>
      <c r="V117" s="162" t="n">
        <v>0.456353</v>
      </c>
      <c r="W117" s="1" t="n">
        <v>0.4</v>
      </c>
    </row>
    <row r="118" customFormat="false" ht="14.5" hidden="false" customHeight="false" outlineLevel="0" collapsed="false">
      <c r="A118" s="1" t="s">
        <v>306</v>
      </c>
      <c r="B118" s="159" t="s">
        <v>31</v>
      </c>
      <c r="C118" s="162" t="n">
        <v>115.435468</v>
      </c>
      <c r="D118" s="162" t="n">
        <v>119.966946</v>
      </c>
      <c r="E118" s="162" t="n">
        <v>119.421508</v>
      </c>
      <c r="F118" s="162" t="n">
        <v>119.089025</v>
      </c>
      <c r="G118" s="162" t="n">
        <v>121.367674</v>
      </c>
      <c r="H118" s="162" t="n">
        <v>124.698756</v>
      </c>
      <c r="I118" s="162" t="n">
        <v>127.732729</v>
      </c>
      <c r="J118" s="162" t="n">
        <v>133.597438</v>
      </c>
      <c r="K118" s="162" t="n">
        <v>131.61927</v>
      </c>
      <c r="L118" s="162" t="n">
        <v>123.994381</v>
      </c>
      <c r="M118" s="162" t="n">
        <v>120.903156</v>
      </c>
      <c r="N118" s="162" t="n">
        <v>118.618848</v>
      </c>
      <c r="O118" s="162" t="n">
        <v>112.593928</v>
      </c>
      <c r="P118" s="162" t="n">
        <v>113.121136</v>
      </c>
      <c r="Q118" s="162" t="n">
        <v>110.115753</v>
      </c>
      <c r="R118" s="162" t="n">
        <v>109.505257</v>
      </c>
      <c r="S118" s="162" t="n">
        <v>108.449133</v>
      </c>
      <c r="T118" s="162" t="n">
        <v>110.800995</v>
      </c>
      <c r="U118" s="162" t="n">
        <v>111.942451</v>
      </c>
      <c r="V118" s="162" t="n">
        <v>114.881552</v>
      </c>
      <c r="W118" s="1" t="n">
        <v>98.9</v>
      </c>
    </row>
    <row r="119" customFormat="false" ht="14.5" hidden="false" customHeight="false" outlineLevel="0" collapsed="false">
      <c r="A119" s="1" t="s">
        <v>307</v>
      </c>
      <c r="B119" s="159" t="s">
        <v>308</v>
      </c>
      <c r="C119" s="162" t="n">
        <v>15.174171</v>
      </c>
      <c r="D119" s="162" t="n">
        <v>15.925606</v>
      </c>
      <c r="E119" s="162" t="n">
        <v>16.613849</v>
      </c>
      <c r="F119" s="162" t="n">
        <v>17.08295</v>
      </c>
      <c r="G119" s="162" t="n">
        <v>17.307489</v>
      </c>
      <c r="H119" s="162" t="n">
        <v>17.964963</v>
      </c>
      <c r="I119" s="162" t="n">
        <v>18.265056</v>
      </c>
      <c r="J119" s="162" t="n">
        <v>19.104334</v>
      </c>
      <c r="K119" s="162" t="n">
        <v>17.660342</v>
      </c>
      <c r="L119" s="162" t="n">
        <v>15.219435</v>
      </c>
      <c r="M119" s="162" t="n">
        <v>14.509735</v>
      </c>
      <c r="N119" s="162" t="n">
        <v>13.642486</v>
      </c>
      <c r="O119" s="162" t="n">
        <v>12.65793</v>
      </c>
      <c r="P119" s="162" t="n">
        <v>12.643257</v>
      </c>
      <c r="Q119" s="162" t="n">
        <v>11.645499</v>
      </c>
      <c r="R119" s="162" t="n">
        <v>11.854081</v>
      </c>
      <c r="S119" s="162" t="n">
        <v>12.428925</v>
      </c>
      <c r="T119" s="162" t="n">
        <v>13.049835</v>
      </c>
      <c r="U119" s="162" t="n">
        <v>13.61629</v>
      </c>
      <c r="V119" s="162" t="n">
        <v>13.850389</v>
      </c>
      <c r="W119" s="1" t="n">
        <v>11.4</v>
      </c>
    </row>
    <row r="120" customFormat="false" ht="14.5" hidden="false" customHeight="false" outlineLevel="0" collapsed="false">
      <c r="A120" s="1" t="s">
        <v>309</v>
      </c>
      <c r="B120" s="159" t="s">
        <v>310</v>
      </c>
      <c r="C120" s="162" t="n">
        <v>15.207917</v>
      </c>
      <c r="D120" s="162" t="n">
        <v>15.770747</v>
      </c>
      <c r="E120" s="162" t="n">
        <v>14.602512</v>
      </c>
      <c r="F120" s="162" t="n">
        <v>14.922073</v>
      </c>
      <c r="G120" s="162" t="n">
        <v>14.887398</v>
      </c>
      <c r="H120" s="162" t="n">
        <v>15.05437</v>
      </c>
      <c r="I120" s="162" t="n">
        <v>15.080594</v>
      </c>
      <c r="J120" s="162" t="n">
        <v>15.93739</v>
      </c>
      <c r="K120" s="162" t="n">
        <v>15.033066</v>
      </c>
      <c r="L120" s="162" t="n">
        <v>14.188385</v>
      </c>
      <c r="M120" s="162" t="n">
        <v>12.315127</v>
      </c>
      <c r="N120" s="162" t="n">
        <v>11.844605</v>
      </c>
      <c r="O120" s="162" t="n">
        <v>11.050192</v>
      </c>
      <c r="P120" s="162" t="n">
        <v>11.642829</v>
      </c>
      <c r="Q120" s="162" t="n">
        <v>12.277014</v>
      </c>
      <c r="R120" s="162" t="n">
        <v>13.337477</v>
      </c>
      <c r="S120" s="162" t="n">
        <v>12.378685</v>
      </c>
      <c r="T120" s="162" t="n">
        <v>12.56918</v>
      </c>
      <c r="U120" s="162" t="n">
        <v>11.963148</v>
      </c>
      <c r="V120" s="162" t="n">
        <v>12.567174</v>
      </c>
      <c r="W120" s="1" t="n">
        <v>11.5</v>
      </c>
    </row>
    <row r="121" customFormat="false" ht="14.5" hidden="false" customHeight="false" outlineLevel="0" collapsed="false">
      <c r="A121" s="1" t="s">
        <v>311</v>
      </c>
      <c r="B121" s="159" t="s">
        <v>312</v>
      </c>
      <c r="C121" s="162" t="n">
        <v>85.391504</v>
      </c>
      <c r="D121" s="162" t="n">
        <v>88.630094</v>
      </c>
      <c r="E121" s="162" t="n">
        <v>88.455128</v>
      </c>
      <c r="F121" s="162" t="n">
        <v>87.397409</v>
      </c>
      <c r="G121" s="162" t="n">
        <v>89.451554</v>
      </c>
      <c r="H121" s="162" t="n">
        <v>91.941701</v>
      </c>
      <c r="I121" s="162" t="n">
        <v>94.61322</v>
      </c>
      <c r="J121" s="162" t="n">
        <v>98.815579</v>
      </c>
      <c r="K121" s="162" t="n">
        <v>99.085008</v>
      </c>
      <c r="L121" s="162" t="n">
        <v>94.782063</v>
      </c>
      <c r="M121" s="162" t="n">
        <v>94.111053</v>
      </c>
      <c r="N121" s="162" t="n">
        <v>93.156074</v>
      </c>
      <c r="O121" s="162" t="n">
        <v>88.921546</v>
      </c>
      <c r="P121" s="162" t="n">
        <v>88.857813</v>
      </c>
      <c r="Q121" s="162" t="n">
        <v>86.19324</v>
      </c>
      <c r="R121" s="162" t="n">
        <v>84.3137</v>
      </c>
      <c r="S121" s="162" t="n">
        <v>83.562126</v>
      </c>
      <c r="T121" s="162" t="n">
        <v>85.084568</v>
      </c>
      <c r="U121" s="162" t="n">
        <v>86.167543</v>
      </c>
      <c r="V121" s="162" t="n">
        <v>88.290665</v>
      </c>
      <c r="W121" s="1" t="n">
        <v>75.8</v>
      </c>
    </row>
    <row r="122" customFormat="false" ht="14.5" hidden="false" customHeight="false" outlineLevel="0" collapsed="false">
      <c r="A122" s="1" t="s">
        <v>313</v>
      </c>
      <c r="B122" s="159" t="s">
        <v>314</v>
      </c>
      <c r="C122" s="162" t="n">
        <v>171.396061</v>
      </c>
      <c r="D122" s="162" t="n">
        <v>178.039224</v>
      </c>
      <c r="E122" s="162" t="n">
        <v>180.915768</v>
      </c>
      <c r="F122" s="162" t="n">
        <v>182.402727</v>
      </c>
      <c r="G122" s="162" t="n">
        <v>183.624863</v>
      </c>
      <c r="H122" s="162" t="n">
        <v>184.189009</v>
      </c>
      <c r="I122" s="162" t="n">
        <v>186.79444</v>
      </c>
      <c r="J122" s="162" t="n">
        <v>192.821993</v>
      </c>
      <c r="K122" s="162" t="n">
        <v>197.992849</v>
      </c>
      <c r="L122" s="162" t="n">
        <v>186.689326</v>
      </c>
      <c r="M122" s="162" t="n">
        <v>186.604307</v>
      </c>
      <c r="N122" s="162" t="n">
        <v>192.73387</v>
      </c>
      <c r="O122" s="162" t="n">
        <v>192.943172</v>
      </c>
      <c r="P122" s="162" t="n">
        <v>194.750599</v>
      </c>
      <c r="Q122" s="162" t="n">
        <v>198.270906</v>
      </c>
      <c r="R122" s="162" t="n">
        <v>208.254282</v>
      </c>
      <c r="S122" s="162" t="n">
        <v>213.191136</v>
      </c>
      <c r="T122" s="162" t="n">
        <v>217.576712</v>
      </c>
      <c r="U122" s="162" t="n">
        <v>219.716903</v>
      </c>
      <c r="V122" s="162" t="n">
        <v>221.64131</v>
      </c>
      <c r="W122" s="1" t="n">
        <v>209.1</v>
      </c>
    </row>
    <row r="123" customFormat="false" ht="14.5" hidden="false" customHeight="false" outlineLevel="0" collapsed="false">
      <c r="A123" s="1" t="s">
        <v>315</v>
      </c>
      <c r="B123" s="159" t="s">
        <v>316</v>
      </c>
      <c r="C123" s="162" t="n">
        <v>29.203373</v>
      </c>
      <c r="D123" s="162" t="n">
        <v>29.904609</v>
      </c>
      <c r="E123" s="162" t="n">
        <v>29.948852</v>
      </c>
      <c r="F123" s="162" t="n">
        <v>28.361971</v>
      </c>
      <c r="G123" s="162" t="n">
        <v>28.095711</v>
      </c>
      <c r="H123" s="162" t="n">
        <v>28.145648</v>
      </c>
      <c r="I123" s="162" t="n">
        <v>28.313543</v>
      </c>
      <c r="J123" s="162" t="n">
        <v>29.013341</v>
      </c>
      <c r="K123" s="162" t="n">
        <v>28.498778</v>
      </c>
      <c r="L123" s="162" t="n">
        <v>26.937567</v>
      </c>
      <c r="M123" s="162" t="n">
        <v>27.578992</v>
      </c>
      <c r="N123" s="162" t="n">
        <v>29.321498</v>
      </c>
      <c r="O123" s="162" t="n">
        <v>28.527004</v>
      </c>
      <c r="P123" s="162" t="n">
        <v>28.783114</v>
      </c>
      <c r="Q123" s="162" t="n">
        <v>28.437884</v>
      </c>
      <c r="R123" s="162" t="n">
        <v>25.647695</v>
      </c>
      <c r="S123" s="162" t="n">
        <v>28.700998</v>
      </c>
      <c r="T123" s="162" t="n">
        <v>26.101271</v>
      </c>
      <c r="U123" s="162" t="n">
        <v>26.663219</v>
      </c>
      <c r="V123" s="162" t="n">
        <v>27.499234</v>
      </c>
      <c r="W123" s="1" t="n">
        <v>24.3</v>
      </c>
    </row>
    <row r="124" customFormat="false" ht="14.5" hidden="false" customHeight="false" outlineLevel="0" collapsed="false">
      <c r="A124" s="1" t="s">
        <v>317</v>
      </c>
      <c r="B124" s="159" t="s">
        <v>318</v>
      </c>
      <c r="C124" s="162" t="n">
        <v>90.205083</v>
      </c>
      <c r="D124" s="162" t="n">
        <v>93.417384</v>
      </c>
      <c r="E124" s="162" t="n">
        <v>94.028748</v>
      </c>
      <c r="F124" s="162" t="n">
        <v>96.084775</v>
      </c>
      <c r="G124" s="162" t="n">
        <v>95.8244</v>
      </c>
      <c r="H124" s="162" t="n">
        <v>97.168409</v>
      </c>
      <c r="I124" s="162" t="n">
        <v>100.617542</v>
      </c>
      <c r="J124" s="162" t="n">
        <v>104.706241</v>
      </c>
      <c r="K124" s="162" t="n">
        <v>110.174149</v>
      </c>
      <c r="L124" s="162" t="n">
        <v>99.57864</v>
      </c>
      <c r="M124" s="162" t="n">
        <v>88.119512</v>
      </c>
      <c r="N124" s="162" t="n">
        <v>86.425252</v>
      </c>
      <c r="O124" s="162" t="n">
        <v>88.589677</v>
      </c>
      <c r="P124" s="162" t="n">
        <v>89.354827</v>
      </c>
      <c r="Q124" s="162" t="n">
        <v>90.693912</v>
      </c>
      <c r="R124" s="162" t="n">
        <v>95.808576</v>
      </c>
      <c r="S124" s="162" t="n">
        <v>96.027847</v>
      </c>
      <c r="T124" s="162" t="n">
        <v>104.192693</v>
      </c>
      <c r="U124" s="162" t="n">
        <v>104.431025</v>
      </c>
      <c r="V124" s="162" t="n">
        <v>105.39436</v>
      </c>
      <c r="W124" s="1" t="n">
        <v>98.5</v>
      </c>
    </row>
    <row r="125" customFormat="false" ht="14.5" hidden="false" customHeight="false" outlineLevel="0" collapsed="false">
      <c r="A125" s="1" t="s">
        <v>319</v>
      </c>
      <c r="B125" s="159" t="s">
        <v>320</v>
      </c>
      <c r="C125" s="162" t="n">
        <v>55.897755</v>
      </c>
      <c r="D125" s="162" t="n">
        <v>58.581618</v>
      </c>
      <c r="E125" s="162" t="n">
        <v>60.557845</v>
      </c>
      <c r="F125" s="162" t="n">
        <v>61.316808</v>
      </c>
      <c r="G125" s="162" t="n">
        <v>62.78408</v>
      </c>
      <c r="H125" s="162" t="n">
        <v>62.167158</v>
      </c>
      <c r="I125" s="162" t="n">
        <v>61.591189</v>
      </c>
      <c r="J125" s="162" t="n">
        <v>63.106313</v>
      </c>
      <c r="K125" s="162" t="n">
        <v>63.863997</v>
      </c>
      <c r="L125" s="162" t="n">
        <v>63.360446</v>
      </c>
      <c r="M125" s="162" t="n">
        <v>71.353615</v>
      </c>
      <c r="N125" s="162" t="n">
        <v>77.058875</v>
      </c>
      <c r="O125" s="162" t="n">
        <v>75.875299</v>
      </c>
      <c r="P125" s="162" t="n">
        <v>76.659139</v>
      </c>
      <c r="Q125" s="162" t="n">
        <v>79.13911</v>
      </c>
      <c r="R125" s="162" t="n">
        <v>86.798011</v>
      </c>
      <c r="S125" s="162" t="n">
        <v>88.222932</v>
      </c>
      <c r="T125" s="162" t="n">
        <v>87.498584</v>
      </c>
      <c r="U125" s="162" t="n">
        <v>88.733747</v>
      </c>
      <c r="V125" s="162" t="n">
        <v>88.737717</v>
      </c>
      <c r="W125" s="1" t="n">
        <v>86.6</v>
      </c>
    </row>
    <row r="126" customFormat="false" ht="14.5" hidden="false" customHeight="false" outlineLevel="0" collapsed="false">
      <c r="A126" s="1" t="s">
        <v>321</v>
      </c>
      <c r="B126" s="159" t="s">
        <v>322</v>
      </c>
      <c r="C126" s="162" t="n">
        <v>74.15709</v>
      </c>
      <c r="D126" s="162" t="n">
        <v>73.977934</v>
      </c>
      <c r="E126" s="162" t="n">
        <v>75.008655</v>
      </c>
      <c r="F126" s="162" t="n">
        <v>74.949952</v>
      </c>
      <c r="G126" s="162" t="n">
        <v>78.468664</v>
      </c>
      <c r="H126" s="162" t="n">
        <v>80.725566</v>
      </c>
      <c r="I126" s="162" t="n">
        <v>83.277325</v>
      </c>
      <c r="J126" s="162" t="n">
        <v>85.965557</v>
      </c>
      <c r="K126" s="162" t="n">
        <v>85.510874</v>
      </c>
      <c r="L126" s="162" t="n">
        <v>80.593101</v>
      </c>
      <c r="M126" s="162" t="n">
        <v>86.680442</v>
      </c>
      <c r="N126" s="162" t="n">
        <v>88.568936</v>
      </c>
      <c r="O126" s="162" t="n">
        <v>89.679915</v>
      </c>
      <c r="P126" s="162" t="n">
        <v>87.568495</v>
      </c>
      <c r="Q126" s="162" t="n">
        <v>87.696289</v>
      </c>
      <c r="R126" s="162" t="n">
        <v>85.025486</v>
      </c>
      <c r="S126" s="162" t="n">
        <v>86.508731</v>
      </c>
      <c r="T126" s="162" t="n">
        <v>88.749098</v>
      </c>
      <c r="U126" s="162" t="n">
        <v>86.409052</v>
      </c>
      <c r="V126" s="162" t="n">
        <v>89.755248</v>
      </c>
      <c r="W126" s="1" t="n">
        <v>75.4</v>
      </c>
    </row>
    <row r="127" customFormat="false" ht="14.5" hidden="false" customHeight="false" outlineLevel="0" collapsed="false">
      <c r="A127" s="1" t="s">
        <v>323</v>
      </c>
      <c r="B127" s="159" t="s">
        <v>324</v>
      </c>
      <c r="C127" s="162" t="n">
        <v>32.76775</v>
      </c>
      <c r="D127" s="162" t="n">
        <v>33.538137</v>
      </c>
      <c r="E127" s="162" t="n">
        <v>34.058219</v>
      </c>
      <c r="F127" s="162" t="n">
        <v>34.317662</v>
      </c>
      <c r="G127" s="162" t="n">
        <v>35.888403</v>
      </c>
      <c r="H127" s="162" t="n">
        <v>37.114021</v>
      </c>
      <c r="I127" s="162" t="n">
        <v>38.569424</v>
      </c>
      <c r="J127" s="162" t="n">
        <v>39.930533</v>
      </c>
      <c r="K127" s="162" t="n">
        <v>39.727346</v>
      </c>
      <c r="L127" s="162" t="n">
        <v>37.942094</v>
      </c>
      <c r="M127" s="162" t="n">
        <v>39.422035</v>
      </c>
      <c r="N127" s="162" t="n">
        <v>40.650064</v>
      </c>
      <c r="O127" s="162" t="n">
        <v>41.839663</v>
      </c>
      <c r="P127" s="162" t="n">
        <v>41.778827</v>
      </c>
      <c r="Q127" s="162" t="n">
        <v>41.428558</v>
      </c>
      <c r="R127" s="162" t="n">
        <v>40.731569</v>
      </c>
      <c r="S127" s="162" t="n">
        <v>41.295005</v>
      </c>
      <c r="T127" s="162" t="n">
        <v>42.207416</v>
      </c>
      <c r="U127" s="162" t="n">
        <v>41.528518</v>
      </c>
      <c r="V127" s="162" t="n">
        <v>43.493703</v>
      </c>
      <c r="W127" s="1" t="n">
        <v>36.5</v>
      </c>
    </row>
    <row r="128" customFormat="false" ht="14.5" hidden="false" customHeight="false" outlineLevel="0" collapsed="false">
      <c r="A128" s="1" t="s">
        <v>325</v>
      </c>
      <c r="B128" s="159" t="s">
        <v>326</v>
      </c>
      <c r="C128" s="162" t="n">
        <v>0.486276</v>
      </c>
      <c r="D128" s="162" t="n">
        <v>0.538179</v>
      </c>
      <c r="E128" s="162" t="n">
        <v>0.534989</v>
      </c>
      <c r="F128" s="162" t="n">
        <v>0.59182</v>
      </c>
      <c r="G128" s="162" t="n">
        <v>0.614463</v>
      </c>
      <c r="H128" s="162" t="n">
        <v>0.567247</v>
      </c>
      <c r="I128" s="162" t="n">
        <v>0.409843</v>
      </c>
      <c r="J128" s="162" t="n">
        <v>0.438362</v>
      </c>
      <c r="K128" s="162" t="n">
        <v>0.475673</v>
      </c>
      <c r="L128" s="162" t="n">
        <v>0.186602</v>
      </c>
      <c r="M128" s="162" t="n">
        <v>0.767832</v>
      </c>
      <c r="N128" s="162" t="n">
        <v>0.571461</v>
      </c>
      <c r="O128" s="162" t="n">
        <v>1.418268</v>
      </c>
      <c r="P128" s="162" t="n">
        <v>1.450483</v>
      </c>
      <c r="Q128" s="162" t="n">
        <v>2.032598</v>
      </c>
      <c r="R128" s="162" t="n">
        <v>1.885264</v>
      </c>
      <c r="S128" s="162" t="n">
        <v>2.325971</v>
      </c>
      <c r="T128" s="162" t="n">
        <v>2.461256</v>
      </c>
      <c r="U128" s="162" t="n">
        <v>2.323753</v>
      </c>
      <c r="V128" s="162" t="n">
        <v>2.833241</v>
      </c>
      <c r="W128" s="1" t="n">
        <v>3.7</v>
      </c>
    </row>
    <row r="129" customFormat="false" ht="14.5" hidden="false" customHeight="false" outlineLevel="0" collapsed="false">
      <c r="A129" s="1" t="s">
        <v>327</v>
      </c>
      <c r="B129" s="159" t="s">
        <v>328</v>
      </c>
      <c r="C129" s="162" t="n">
        <v>3.317886</v>
      </c>
      <c r="D129" s="162" t="n">
        <v>2.898651</v>
      </c>
      <c r="E129" s="162" t="n">
        <v>3.177934</v>
      </c>
      <c r="F129" s="162" t="n">
        <v>3.204696</v>
      </c>
      <c r="G129" s="162" t="n">
        <v>3.808707</v>
      </c>
      <c r="H129" s="162" t="n">
        <v>4.121066</v>
      </c>
      <c r="I129" s="162" t="n">
        <v>4.670279</v>
      </c>
      <c r="J129" s="162" t="n">
        <v>4.946937</v>
      </c>
      <c r="K129" s="162" t="n">
        <v>5.031004</v>
      </c>
      <c r="L129" s="162" t="n">
        <v>4.078812</v>
      </c>
      <c r="M129" s="162" t="n">
        <v>5.66685</v>
      </c>
      <c r="N129" s="162" t="n">
        <v>6.149367</v>
      </c>
      <c r="O129" s="162" t="n">
        <v>6.583094</v>
      </c>
      <c r="P129" s="162" t="n">
        <v>6.632928</v>
      </c>
      <c r="Q129" s="162" t="n">
        <v>6.226737</v>
      </c>
      <c r="R129" s="162" t="n">
        <v>5.807806</v>
      </c>
      <c r="S129" s="162" t="n">
        <v>6.025584</v>
      </c>
      <c r="T129" s="162" t="n">
        <v>6.373797</v>
      </c>
      <c r="U129" s="162" t="n">
        <v>6.547892</v>
      </c>
      <c r="V129" s="162" t="n">
        <v>7.169866</v>
      </c>
      <c r="W129" s="1" t="n">
        <v>3.4</v>
      </c>
    </row>
    <row r="130" customFormat="false" ht="14.5" hidden="false" customHeight="false" outlineLevel="0" collapsed="false">
      <c r="A130" s="1" t="s">
        <v>329</v>
      </c>
      <c r="B130" s="159" t="s">
        <v>330</v>
      </c>
      <c r="C130" s="162" t="n">
        <v>26.937643</v>
      </c>
      <c r="D130" s="162" t="n">
        <v>26.045017</v>
      </c>
      <c r="E130" s="162" t="n">
        <v>26.355697</v>
      </c>
      <c r="F130" s="162" t="n">
        <v>26.194223</v>
      </c>
      <c r="G130" s="162" t="n">
        <v>27.334163</v>
      </c>
      <c r="H130" s="162" t="n">
        <v>28.246468</v>
      </c>
      <c r="I130" s="162" t="n">
        <v>29.18678</v>
      </c>
      <c r="J130" s="162" t="n">
        <v>30.081076</v>
      </c>
      <c r="K130" s="162" t="n">
        <v>29.817776</v>
      </c>
      <c r="L130" s="162" t="n">
        <v>29.020966</v>
      </c>
      <c r="M130" s="162" t="n">
        <v>31.150596</v>
      </c>
      <c r="N130" s="162" t="n">
        <v>32.358949</v>
      </c>
      <c r="O130" s="162" t="n">
        <v>30.885112</v>
      </c>
      <c r="P130" s="162" t="n">
        <v>29.469318</v>
      </c>
      <c r="Q130" s="162" t="n">
        <v>29.941104</v>
      </c>
      <c r="R130" s="162" t="n">
        <v>29.342269</v>
      </c>
      <c r="S130" s="162" t="n">
        <v>29.978854</v>
      </c>
      <c r="T130" s="162" t="n">
        <v>31.075192</v>
      </c>
      <c r="U130" s="162" t="n">
        <v>30.393275</v>
      </c>
      <c r="V130" s="162" t="n">
        <v>31.190812</v>
      </c>
      <c r="W130" s="1" t="n">
        <v>27.7</v>
      </c>
    </row>
    <row r="131" customFormat="false" ht="14.5" hidden="false" customHeight="false" outlineLevel="0" collapsed="false">
      <c r="A131" s="1" t="s">
        <v>331</v>
      </c>
      <c r="B131" s="159" t="s">
        <v>332</v>
      </c>
      <c r="C131" s="162" t="n">
        <v>11.496486</v>
      </c>
      <c r="D131" s="162" t="n">
        <v>11.589031</v>
      </c>
      <c r="E131" s="162" t="n">
        <v>11.487143</v>
      </c>
      <c r="F131" s="162" t="n">
        <v>11.14167</v>
      </c>
      <c r="G131" s="162" t="n">
        <v>11.214555</v>
      </c>
      <c r="H131" s="162" t="n">
        <v>11.085901</v>
      </c>
      <c r="I131" s="162" t="n">
        <v>11.066409</v>
      </c>
      <c r="J131" s="162" t="n">
        <v>11.143038</v>
      </c>
      <c r="K131" s="162" t="n">
        <v>10.930925</v>
      </c>
      <c r="L131" s="162" t="n">
        <v>10.477145</v>
      </c>
      <c r="M131" s="162" t="n">
        <v>9.828487</v>
      </c>
      <c r="N131" s="162" t="n">
        <v>9.411657</v>
      </c>
      <c r="O131" s="162" t="n">
        <v>9.087782</v>
      </c>
      <c r="P131" s="162" t="n">
        <v>8.346127</v>
      </c>
      <c r="Q131" s="162" t="n">
        <v>8.067293</v>
      </c>
      <c r="R131" s="162" t="n">
        <v>7.258578</v>
      </c>
      <c r="S131" s="162" t="n">
        <v>6.85891</v>
      </c>
      <c r="T131" s="162" t="n">
        <v>6.661755</v>
      </c>
      <c r="U131" s="162" t="n">
        <v>5.705673</v>
      </c>
      <c r="V131" s="162" t="n">
        <v>5.495851</v>
      </c>
      <c r="W131" s="1" t="n">
        <v>5.2</v>
      </c>
    </row>
    <row r="132" customFormat="false" ht="14.5" hidden="false" customHeight="false" outlineLevel="0" collapsed="false">
      <c r="A132" s="1" t="s">
        <v>333</v>
      </c>
      <c r="B132" s="159" t="s">
        <v>334</v>
      </c>
      <c r="C132" s="162" t="n">
        <v>45.635715</v>
      </c>
      <c r="D132" s="162" t="n">
        <v>46.779704</v>
      </c>
      <c r="E132" s="162" t="n">
        <v>45.369386</v>
      </c>
      <c r="F132" s="162" t="n">
        <v>45.165066</v>
      </c>
      <c r="G132" s="162" t="n">
        <v>44.852884</v>
      </c>
      <c r="H132" s="162" t="n">
        <v>45.738352</v>
      </c>
      <c r="I132" s="162" t="n">
        <v>46.484978</v>
      </c>
      <c r="J132" s="162" t="n">
        <v>47.918777</v>
      </c>
      <c r="K132" s="162" t="n">
        <v>48.023831</v>
      </c>
      <c r="L132" s="162" t="n">
        <v>47.010202</v>
      </c>
      <c r="M132" s="162" t="n">
        <v>48.664201</v>
      </c>
      <c r="N132" s="162" t="n">
        <v>51.290877</v>
      </c>
      <c r="O132" s="162" t="n">
        <v>51.133006</v>
      </c>
      <c r="P132" s="162" t="n">
        <v>51.460731</v>
      </c>
      <c r="Q132" s="162" t="n">
        <v>50.898366</v>
      </c>
      <c r="R132" s="162" t="n">
        <v>50.749038</v>
      </c>
      <c r="S132" s="162" t="n">
        <v>51.532574</v>
      </c>
      <c r="T132" s="162" t="n">
        <v>52.221138</v>
      </c>
      <c r="U132" s="162" t="n">
        <v>53.183914</v>
      </c>
      <c r="V132" s="162" t="n">
        <v>56.05625</v>
      </c>
      <c r="W132" s="1" t="n">
        <v>36.1</v>
      </c>
    </row>
    <row r="133" customFormat="false" ht="14.5" hidden="false" customHeight="false" outlineLevel="0" collapsed="false">
      <c r="A133" s="1" t="s">
        <v>335</v>
      </c>
      <c r="B133" s="159" t="s">
        <v>336</v>
      </c>
      <c r="C133" s="162" t="n">
        <v>11.613199</v>
      </c>
      <c r="D133" s="162" t="n">
        <v>11.906779</v>
      </c>
      <c r="E133" s="162" t="n">
        <v>11.542452</v>
      </c>
      <c r="F133" s="162" t="n">
        <v>11.490912</v>
      </c>
      <c r="G133" s="162" t="n">
        <v>11.401819</v>
      </c>
      <c r="H133" s="162" t="n">
        <v>11.621002</v>
      </c>
      <c r="I133" s="162" t="n">
        <v>11.808489</v>
      </c>
      <c r="J133" s="162" t="n">
        <v>12.15348</v>
      </c>
      <c r="K133" s="162" t="n">
        <v>12.568599</v>
      </c>
      <c r="L133" s="162" t="n">
        <v>11.045052</v>
      </c>
      <c r="M133" s="162" t="n">
        <v>11.225693</v>
      </c>
      <c r="N133" s="162" t="n">
        <v>11.860568</v>
      </c>
      <c r="O133" s="162" t="n">
        <v>11.496904</v>
      </c>
      <c r="P133" s="162" t="n">
        <v>11.97242</v>
      </c>
      <c r="Q133" s="162" t="n">
        <v>11.72479</v>
      </c>
      <c r="R133" s="162" t="n">
        <v>11.665031</v>
      </c>
      <c r="S133" s="162" t="n">
        <v>11.860733</v>
      </c>
      <c r="T133" s="162" t="n">
        <v>12.155056</v>
      </c>
      <c r="U133" s="162" t="n">
        <v>12.049418</v>
      </c>
      <c r="V133" s="162" t="n">
        <v>12.314908</v>
      </c>
      <c r="W133" s="1" t="n">
        <v>6.9</v>
      </c>
    </row>
    <row r="134" customFormat="false" ht="14.5" hidden="false" customHeight="false" outlineLevel="0" collapsed="false">
      <c r="A134" s="1" t="s">
        <v>337</v>
      </c>
      <c r="B134" s="159" t="s">
        <v>338</v>
      </c>
      <c r="C134" s="162" t="n">
        <v>34.049872</v>
      </c>
      <c r="D134" s="162" t="n">
        <v>34.901011</v>
      </c>
      <c r="E134" s="162" t="n">
        <v>33.853962</v>
      </c>
      <c r="F134" s="162" t="n">
        <v>33.701031</v>
      </c>
      <c r="G134" s="162" t="n">
        <v>33.47735</v>
      </c>
      <c r="H134" s="162" t="n">
        <v>34.143969</v>
      </c>
      <c r="I134" s="162" t="n">
        <v>34.703417</v>
      </c>
      <c r="J134" s="162" t="n">
        <v>35.792231</v>
      </c>
      <c r="K134" s="162" t="n">
        <v>35.497825</v>
      </c>
      <c r="L134" s="162" t="n">
        <v>35.964789</v>
      </c>
      <c r="M134" s="162" t="n">
        <v>37.434951</v>
      </c>
      <c r="N134" s="162" t="n">
        <v>39.426912</v>
      </c>
      <c r="O134" s="162" t="n">
        <v>39.636965</v>
      </c>
      <c r="P134" s="162" t="n">
        <v>39.489023</v>
      </c>
      <c r="Q134" s="162" t="n">
        <v>39.173576</v>
      </c>
      <c r="R134" s="162" t="n">
        <v>39.084006</v>
      </c>
      <c r="S134" s="162" t="n">
        <v>39.671298</v>
      </c>
      <c r="T134" s="162" t="n">
        <v>40.060183</v>
      </c>
      <c r="U134" s="162" t="n">
        <v>41.151104</v>
      </c>
      <c r="V134" s="162" t="n">
        <v>43.808541</v>
      </c>
      <c r="W134" s="1" t="n">
        <v>29.3</v>
      </c>
    </row>
    <row r="135" customFormat="false" ht="14.5" hidden="false" customHeight="false" outlineLevel="0" collapsed="false">
      <c r="A135" s="1" t="s">
        <v>184</v>
      </c>
      <c r="B135" s="159" t="s">
        <v>339</v>
      </c>
      <c r="C135" s="162" t="n">
        <v>19.383138</v>
      </c>
      <c r="D135" s="162" t="n">
        <v>19.889327</v>
      </c>
      <c r="E135" s="162" t="n">
        <v>19.806692</v>
      </c>
      <c r="F135" s="162" t="n">
        <v>20.317522</v>
      </c>
      <c r="G135" s="162" t="n">
        <v>21.897606</v>
      </c>
      <c r="H135" s="162" t="n">
        <v>22.440643</v>
      </c>
      <c r="I135" s="162" t="n">
        <v>23.190993</v>
      </c>
      <c r="J135" s="162" t="n">
        <v>24.019516</v>
      </c>
      <c r="K135" s="162" t="n">
        <v>23.673562</v>
      </c>
      <c r="L135" s="162" t="n">
        <v>21.876767</v>
      </c>
      <c r="M135" s="162" t="n">
        <v>22.751302</v>
      </c>
      <c r="N135" s="162" t="n">
        <v>24.04584</v>
      </c>
      <c r="O135" s="162" t="n">
        <v>23.243868</v>
      </c>
      <c r="P135" s="162" t="n">
        <v>22.837195</v>
      </c>
      <c r="Q135" s="162" t="n">
        <v>23.40815</v>
      </c>
      <c r="R135" s="162" t="n">
        <v>23.429345</v>
      </c>
      <c r="S135" s="162" t="n">
        <v>23.81153</v>
      </c>
      <c r="T135" s="162" t="n">
        <v>25.365144</v>
      </c>
      <c r="U135" s="162" t="n">
        <v>26.043463</v>
      </c>
      <c r="V135" s="162" t="n">
        <v>26.84594</v>
      </c>
      <c r="W135" s="1" t="n">
        <v>25.5</v>
      </c>
    </row>
    <row r="136" customFormat="false" ht="14.5" hidden="false" customHeight="false" outlineLevel="0" collapsed="false">
      <c r="A136" s="1" t="s">
        <v>340</v>
      </c>
      <c r="B136" s="159" t="s">
        <v>341</v>
      </c>
      <c r="C136" s="162" t="n">
        <v>11.067078</v>
      </c>
      <c r="D136" s="162" t="n">
        <v>11.32921</v>
      </c>
      <c r="E136" s="162" t="n">
        <v>11.265905</v>
      </c>
      <c r="F136" s="162" t="n">
        <v>11.588995</v>
      </c>
      <c r="G136" s="162" t="n">
        <v>12.160116</v>
      </c>
      <c r="H136" s="162" t="n">
        <v>12.348278</v>
      </c>
      <c r="I136" s="162" t="n">
        <v>13.250551</v>
      </c>
      <c r="J136" s="162" t="n">
        <v>13.682243</v>
      </c>
      <c r="K136" s="162" t="n">
        <v>13.684755</v>
      </c>
      <c r="L136" s="162" t="n">
        <v>11.992981</v>
      </c>
      <c r="M136" s="162" t="n">
        <v>12.357603</v>
      </c>
      <c r="N136" s="162" t="n">
        <v>12.505021</v>
      </c>
      <c r="O136" s="162" t="n">
        <v>12.301085</v>
      </c>
      <c r="P136" s="162" t="n">
        <v>12.173464</v>
      </c>
      <c r="Q136" s="162" t="n">
        <v>12.382153</v>
      </c>
      <c r="R136" s="162" t="n">
        <v>12.339679</v>
      </c>
      <c r="S136" s="162" t="n">
        <v>12.47801</v>
      </c>
      <c r="T136" s="162" t="n">
        <v>13.77492</v>
      </c>
      <c r="U136" s="162" t="n">
        <v>13.902497</v>
      </c>
      <c r="V136" s="162" t="n">
        <v>14.385208</v>
      </c>
      <c r="W136" s="1" t="n">
        <v>13.7</v>
      </c>
    </row>
    <row r="137" customFormat="false" ht="14.5" hidden="false" customHeight="false" outlineLevel="0" collapsed="false">
      <c r="A137" s="1" t="s">
        <v>342</v>
      </c>
      <c r="B137" s="159" t="s">
        <v>343</v>
      </c>
      <c r="C137" s="162" t="n">
        <v>5.575008</v>
      </c>
      <c r="D137" s="162" t="n">
        <v>5.725962</v>
      </c>
      <c r="E137" s="162" t="n">
        <v>5.708183</v>
      </c>
      <c r="F137" s="162" t="n">
        <v>5.825703</v>
      </c>
      <c r="G137" s="162" t="n">
        <v>6.443343</v>
      </c>
      <c r="H137" s="162" t="n">
        <v>6.659725</v>
      </c>
      <c r="I137" s="162" t="n">
        <v>6.601201</v>
      </c>
      <c r="J137" s="162" t="n">
        <v>6.854017</v>
      </c>
      <c r="K137" s="162" t="n">
        <v>6.619599</v>
      </c>
      <c r="L137" s="162" t="n">
        <v>6.578216</v>
      </c>
      <c r="M137" s="162" t="n">
        <v>6.724778</v>
      </c>
      <c r="N137" s="162" t="n">
        <v>7.381</v>
      </c>
      <c r="O137" s="162" t="n">
        <v>7.232296</v>
      </c>
      <c r="P137" s="162" t="n">
        <v>6.975392</v>
      </c>
      <c r="Q137" s="162" t="n">
        <v>7.05988</v>
      </c>
      <c r="R137" s="162" t="n">
        <v>7.27811</v>
      </c>
      <c r="S137" s="162" t="n">
        <v>7.371712</v>
      </c>
      <c r="T137" s="162" t="n">
        <v>7.690691</v>
      </c>
      <c r="U137" s="162" t="n">
        <v>7.761328</v>
      </c>
      <c r="V137" s="162" t="n">
        <v>7.996259</v>
      </c>
      <c r="W137" s="1" t="n">
        <v>7</v>
      </c>
    </row>
    <row r="138" customFormat="false" ht="14.5" hidden="false" customHeight="false" outlineLevel="0" collapsed="false">
      <c r="A138" s="1" t="s">
        <v>344</v>
      </c>
      <c r="B138" s="159" t="s">
        <v>345</v>
      </c>
      <c r="C138" s="162" t="n">
        <v>2.8398</v>
      </c>
      <c r="D138" s="162" t="n">
        <v>2.935656</v>
      </c>
      <c r="E138" s="162" t="n">
        <v>2.933331</v>
      </c>
      <c r="F138" s="162" t="n">
        <v>3.009087</v>
      </c>
      <c r="G138" s="162" t="n">
        <v>3.358306</v>
      </c>
      <c r="H138" s="162" t="n">
        <v>3.483964</v>
      </c>
      <c r="I138" s="162" t="n">
        <v>3.439954</v>
      </c>
      <c r="J138" s="162" t="n">
        <v>3.583073</v>
      </c>
      <c r="K138" s="162" t="n">
        <v>3.48516</v>
      </c>
      <c r="L138" s="162" t="n">
        <v>3.3509</v>
      </c>
      <c r="M138" s="162" t="n">
        <v>3.705047</v>
      </c>
      <c r="N138" s="162" t="n">
        <v>4.174038</v>
      </c>
      <c r="O138" s="162" t="n">
        <v>3.723923</v>
      </c>
      <c r="P138" s="162" t="n">
        <v>3.701772</v>
      </c>
      <c r="Q138" s="162" t="n">
        <v>3.966117</v>
      </c>
      <c r="R138" s="162" t="n">
        <v>3.811556</v>
      </c>
      <c r="S138" s="162" t="n">
        <v>3.953226</v>
      </c>
      <c r="T138" s="162" t="n">
        <v>3.908516</v>
      </c>
      <c r="U138" s="162" t="n">
        <v>4.335974</v>
      </c>
      <c r="V138" s="162" t="n">
        <v>4.420869</v>
      </c>
      <c r="W138" s="1" t="n">
        <v>4.7</v>
      </c>
    </row>
    <row r="139" customFormat="false" ht="14.5" hidden="false" customHeight="false" outlineLevel="0" collapsed="false">
      <c r="A139" s="1" t="s">
        <v>186</v>
      </c>
      <c r="B139" s="159" t="s">
        <v>346</v>
      </c>
      <c r="C139" s="162" t="n">
        <v>9.008286</v>
      </c>
      <c r="D139" s="162" t="n">
        <v>10.810107</v>
      </c>
      <c r="E139" s="162" t="n">
        <v>13.617541</v>
      </c>
      <c r="F139" s="162" t="n">
        <v>13.938879</v>
      </c>
      <c r="G139" s="162" t="n">
        <v>15.007693</v>
      </c>
      <c r="H139" s="162" t="n">
        <v>15.022374</v>
      </c>
      <c r="I139" s="162" t="n">
        <v>17.099735</v>
      </c>
      <c r="J139" s="162" t="n">
        <v>17.901907</v>
      </c>
      <c r="K139" s="162" t="n">
        <v>18.385792</v>
      </c>
      <c r="L139" s="162" t="n">
        <v>17.932514</v>
      </c>
      <c r="M139" s="162" t="n">
        <v>18.637521</v>
      </c>
      <c r="N139" s="162" t="n">
        <v>20.962476</v>
      </c>
      <c r="O139" s="162" t="n">
        <v>23.168898</v>
      </c>
      <c r="P139" s="162" t="n">
        <v>23.219666</v>
      </c>
      <c r="Q139" s="162" t="n">
        <v>24.141014</v>
      </c>
      <c r="R139" s="162" t="n">
        <v>25.387605</v>
      </c>
      <c r="S139" s="162" t="n">
        <v>24.902417</v>
      </c>
      <c r="T139" s="162" t="n">
        <v>26.1104</v>
      </c>
      <c r="U139" s="162" t="n">
        <v>27.289002</v>
      </c>
      <c r="V139" s="162" t="n">
        <v>28.413038</v>
      </c>
      <c r="W139" s="1" t="n">
        <v>28.4</v>
      </c>
    </row>
    <row r="140" customFormat="false" ht="14.5" hidden="false" customHeight="false" outlineLevel="0" collapsed="false">
      <c r="A140" s="1" t="s">
        <v>188</v>
      </c>
      <c r="B140" s="159" t="s">
        <v>347</v>
      </c>
      <c r="C140" s="162" t="n">
        <v>28.864282</v>
      </c>
      <c r="D140" s="162" t="n">
        <v>29.842191</v>
      </c>
      <c r="E140" s="162" t="n">
        <v>29.690265</v>
      </c>
      <c r="F140" s="162" t="n">
        <v>31.339994</v>
      </c>
      <c r="G140" s="162" t="n">
        <v>33.594562</v>
      </c>
      <c r="H140" s="162" t="n">
        <v>34.07847</v>
      </c>
      <c r="I140" s="162" t="n">
        <v>36.959558</v>
      </c>
      <c r="J140" s="162" t="n">
        <v>39.130225</v>
      </c>
      <c r="K140" s="162" t="n">
        <v>41.676504</v>
      </c>
      <c r="L140" s="162" t="n">
        <v>40.287552</v>
      </c>
      <c r="M140" s="162" t="n">
        <v>41.71791</v>
      </c>
      <c r="N140" s="162" t="n">
        <v>42.608907</v>
      </c>
      <c r="O140" s="162" t="n">
        <v>44.678975</v>
      </c>
      <c r="P140" s="162" t="n">
        <v>44.511213</v>
      </c>
      <c r="Q140" s="162" t="n">
        <v>46.826785</v>
      </c>
      <c r="R140" s="162" t="n">
        <v>49.136339</v>
      </c>
      <c r="S140" s="162" t="n">
        <v>52.227703</v>
      </c>
      <c r="T140" s="162" t="n">
        <v>55.573904</v>
      </c>
      <c r="U140" s="162" t="n">
        <v>59.66756</v>
      </c>
      <c r="V140" s="162" t="n">
        <v>63.189658</v>
      </c>
      <c r="W140" s="1" t="n">
        <v>64.3</v>
      </c>
    </row>
    <row r="141" customFormat="false" ht="14.5" hidden="false" customHeight="false" outlineLevel="0" collapsed="false">
      <c r="A141" s="1" t="s">
        <v>348</v>
      </c>
      <c r="B141" s="159" t="s">
        <v>349</v>
      </c>
      <c r="C141" s="162" t="n">
        <v>25.739172</v>
      </c>
      <c r="D141" s="162" t="n">
        <v>26.562404</v>
      </c>
      <c r="E141" s="162" t="n">
        <v>26.374244</v>
      </c>
      <c r="F141" s="162" t="n">
        <v>27.867351</v>
      </c>
      <c r="G141" s="162" t="n">
        <v>29.963575</v>
      </c>
      <c r="H141" s="162" t="n">
        <v>30.377065</v>
      </c>
      <c r="I141" s="162" t="n">
        <v>33.065153</v>
      </c>
      <c r="J141" s="162" t="n">
        <v>35.068492</v>
      </c>
      <c r="K141" s="162" t="n">
        <v>36.89813</v>
      </c>
      <c r="L141" s="162" t="n">
        <v>35.304103</v>
      </c>
      <c r="M141" s="162" t="n">
        <v>36.854163</v>
      </c>
      <c r="N141" s="162" t="n">
        <v>37.582166</v>
      </c>
      <c r="O141" s="162" t="n">
        <v>39.09508</v>
      </c>
      <c r="P141" s="162" t="n">
        <v>38.777004</v>
      </c>
      <c r="Q141" s="162" t="n">
        <v>40.914857</v>
      </c>
      <c r="R141" s="162" t="n">
        <v>43.021267</v>
      </c>
      <c r="S141" s="162" t="n">
        <v>45.61875</v>
      </c>
      <c r="T141" s="162" t="n">
        <v>48.494861</v>
      </c>
      <c r="U141" s="162" t="n">
        <v>51.826713</v>
      </c>
      <c r="V141" s="162" t="n">
        <v>54.745205</v>
      </c>
      <c r="W141" s="1" t="n">
        <v>55.2</v>
      </c>
    </row>
    <row r="142" customFormat="false" ht="14.5" hidden="false" customHeight="false" outlineLevel="0" collapsed="false">
      <c r="A142" s="1" t="s">
        <v>350</v>
      </c>
      <c r="B142" s="159" t="s">
        <v>351</v>
      </c>
      <c r="C142" s="162" t="n">
        <v>3.190023</v>
      </c>
      <c r="D142" s="162" t="n">
        <v>3.338906</v>
      </c>
      <c r="E142" s="162" t="n">
        <v>3.367508</v>
      </c>
      <c r="F142" s="162" t="n">
        <v>3.531369</v>
      </c>
      <c r="G142" s="162" t="n">
        <v>3.710598</v>
      </c>
      <c r="H142" s="162" t="n">
        <v>3.778476</v>
      </c>
      <c r="I142" s="162" t="n">
        <v>4.002087</v>
      </c>
      <c r="J142" s="162" t="n">
        <v>4.188441</v>
      </c>
      <c r="K142" s="162" t="n">
        <v>4.814789</v>
      </c>
      <c r="L142" s="162" t="n">
        <v>4.964486</v>
      </c>
      <c r="M142" s="162" t="n">
        <v>4.87619</v>
      </c>
      <c r="N142" s="162" t="n">
        <v>5.036619</v>
      </c>
      <c r="O142" s="162" t="n">
        <v>5.589171</v>
      </c>
      <c r="P142" s="162" t="n">
        <v>5.736843</v>
      </c>
      <c r="Q142" s="162" t="n">
        <v>5.911928</v>
      </c>
      <c r="R142" s="162" t="n">
        <v>6.115072</v>
      </c>
      <c r="S142" s="162" t="n">
        <v>6.608855</v>
      </c>
      <c r="T142" s="162" t="n">
        <v>7.079257</v>
      </c>
      <c r="U142" s="162" t="n">
        <v>7.845685</v>
      </c>
      <c r="V142" s="162" t="n">
        <v>8.452828</v>
      </c>
      <c r="W142" s="1" t="n">
        <v>9.1</v>
      </c>
    </row>
    <row r="143" customFormat="false" ht="14.5" hidden="false" customHeight="false" outlineLevel="0" collapsed="false">
      <c r="A143" s="1" t="s">
        <v>352</v>
      </c>
      <c r="B143" s="159" t="s">
        <v>353</v>
      </c>
      <c r="C143" s="162" t="n">
        <v>62.867635</v>
      </c>
      <c r="D143" s="162" t="n">
        <v>61.420192</v>
      </c>
      <c r="E143" s="162" t="n">
        <v>63.902166</v>
      </c>
      <c r="F143" s="162" t="n">
        <v>64.976066</v>
      </c>
      <c r="G143" s="162" t="n">
        <v>68.616925</v>
      </c>
      <c r="H143" s="162" t="n">
        <v>68.926472</v>
      </c>
      <c r="I143" s="162" t="n">
        <v>67.465114</v>
      </c>
      <c r="J143" s="162" t="n">
        <v>72.481975</v>
      </c>
      <c r="K143" s="162" t="n">
        <v>73.459596</v>
      </c>
      <c r="L143" s="162" t="n">
        <v>78.393346</v>
      </c>
      <c r="M143" s="162" t="n">
        <v>78.692791</v>
      </c>
      <c r="N143" s="162" t="n">
        <v>83.877674</v>
      </c>
      <c r="O143" s="162" t="n">
        <v>85.825521</v>
      </c>
      <c r="P143" s="162" t="n">
        <v>85.828543</v>
      </c>
      <c r="Q143" s="162" t="n">
        <v>86.922708</v>
      </c>
      <c r="R143" s="162" t="n">
        <v>87.092391</v>
      </c>
      <c r="S143" s="162" t="n">
        <v>86.822427</v>
      </c>
      <c r="T143" s="162" t="n">
        <v>87.271519</v>
      </c>
      <c r="U143" s="162" t="n">
        <v>93.555758</v>
      </c>
      <c r="V143" s="162" t="n">
        <v>95.154635</v>
      </c>
      <c r="W143" s="1" t="n">
        <v>91.3</v>
      </c>
    </row>
    <row r="144" customFormat="false" ht="14.5" hidden="false" customHeight="false" outlineLevel="0" collapsed="false">
      <c r="A144" s="1" t="s">
        <v>354</v>
      </c>
      <c r="B144" s="159" t="s">
        <v>355</v>
      </c>
      <c r="C144" s="162" t="n">
        <v>42.843302</v>
      </c>
      <c r="D144" s="162" t="n">
        <v>44.039982</v>
      </c>
      <c r="E144" s="162" t="n">
        <v>42.506005</v>
      </c>
      <c r="F144" s="162" t="n">
        <v>42.884742</v>
      </c>
      <c r="G144" s="162" t="n">
        <v>44.270245</v>
      </c>
      <c r="H144" s="162" t="n">
        <v>44.190961</v>
      </c>
      <c r="I144" s="162" t="n">
        <v>46.940456</v>
      </c>
      <c r="J144" s="162" t="n">
        <v>52.213739</v>
      </c>
      <c r="K144" s="162" t="n">
        <v>53.228923</v>
      </c>
      <c r="L144" s="162" t="n">
        <v>52.901222</v>
      </c>
      <c r="M144" s="162" t="n">
        <v>53.981408</v>
      </c>
      <c r="N144" s="162" t="n">
        <v>56.850161</v>
      </c>
      <c r="O144" s="162" t="n">
        <v>58.670727</v>
      </c>
      <c r="P144" s="162" t="n">
        <v>58.957723</v>
      </c>
      <c r="Q144" s="162" t="n">
        <v>60.045</v>
      </c>
      <c r="R144" s="162" t="n">
        <v>60.197765</v>
      </c>
      <c r="S144" s="162" t="n">
        <v>61.401549</v>
      </c>
      <c r="T144" s="162" t="n">
        <v>61.862576</v>
      </c>
      <c r="U144" s="162" t="n">
        <v>66.551271</v>
      </c>
      <c r="V144" s="162" t="n">
        <v>67.935648</v>
      </c>
      <c r="W144" s="1" t="n">
        <v>68.2</v>
      </c>
    </row>
    <row r="145" customFormat="false" ht="14.5" hidden="false" customHeight="false" outlineLevel="0" collapsed="false">
      <c r="A145" s="1" t="s">
        <v>356</v>
      </c>
      <c r="B145" s="159" t="s">
        <v>357</v>
      </c>
      <c r="C145" s="162" t="n">
        <v>8.746389</v>
      </c>
      <c r="D145" s="162" t="n">
        <v>5.563802</v>
      </c>
      <c r="E145" s="162" t="n">
        <v>8.875745</v>
      </c>
      <c r="F145" s="162" t="n">
        <v>8.57368</v>
      </c>
      <c r="G145" s="162" t="n">
        <v>9.827996</v>
      </c>
      <c r="H145" s="162" t="n">
        <v>9.781641</v>
      </c>
      <c r="I145" s="162" t="n">
        <v>6.983754</v>
      </c>
      <c r="J145" s="162" t="n">
        <v>7.230396</v>
      </c>
      <c r="K145" s="162" t="n">
        <v>7.903913</v>
      </c>
      <c r="L145" s="162" t="n">
        <v>10.071144</v>
      </c>
      <c r="M145" s="162" t="n">
        <v>7.944809</v>
      </c>
      <c r="N145" s="162" t="n">
        <v>10.341143</v>
      </c>
      <c r="O145" s="162" t="n">
        <v>10.101782</v>
      </c>
      <c r="P145" s="162" t="n">
        <v>10.380867</v>
      </c>
      <c r="Q145" s="162" t="n">
        <v>10.364</v>
      </c>
      <c r="R145" s="162" t="n">
        <v>9.020175</v>
      </c>
      <c r="S145" s="162" t="n">
        <v>8.420308</v>
      </c>
      <c r="T145" s="162" t="n">
        <v>7.929882</v>
      </c>
      <c r="U145" s="162" t="n">
        <v>8.729837</v>
      </c>
      <c r="V145" s="162" t="n">
        <v>7.19802</v>
      </c>
      <c r="W145" s="1" t="n">
        <v>3.8</v>
      </c>
    </row>
    <row r="146" customFormat="false" ht="14.5" hidden="false" customHeight="false" outlineLevel="0" collapsed="false">
      <c r="A146" s="1" t="s">
        <v>358</v>
      </c>
      <c r="B146" s="159" t="s">
        <v>359</v>
      </c>
      <c r="C146" s="162" t="n">
        <v>13.801572</v>
      </c>
      <c r="D146" s="162" t="n">
        <v>14.503371</v>
      </c>
      <c r="E146" s="162" t="n">
        <v>13.761891</v>
      </c>
      <c r="F146" s="162" t="n">
        <v>14.935876</v>
      </c>
      <c r="G146" s="162" t="n">
        <v>15.90221</v>
      </c>
      <c r="H146" s="162" t="n">
        <v>16.413692</v>
      </c>
      <c r="I146" s="162" t="n">
        <v>17.31998</v>
      </c>
      <c r="J146" s="162" t="n">
        <v>17.660344</v>
      </c>
      <c r="K146" s="162" t="n">
        <v>16.188755</v>
      </c>
      <c r="L146" s="162" t="n">
        <v>16.021126</v>
      </c>
      <c r="M146" s="162" t="n">
        <v>17.584541</v>
      </c>
      <c r="N146" s="162" t="n">
        <v>16.478238</v>
      </c>
      <c r="O146" s="162" t="n">
        <v>17.034988</v>
      </c>
      <c r="P146" s="162" t="n">
        <v>16.457979</v>
      </c>
      <c r="Q146" s="162" t="n">
        <v>16.513708</v>
      </c>
      <c r="R146" s="162" t="n">
        <v>17.87445</v>
      </c>
      <c r="S146" s="162" t="n">
        <v>17.204404</v>
      </c>
      <c r="T146" s="162" t="n">
        <v>17.857797</v>
      </c>
      <c r="U146" s="162" t="n">
        <v>18.702382</v>
      </c>
      <c r="V146" s="162" t="n">
        <v>21.263074</v>
      </c>
      <c r="W146" s="1" t="n">
        <v>22.3</v>
      </c>
    </row>
    <row r="147" customFormat="false" ht="14.5" hidden="false" customHeight="false" outlineLevel="0" collapsed="false">
      <c r="A147" s="1" t="s">
        <v>360</v>
      </c>
      <c r="B147" s="159" t="s">
        <v>361</v>
      </c>
      <c r="C147" s="162" t="n">
        <v>199.852095</v>
      </c>
      <c r="D147" s="162" t="n">
        <v>206.111951</v>
      </c>
      <c r="E147" s="162" t="n">
        <v>202.706574</v>
      </c>
      <c r="F147" s="162" t="n">
        <v>204.071251</v>
      </c>
      <c r="G147" s="162" t="n">
        <v>211.829944</v>
      </c>
      <c r="H147" s="162" t="n">
        <v>218.520777</v>
      </c>
      <c r="I147" s="162" t="n">
        <v>225.146547</v>
      </c>
      <c r="J147" s="162" t="n">
        <v>228.096932</v>
      </c>
      <c r="K147" s="162" t="n">
        <v>228.50701</v>
      </c>
      <c r="L147" s="162" t="n">
        <v>230.218719</v>
      </c>
      <c r="M147" s="162" t="n">
        <v>234.797295</v>
      </c>
      <c r="N147" s="162" t="n">
        <v>234.243846</v>
      </c>
      <c r="O147" s="162" t="n">
        <v>238.522291</v>
      </c>
      <c r="P147" s="162" t="n">
        <v>243.200633</v>
      </c>
      <c r="Q147" s="162" t="n">
        <v>245.920552</v>
      </c>
      <c r="R147" s="162" t="n">
        <v>246.727453</v>
      </c>
      <c r="S147" s="162" t="n">
        <v>248.683895</v>
      </c>
      <c r="T147" s="162" t="n">
        <v>250.644665</v>
      </c>
      <c r="U147" s="162" t="n">
        <v>253.901689</v>
      </c>
      <c r="V147" s="162" t="n">
        <v>258.663773</v>
      </c>
      <c r="W147" s="1" t="n">
        <v>255.5</v>
      </c>
    </row>
    <row r="148" customFormat="false" ht="14.5" hidden="false" customHeight="false" outlineLevel="0" collapsed="false">
      <c r="A148" s="1" t="s">
        <v>196</v>
      </c>
      <c r="B148" s="159" t="s">
        <v>362</v>
      </c>
      <c r="C148" s="162" t="n">
        <v>69.865483</v>
      </c>
      <c r="D148" s="162" t="n">
        <v>69.079358</v>
      </c>
      <c r="E148" s="162" t="n">
        <v>72.161818</v>
      </c>
      <c r="F148" s="162" t="n">
        <v>75.704162</v>
      </c>
      <c r="G148" s="162" t="n">
        <v>78.42636</v>
      </c>
      <c r="H148" s="162" t="n">
        <v>81.717325</v>
      </c>
      <c r="I148" s="162" t="n">
        <v>87.155295</v>
      </c>
      <c r="J148" s="162" t="n">
        <v>90.310184</v>
      </c>
      <c r="K148" s="162" t="n">
        <v>92.020143</v>
      </c>
      <c r="L148" s="162" t="n">
        <v>87.376951</v>
      </c>
      <c r="M148" s="162" t="n">
        <v>92.349597</v>
      </c>
      <c r="N148" s="162" t="n">
        <v>95.639998</v>
      </c>
      <c r="O148" s="162" t="n">
        <v>97.611407</v>
      </c>
      <c r="P148" s="162" t="n">
        <v>98.985678</v>
      </c>
      <c r="Q148" s="162" t="n">
        <v>100.608776</v>
      </c>
      <c r="R148" s="162" t="n">
        <v>102.374822</v>
      </c>
      <c r="S148" s="162" t="n">
        <v>105.076504</v>
      </c>
      <c r="T148" s="162" t="n">
        <v>110.178216</v>
      </c>
      <c r="U148" s="162" t="n">
        <v>114.41453</v>
      </c>
      <c r="V148" s="162" t="n">
        <v>118.260933</v>
      </c>
      <c r="W148" s="1" t="n">
        <v>114.3</v>
      </c>
    </row>
    <row r="149" customFormat="false" ht="14.5" hidden="false" customHeight="false" outlineLevel="0" collapsed="false">
      <c r="A149" s="1" t="s">
        <v>363</v>
      </c>
      <c r="B149" s="159" t="s">
        <v>364</v>
      </c>
      <c r="C149" s="162" t="n">
        <v>20.877103</v>
      </c>
      <c r="D149" s="162" t="n">
        <v>21.599306</v>
      </c>
      <c r="E149" s="162" t="n">
        <v>22.204554</v>
      </c>
      <c r="F149" s="162" t="n">
        <v>22.504475</v>
      </c>
      <c r="G149" s="162" t="n">
        <v>23.220419</v>
      </c>
      <c r="H149" s="162" t="n">
        <v>23.897094</v>
      </c>
      <c r="I149" s="162" t="n">
        <v>24.978818</v>
      </c>
      <c r="J149" s="162" t="n">
        <v>25.881006</v>
      </c>
      <c r="K149" s="162" t="n">
        <v>25.647604</v>
      </c>
      <c r="L149" s="162" t="n">
        <v>24.824613</v>
      </c>
      <c r="M149" s="162" t="n">
        <v>27.23617</v>
      </c>
      <c r="N149" s="162" t="n">
        <v>28.565913</v>
      </c>
      <c r="O149" s="162" t="n">
        <v>28.883133</v>
      </c>
      <c r="P149" s="162" t="n">
        <v>28.302881</v>
      </c>
      <c r="Q149" s="162" t="n">
        <v>28.95695</v>
      </c>
      <c r="R149" s="162" t="n">
        <v>29.765626</v>
      </c>
      <c r="S149" s="162" t="n">
        <v>30.096094</v>
      </c>
      <c r="T149" s="162" t="n">
        <v>30.961141</v>
      </c>
      <c r="U149" s="162" t="n">
        <v>33.090485</v>
      </c>
      <c r="V149" s="162" t="n">
        <v>34.275237</v>
      </c>
      <c r="W149" s="1" t="n">
        <v>33.3</v>
      </c>
    </row>
    <row r="150" customFormat="false" ht="14.5" hidden="false" customHeight="false" outlineLevel="0" collapsed="false">
      <c r="A150" s="1" t="s">
        <v>365</v>
      </c>
      <c r="B150" s="159" t="s">
        <v>366</v>
      </c>
      <c r="C150" s="162" t="n">
        <v>30.241216</v>
      </c>
      <c r="D150" s="162" t="n">
        <v>27.294227</v>
      </c>
      <c r="E150" s="162" t="n">
        <v>29.396903</v>
      </c>
      <c r="F150" s="162" t="n">
        <v>31.362532</v>
      </c>
      <c r="G150" s="162" t="n">
        <v>33.240179</v>
      </c>
      <c r="H150" s="162" t="n">
        <v>34.627411</v>
      </c>
      <c r="I150" s="162" t="n">
        <v>36.53373</v>
      </c>
      <c r="J150" s="162" t="n">
        <v>37.637154</v>
      </c>
      <c r="K150" s="162" t="n">
        <v>38.238804</v>
      </c>
      <c r="L150" s="162" t="n">
        <v>37.319447</v>
      </c>
      <c r="M150" s="162" t="n">
        <v>39.356095</v>
      </c>
      <c r="N150" s="162" t="n">
        <v>40.358861</v>
      </c>
      <c r="O150" s="162" t="n">
        <v>40.776596</v>
      </c>
      <c r="P150" s="162" t="n">
        <v>41.523133</v>
      </c>
      <c r="Q150" s="162" t="n">
        <v>42.499561</v>
      </c>
      <c r="R150" s="162" t="n">
        <v>43.089323</v>
      </c>
      <c r="S150" s="162" t="n">
        <v>45.050789</v>
      </c>
      <c r="T150" s="162" t="n">
        <v>46.698074</v>
      </c>
      <c r="U150" s="162" t="n">
        <v>48.203956</v>
      </c>
      <c r="V150" s="162" t="n">
        <v>49.390588</v>
      </c>
      <c r="W150" s="1" t="n">
        <v>46.4</v>
      </c>
    </row>
    <row r="151" customFormat="false" ht="14.5" hidden="false" customHeight="false" outlineLevel="0" collapsed="false">
      <c r="A151" s="1" t="s">
        <v>367</v>
      </c>
      <c r="B151" s="159" t="s">
        <v>368</v>
      </c>
      <c r="C151" s="162" t="n">
        <v>19.311065</v>
      </c>
      <c r="D151" s="162" t="n">
        <v>20.190752</v>
      </c>
      <c r="E151" s="162" t="n">
        <v>20.600412</v>
      </c>
      <c r="F151" s="162" t="n">
        <v>21.862436</v>
      </c>
      <c r="G151" s="162" t="n">
        <v>22.008787</v>
      </c>
      <c r="H151" s="162" t="n">
        <v>23.229079</v>
      </c>
      <c r="I151" s="162" t="n">
        <v>25.661968</v>
      </c>
      <c r="J151" s="162" t="n">
        <v>26.80726</v>
      </c>
      <c r="K151" s="162" t="n">
        <v>28.118407</v>
      </c>
      <c r="L151" s="162" t="n">
        <v>25.223643</v>
      </c>
      <c r="M151" s="162" t="n">
        <v>25.783392</v>
      </c>
      <c r="N151" s="162" t="n">
        <v>26.756717</v>
      </c>
      <c r="O151" s="162" t="n">
        <v>27.978691</v>
      </c>
      <c r="P151" s="162" t="n">
        <v>29.161304</v>
      </c>
      <c r="Q151" s="162" t="n">
        <v>29.152264</v>
      </c>
      <c r="R151" s="162" t="n">
        <v>29.519872</v>
      </c>
      <c r="S151" s="162" t="n">
        <v>29.910456</v>
      </c>
      <c r="T151" s="162" t="n">
        <v>32.478587</v>
      </c>
      <c r="U151" s="162" t="n">
        <v>33.091188</v>
      </c>
      <c r="V151" s="162" t="n">
        <v>34.575948</v>
      </c>
      <c r="W151" s="1" t="n">
        <v>34.6</v>
      </c>
    </row>
    <row r="152" customFormat="false" ht="14.5" hidden="false" customHeight="false" outlineLevel="0" collapsed="false">
      <c r="A152" s="1" t="s">
        <v>198</v>
      </c>
      <c r="B152" s="159" t="s">
        <v>369</v>
      </c>
      <c r="C152" s="162" t="n">
        <v>27.413891</v>
      </c>
      <c r="D152" s="162" t="n">
        <v>26.476153</v>
      </c>
      <c r="E152" s="162" t="n">
        <v>27.087041</v>
      </c>
      <c r="F152" s="162" t="n">
        <v>26.676573</v>
      </c>
      <c r="G152" s="162" t="n">
        <v>26.896057</v>
      </c>
      <c r="H152" s="162" t="n">
        <v>26.565214</v>
      </c>
      <c r="I152" s="162" t="n">
        <v>26.985468</v>
      </c>
      <c r="J152" s="162" t="n">
        <v>27.64117</v>
      </c>
      <c r="K152" s="162" t="n">
        <v>29.067184</v>
      </c>
      <c r="L152" s="162" t="n">
        <v>29.596569</v>
      </c>
      <c r="M152" s="162" t="n">
        <v>30.390977</v>
      </c>
      <c r="N152" s="162" t="n">
        <v>31.111065</v>
      </c>
      <c r="O152" s="162" t="n">
        <v>31.905929</v>
      </c>
      <c r="P152" s="162" t="n">
        <v>32.930802</v>
      </c>
      <c r="Q152" s="162" t="n">
        <v>33.550325</v>
      </c>
      <c r="R152" s="162" t="n">
        <v>33.455739</v>
      </c>
      <c r="S152" s="162" t="n">
        <v>33.362495</v>
      </c>
      <c r="T152" s="162" t="n">
        <v>35.352969</v>
      </c>
      <c r="U152" s="162" t="n">
        <v>35.547234</v>
      </c>
      <c r="V152" s="162" t="n">
        <v>36.015592</v>
      </c>
      <c r="W152" s="1" t="n">
        <v>34.7</v>
      </c>
    </row>
    <row r="153" customFormat="false" ht="14.5" hidden="false" customHeight="false" outlineLevel="0" collapsed="false">
      <c r="A153" s="1" t="s">
        <v>200</v>
      </c>
      <c r="B153" s="159" t="s">
        <v>370</v>
      </c>
      <c r="C153" s="162" t="n">
        <v>10.73372</v>
      </c>
      <c r="D153" s="162" t="n">
        <v>10.706769</v>
      </c>
      <c r="E153" s="162" t="n">
        <v>11.292026</v>
      </c>
      <c r="F153" s="162" t="n">
        <v>10.709196</v>
      </c>
      <c r="G153" s="162" t="n">
        <v>11.259017</v>
      </c>
      <c r="H153" s="162" t="n">
        <v>11.983407</v>
      </c>
      <c r="I153" s="162" t="n">
        <v>12.145347</v>
      </c>
      <c r="J153" s="162" t="n">
        <v>12.519088</v>
      </c>
      <c r="K153" s="162" t="n">
        <v>12.700179</v>
      </c>
      <c r="L153" s="162" t="n">
        <v>12.485498</v>
      </c>
      <c r="M153" s="162" t="n">
        <v>13.040074</v>
      </c>
      <c r="N153" s="162" t="n">
        <v>13.938494</v>
      </c>
      <c r="O153" s="162" t="n">
        <v>14.510355</v>
      </c>
      <c r="P153" s="162" t="n">
        <v>14.326101</v>
      </c>
      <c r="Q153" s="162" t="n">
        <v>14.585618</v>
      </c>
      <c r="R153" s="162" t="n">
        <v>14.890879</v>
      </c>
      <c r="S153" s="162" t="n">
        <v>14.951174</v>
      </c>
      <c r="T153" s="162" t="n">
        <v>15.388038</v>
      </c>
      <c r="U153" s="162" t="n">
        <v>15.743113</v>
      </c>
      <c r="V153" s="162" t="n">
        <v>16.322865</v>
      </c>
      <c r="W153" s="1" t="n">
        <v>15.4</v>
      </c>
    </row>
    <row r="154" customFormat="false" ht="14.5" hidden="false" customHeight="false" outlineLevel="0" collapsed="false">
      <c r="A154" s="1" t="s">
        <v>371</v>
      </c>
      <c r="B154" s="159" t="s">
        <v>372</v>
      </c>
      <c r="C154" s="162" t="n">
        <v>5.860686</v>
      </c>
      <c r="D154" s="162" t="n">
        <v>5.674871</v>
      </c>
      <c r="E154" s="162" t="n">
        <v>5.7202</v>
      </c>
      <c r="F154" s="162" t="n">
        <v>5.684741</v>
      </c>
      <c r="G154" s="162" t="n">
        <v>5.966729</v>
      </c>
      <c r="H154" s="162" t="n">
        <v>6.517309</v>
      </c>
      <c r="I154" s="162" t="n">
        <v>6.638599</v>
      </c>
      <c r="J154" s="162" t="n">
        <v>6.821375</v>
      </c>
      <c r="K154" s="162" t="n">
        <v>7.067172</v>
      </c>
      <c r="L154" s="162" t="n">
        <v>7.358002</v>
      </c>
      <c r="M154" s="162" t="n">
        <v>7.81503</v>
      </c>
      <c r="N154" s="162" t="n">
        <v>8.309071</v>
      </c>
      <c r="O154" s="162" t="n">
        <v>8.564405</v>
      </c>
      <c r="P154" s="162" t="n">
        <v>8.614952</v>
      </c>
      <c r="Q154" s="162" t="n">
        <v>8.847256</v>
      </c>
      <c r="R154" s="162" t="n">
        <v>8.702584</v>
      </c>
      <c r="S154" s="162" t="n">
        <v>8.695861</v>
      </c>
      <c r="T154" s="162" t="n">
        <v>8.778908</v>
      </c>
      <c r="U154" s="162" t="n">
        <v>8.946178</v>
      </c>
      <c r="V154" s="162" t="n">
        <v>9.024714</v>
      </c>
      <c r="W154" s="1" t="n">
        <v>8</v>
      </c>
    </row>
    <row r="155" customFormat="false" ht="14.5" hidden="false" customHeight="false" outlineLevel="0" collapsed="false">
      <c r="A155" s="1" t="s">
        <v>373</v>
      </c>
      <c r="B155" s="159" t="s">
        <v>374</v>
      </c>
      <c r="C155" s="162" t="n">
        <v>3.776838</v>
      </c>
      <c r="D155" s="162" t="n">
        <v>4.040322</v>
      </c>
      <c r="E155" s="162" t="n">
        <v>4.240871</v>
      </c>
      <c r="F155" s="162" t="n">
        <v>4.205301</v>
      </c>
      <c r="G155" s="162" t="n">
        <v>4.304405</v>
      </c>
      <c r="H155" s="162" t="n">
        <v>4.41859</v>
      </c>
      <c r="I155" s="162" t="n">
        <v>4.510112</v>
      </c>
      <c r="J155" s="162" t="n">
        <v>4.667987</v>
      </c>
      <c r="K155" s="162" t="n">
        <v>4.444003</v>
      </c>
      <c r="L155" s="162" t="n">
        <v>3.676215</v>
      </c>
      <c r="M155" s="162" t="n">
        <v>3.75128</v>
      </c>
      <c r="N155" s="162" t="n">
        <v>4.090646</v>
      </c>
      <c r="O155" s="162" t="n">
        <v>4.365357</v>
      </c>
      <c r="P155" s="162" t="n">
        <v>4.210548</v>
      </c>
      <c r="Q155" s="162" t="n">
        <v>4.22958</v>
      </c>
      <c r="R155" s="162" t="n">
        <v>4.716684</v>
      </c>
      <c r="S155" s="162" t="n">
        <v>4.743704</v>
      </c>
      <c r="T155" s="162" t="n">
        <v>5.091731</v>
      </c>
      <c r="U155" s="162" t="n">
        <v>5.22164</v>
      </c>
      <c r="V155" s="162" t="n">
        <v>5.635804</v>
      </c>
      <c r="W155" s="1" t="n">
        <v>5.7</v>
      </c>
    </row>
    <row r="156" customFormat="false" ht="14.5" hidden="false" customHeight="false" outlineLevel="0" collapsed="false">
      <c r="A156" s="1" t="s">
        <v>375</v>
      </c>
      <c r="B156" s="159" t="s">
        <v>376</v>
      </c>
      <c r="C156" s="162" t="n">
        <v>1.255951</v>
      </c>
      <c r="D156" s="162" t="n">
        <v>1.285312</v>
      </c>
      <c r="E156" s="162" t="n">
        <v>2.00894</v>
      </c>
      <c r="F156" s="162" t="n">
        <v>1.103601</v>
      </c>
      <c r="G156" s="162" t="n">
        <v>1.330496</v>
      </c>
      <c r="H156" s="162" t="n">
        <v>1.306301</v>
      </c>
      <c r="I156" s="162" t="n">
        <v>1.229118</v>
      </c>
      <c r="J156" s="162" t="n">
        <v>1.280557</v>
      </c>
      <c r="K156" s="162" t="n">
        <v>1.380312</v>
      </c>
      <c r="L156" s="162" t="n">
        <v>1.483981</v>
      </c>
      <c r="M156" s="162" t="n">
        <v>1.47193</v>
      </c>
      <c r="N156" s="162" t="n">
        <v>1.541076</v>
      </c>
      <c r="O156" s="162" t="n">
        <v>1.591334</v>
      </c>
      <c r="P156" s="162" t="n">
        <v>1.501363</v>
      </c>
      <c r="Q156" s="162" t="n">
        <v>1.508782</v>
      </c>
      <c r="R156" s="162" t="n">
        <v>1.471611</v>
      </c>
      <c r="S156" s="162" t="n">
        <v>1.510328</v>
      </c>
      <c r="T156" s="162" t="n">
        <v>1.514467</v>
      </c>
      <c r="U156" s="162" t="n">
        <v>1.571259</v>
      </c>
      <c r="V156" s="162" t="n">
        <v>1.644705</v>
      </c>
      <c r="W156" s="1" t="n">
        <v>1.6</v>
      </c>
    </row>
    <row r="157" customFormat="false" ht="14.5" hidden="false" customHeight="false" outlineLevel="0" collapsed="false">
      <c r="A157" s="1" t="s">
        <v>202</v>
      </c>
      <c r="B157" s="159" t="s">
        <v>377</v>
      </c>
      <c r="C157" s="162" t="n">
        <v>103.006795</v>
      </c>
      <c r="D157" s="162" t="n">
        <v>103.789891</v>
      </c>
      <c r="E157" s="162" t="n">
        <v>101.415895</v>
      </c>
      <c r="F157" s="162" t="n">
        <v>100.942015</v>
      </c>
      <c r="G157" s="162" t="n">
        <v>101.748911</v>
      </c>
      <c r="H157" s="162" t="n">
        <v>105.558716</v>
      </c>
      <c r="I157" s="162" t="n">
        <v>108.780387</v>
      </c>
      <c r="J157" s="162" t="n">
        <v>113.118298</v>
      </c>
      <c r="K157" s="162" t="n">
        <v>114.033905</v>
      </c>
      <c r="L157" s="162" t="n">
        <v>99.930391</v>
      </c>
      <c r="M157" s="162" t="n">
        <v>102.496095</v>
      </c>
      <c r="N157" s="162" t="n">
        <v>105.78235</v>
      </c>
      <c r="O157" s="162" t="n">
        <v>101.932438</v>
      </c>
      <c r="P157" s="162" t="n">
        <v>100.661902</v>
      </c>
      <c r="Q157" s="162" t="n">
        <v>101.480791</v>
      </c>
      <c r="R157" s="162" t="n">
        <v>103.827516</v>
      </c>
      <c r="S157" s="162" t="n">
        <v>107.887181</v>
      </c>
      <c r="T157" s="162" t="n">
        <v>114.034493</v>
      </c>
      <c r="U157" s="162" t="n">
        <v>119.003781</v>
      </c>
      <c r="V157" s="162" t="n">
        <v>122.048527</v>
      </c>
      <c r="W157" s="1" t="n">
        <v>111</v>
      </c>
    </row>
    <row r="158" customFormat="false" ht="14.5" hidden="false" customHeight="false" outlineLevel="0" collapsed="false">
      <c r="A158" s="1" t="s">
        <v>378</v>
      </c>
      <c r="B158" s="159" t="s">
        <v>379</v>
      </c>
      <c r="C158" s="162" t="n">
        <v>29.098106</v>
      </c>
      <c r="D158" s="162" t="n">
        <v>28.663452</v>
      </c>
      <c r="E158" s="162" t="n">
        <v>28.248416</v>
      </c>
      <c r="F158" s="162" t="n">
        <v>28.313249</v>
      </c>
      <c r="G158" s="162" t="n">
        <v>28.11666</v>
      </c>
      <c r="H158" s="162" t="n">
        <v>29.447791</v>
      </c>
      <c r="I158" s="162" t="n">
        <v>30.479769</v>
      </c>
      <c r="J158" s="162" t="n">
        <v>31.770106</v>
      </c>
      <c r="K158" s="162" t="n">
        <v>32.559221</v>
      </c>
      <c r="L158" s="162" t="n">
        <v>30.423373</v>
      </c>
      <c r="M158" s="162" t="n">
        <v>29.717034</v>
      </c>
      <c r="N158" s="162" t="n">
        <v>30.233971</v>
      </c>
      <c r="O158" s="162" t="n">
        <v>30.579331</v>
      </c>
      <c r="P158" s="162" t="n">
        <v>29.867216</v>
      </c>
      <c r="Q158" s="162" t="n">
        <v>30.496305</v>
      </c>
      <c r="R158" s="162" t="n">
        <v>31.898899</v>
      </c>
      <c r="S158" s="162" t="n">
        <v>33.017599</v>
      </c>
      <c r="T158" s="162" t="n">
        <v>35.82959</v>
      </c>
      <c r="U158" s="162" t="n">
        <v>38.198332</v>
      </c>
      <c r="V158" s="162" t="n">
        <v>39.415148</v>
      </c>
      <c r="W158" s="1" t="n">
        <v>38.1</v>
      </c>
    </row>
    <row r="159" customFormat="false" ht="14.5" hidden="false" customHeight="false" outlineLevel="0" collapsed="false">
      <c r="A159" s="1" t="s">
        <v>380</v>
      </c>
      <c r="B159" s="159" t="s">
        <v>381</v>
      </c>
      <c r="C159" s="162" t="n">
        <v>34.888808</v>
      </c>
      <c r="D159" s="162" t="n">
        <v>34.133266</v>
      </c>
      <c r="E159" s="162" t="n">
        <v>30.101497</v>
      </c>
      <c r="F159" s="162" t="n">
        <v>29.677523</v>
      </c>
      <c r="G159" s="162" t="n">
        <v>29.762872</v>
      </c>
      <c r="H159" s="162" t="n">
        <v>31.264956</v>
      </c>
      <c r="I159" s="162" t="n">
        <v>32.897947</v>
      </c>
      <c r="J159" s="162" t="n">
        <v>34.25563</v>
      </c>
      <c r="K159" s="162" t="n">
        <v>33.368007</v>
      </c>
      <c r="L159" s="162" t="n">
        <v>24.692312</v>
      </c>
      <c r="M159" s="162" t="n">
        <v>28.445916</v>
      </c>
      <c r="N159" s="162" t="n">
        <v>29.965604</v>
      </c>
      <c r="O159" s="162" t="n">
        <v>27.86295</v>
      </c>
      <c r="P159" s="162" t="n">
        <v>27.668088</v>
      </c>
      <c r="Q159" s="162" t="n">
        <v>28.600413</v>
      </c>
      <c r="R159" s="162" t="n">
        <v>29.966308</v>
      </c>
      <c r="S159" s="162" t="n">
        <v>32.246935</v>
      </c>
      <c r="T159" s="162" t="n">
        <v>35.545138</v>
      </c>
      <c r="U159" s="162" t="n">
        <v>37.174275</v>
      </c>
      <c r="V159" s="162" t="n">
        <v>37.402547</v>
      </c>
      <c r="W159" s="1" t="n">
        <v>31.1</v>
      </c>
    </row>
    <row r="160" customFormat="false" ht="14.5" hidden="false" customHeight="false" outlineLevel="0" collapsed="false">
      <c r="A160" s="1" t="s">
        <v>382</v>
      </c>
      <c r="B160" s="159" t="s">
        <v>383</v>
      </c>
      <c r="C160" s="162" t="n">
        <v>2.321883</v>
      </c>
      <c r="D160" s="162" t="n">
        <v>2.147187</v>
      </c>
      <c r="E160" s="162" t="n">
        <v>2.334107</v>
      </c>
      <c r="F160" s="162" t="n">
        <v>2.45016</v>
      </c>
      <c r="G160" s="162" t="n">
        <v>2.453753</v>
      </c>
      <c r="H160" s="162" t="n">
        <v>2.390495</v>
      </c>
      <c r="I160" s="162" t="n">
        <v>2.260915</v>
      </c>
      <c r="J160" s="162" t="n">
        <v>2.309989</v>
      </c>
      <c r="K160" s="162" t="n">
        <v>2.398382</v>
      </c>
      <c r="L160" s="162" t="n">
        <v>2.233448</v>
      </c>
      <c r="M160" s="162" t="n">
        <v>2.198397</v>
      </c>
      <c r="N160" s="162" t="n">
        <v>2.156051</v>
      </c>
      <c r="O160" s="162" t="n">
        <v>1.859202</v>
      </c>
      <c r="P160" s="162" t="n">
        <v>1.922277</v>
      </c>
      <c r="Q160" s="162" t="n">
        <v>2.039468</v>
      </c>
      <c r="R160" s="162" t="n">
        <v>2.049929</v>
      </c>
      <c r="S160" s="162" t="n">
        <v>1.904668</v>
      </c>
      <c r="T160" s="162" t="n">
        <v>1.957889</v>
      </c>
      <c r="U160" s="162" t="n">
        <v>1.958595</v>
      </c>
      <c r="V160" s="162" t="n">
        <v>1.995782</v>
      </c>
      <c r="W160" s="1" t="n">
        <v>1.1</v>
      </c>
    </row>
    <row r="161" customFormat="false" ht="14.5" hidden="false" customHeight="false" outlineLevel="0" collapsed="false">
      <c r="A161" s="1" t="s">
        <v>384</v>
      </c>
      <c r="B161" s="159" t="s">
        <v>385</v>
      </c>
      <c r="C161" s="162" t="n">
        <v>4.906075</v>
      </c>
      <c r="D161" s="162" t="n">
        <v>5.234094</v>
      </c>
      <c r="E161" s="162" t="n">
        <v>5.52031</v>
      </c>
      <c r="F161" s="162" t="n">
        <v>5.455273</v>
      </c>
      <c r="G161" s="162" t="n">
        <v>5.593087</v>
      </c>
      <c r="H161" s="162" t="n">
        <v>5.71816</v>
      </c>
      <c r="I161" s="162" t="n">
        <v>5.795608</v>
      </c>
      <c r="J161" s="162" t="n">
        <v>6.013869</v>
      </c>
      <c r="K161" s="162" t="n">
        <v>6.114895</v>
      </c>
      <c r="L161" s="162" t="n">
        <v>5.895664</v>
      </c>
      <c r="M161" s="162" t="n">
        <v>5.982956</v>
      </c>
      <c r="N161" s="162" t="n">
        <v>5.930746</v>
      </c>
      <c r="O161" s="162" t="n">
        <v>6.199044</v>
      </c>
      <c r="P161" s="162" t="n">
        <v>6.092337</v>
      </c>
      <c r="Q161" s="162" t="n">
        <v>6.149712</v>
      </c>
      <c r="R161" s="162" t="n">
        <v>6.183579</v>
      </c>
      <c r="S161" s="162" t="n">
        <v>6.693614</v>
      </c>
      <c r="T161" s="162" t="n">
        <v>6.779968</v>
      </c>
      <c r="U161" s="162" t="n">
        <v>7.207167</v>
      </c>
      <c r="V161" s="162" t="n">
        <v>7.358279</v>
      </c>
      <c r="W161" s="1" t="n">
        <v>7.1</v>
      </c>
    </row>
    <row r="162" customFormat="false" ht="14.5" hidden="false" customHeight="false" outlineLevel="0" collapsed="false">
      <c r="A162" s="1" t="s">
        <v>386</v>
      </c>
      <c r="B162" s="159" t="s">
        <v>387</v>
      </c>
      <c r="C162" s="162" t="n">
        <v>12.014294</v>
      </c>
      <c r="D162" s="162" t="n">
        <v>12.829983</v>
      </c>
      <c r="E162" s="162" t="n">
        <v>13.5847</v>
      </c>
      <c r="F162" s="162" t="n">
        <v>13.578848</v>
      </c>
      <c r="G162" s="162" t="n">
        <v>13.876316</v>
      </c>
      <c r="H162" s="162" t="n">
        <v>14.243031</v>
      </c>
      <c r="I162" s="162" t="n">
        <v>14.413801</v>
      </c>
      <c r="J162" s="162" t="n">
        <v>14.934309</v>
      </c>
      <c r="K162" s="162" t="n">
        <v>14.942675</v>
      </c>
      <c r="L162" s="162" t="n">
        <v>14.005543</v>
      </c>
      <c r="M162" s="162" t="n">
        <v>13.839388</v>
      </c>
      <c r="N162" s="162" t="n">
        <v>14.301531</v>
      </c>
      <c r="O162" s="162" t="n">
        <v>14.466473</v>
      </c>
      <c r="P162" s="162" t="n">
        <v>14.144983</v>
      </c>
      <c r="Q162" s="162" t="n">
        <v>14.311787</v>
      </c>
      <c r="R162" s="162" t="n">
        <v>14.566458</v>
      </c>
      <c r="S162" s="162" t="n">
        <v>15.284721</v>
      </c>
      <c r="T162" s="162" t="n">
        <v>15.548134</v>
      </c>
      <c r="U162" s="162" t="n">
        <v>15.8754</v>
      </c>
      <c r="V162" s="162" t="n">
        <v>16.320176</v>
      </c>
      <c r="W162" s="1" t="n">
        <v>16.1</v>
      </c>
    </row>
    <row r="163" customFormat="false" ht="14.5" hidden="false" customHeight="false" outlineLevel="0" collapsed="false">
      <c r="A163" s="1" t="s">
        <v>388</v>
      </c>
      <c r="B163" s="159" t="s">
        <v>389</v>
      </c>
      <c r="C163" s="162" t="n">
        <v>19.430423</v>
      </c>
      <c r="D163" s="162" t="n">
        <v>20.795613</v>
      </c>
      <c r="E163" s="162" t="n">
        <v>21.891198</v>
      </c>
      <c r="F163" s="162" t="n">
        <v>21.676874</v>
      </c>
      <c r="G163" s="162" t="n">
        <v>22.280647</v>
      </c>
      <c r="H163" s="162" t="n">
        <v>22.755474</v>
      </c>
      <c r="I163" s="162" t="n">
        <v>23.146154</v>
      </c>
      <c r="J163" s="162" t="n">
        <v>24.04868</v>
      </c>
      <c r="K163" s="162" t="n">
        <v>24.89878</v>
      </c>
      <c r="L163" s="162" t="n">
        <v>22.879084</v>
      </c>
      <c r="M163" s="162" t="n">
        <v>22.505861</v>
      </c>
      <c r="N163" s="162" t="n">
        <v>23.433778</v>
      </c>
      <c r="O163" s="162" t="n">
        <v>20.982036</v>
      </c>
      <c r="P163" s="162" t="n">
        <v>20.999528</v>
      </c>
      <c r="Q163" s="162" t="n">
        <v>19.883105</v>
      </c>
      <c r="R163" s="162" t="n">
        <v>19.162343</v>
      </c>
      <c r="S163" s="162" t="n">
        <v>18.79308</v>
      </c>
      <c r="T163" s="162" t="n">
        <v>18.597205</v>
      </c>
      <c r="U163" s="162" t="n">
        <v>18.936592</v>
      </c>
      <c r="V163" s="162" t="n">
        <v>19.870243</v>
      </c>
      <c r="W163" s="1" t="n">
        <v>18.1</v>
      </c>
    </row>
    <row r="164" customFormat="false" ht="14.5" hidden="false" customHeight="false" outlineLevel="0" collapsed="false">
      <c r="A164" s="1" t="s">
        <v>214</v>
      </c>
      <c r="B164" s="159" t="s">
        <v>390</v>
      </c>
      <c r="C164" s="162" t="n">
        <v>140.701752</v>
      </c>
      <c r="D164" s="162" t="n">
        <v>141.958236</v>
      </c>
      <c r="E164" s="162" t="n">
        <v>139.554482</v>
      </c>
      <c r="F164" s="162" t="n">
        <v>141.007749</v>
      </c>
      <c r="G164" s="162" t="n">
        <v>143.419872</v>
      </c>
      <c r="H164" s="162" t="n">
        <v>146.115793</v>
      </c>
      <c r="I164" s="162" t="n">
        <v>147.616066</v>
      </c>
      <c r="J164" s="162" t="n">
        <v>148.702191</v>
      </c>
      <c r="K164" s="162" t="n">
        <v>148.916079</v>
      </c>
      <c r="L164" s="162" t="n">
        <v>152.654229</v>
      </c>
      <c r="M164" s="162" t="n">
        <v>153.429832</v>
      </c>
      <c r="N164" s="162" t="n">
        <v>154.054009</v>
      </c>
      <c r="O164" s="162" t="n">
        <v>155.710864</v>
      </c>
      <c r="P164" s="162" t="n">
        <v>157.272521</v>
      </c>
      <c r="Q164" s="162" t="n">
        <v>158.179</v>
      </c>
      <c r="R164" s="162" t="n">
        <v>157.380333</v>
      </c>
      <c r="S164" s="162" t="n">
        <v>157.607644</v>
      </c>
      <c r="T164" s="162" t="n">
        <v>157.853395</v>
      </c>
      <c r="U164" s="162" t="n">
        <v>159.499843</v>
      </c>
      <c r="V164" s="162" t="n">
        <v>161.571984</v>
      </c>
      <c r="W164" s="1" t="n">
        <v>157.4</v>
      </c>
    </row>
    <row r="165" customFormat="false" ht="14.5" hidden="false" customHeight="false" outlineLevel="0" collapsed="false">
      <c r="A165" s="1" t="s">
        <v>216</v>
      </c>
      <c r="B165" s="159" t="s">
        <v>391</v>
      </c>
      <c r="C165" s="162" t="n">
        <v>102.597251</v>
      </c>
      <c r="D165" s="162" t="n">
        <v>103.536886</v>
      </c>
      <c r="E165" s="162" t="n">
        <v>102.037848</v>
      </c>
      <c r="F165" s="162" t="n">
        <v>102.329721</v>
      </c>
      <c r="G165" s="162" t="n">
        <v>103.315622</v>
      </c>
      <c r="H165" s="162" t="n">
        <v>102.704002</v>
      </c>
      <c r="I165" s="162" t="n">
        <v>102.036215</v>
      </c>
      <c r="J165" s="162" t="n">
        <v>103.078901</v>
      </c>
      <c r="K165" s="162" t="n">
        <v>102.208138</v>
      </c>
      <c r="L165" s="162" t="n">
        <v>100.686631</v>
      </c>
      <c r="M165" s="162" t="n">
        <v>100.518596</v>
      </c>
      <c r="N165" s="162" t="n">
        <v>101.136051</v>
      </c>
      <c r="O165" s="162" t="n">
        <v>102.444561</v>
      </c>
      <c r="P165" s="162" t="n">
        <v>102.858095</v>
      </c>
      <c r="Q165" s="162" t="n">
        <v>103.454358</v>
      </c>
      <c r="R165" s="162" t="n">
        <v>103.977374</v>
      </c>
      <c r="S165" s="162" t="n">
        <v>105.42508</v>
      </c>
      <c r="T165" s="162" t="n">
        <v>106.494408</v>
      </c>
      <c r="U165" s="162" t="n">
        <v>107.645666</v>
      </c>
      <c r="V165" s="162" t="n">
        <v>107.508837</v>
      </c>
      <c r="W165" s="1" t="n">
        <v>100.5</v>
      </c>
    </row>
    <row r="166" customFormat="false" ht="14.5" hidden="false" customHeight="false" outlineLevel="0" collapsed="false">
      <c r="A166" s="1" t="s">
        <v>218</v>
      </c>
      <c r="B166" s="159" t="s">
        <v>392</v>
      </c>
      <c r="C166" s="162" t="n">
        <v>84.547805</v>
      </c>
      <c r="D166" s="162" t="n">
        <v>86.992638</v>
      </c>
      <c r="E166" s="162" t="n">
        <v>89.372179</v>
      </c>
      <c r="F166" s="162" t="n">
        <v>89.155618</v>
      </c>
      <c r="G166" s="162" t="n">
        <v>91.941986</v>
      </c>
      <c r="H166" s="162" t="n">
        <v>93.429441</v>
      </c>
      <c r="I166" s="162" t="n">
        <v>94.226689</v>
      </c>
      <c r="J166" s="162" t="n">
        <v>96.137834</v>
      </c>
      <c r="K166" s="162" t="n">
        <v>99.803068</v>
      </c>
      <c r="L166" s="162" t="n">
        <v>101.921138</v>
      </c>
      <c r="M166" s="162" t="n">
        <v>103.870937</v>
      </c>
      <c r="N166" s="162" t="n">
        <v>107.019245</v>
      </c>
      <c r="O166" s="162" t="n">
        <v>109.129424</v>
      </c>
      <c r="P166" s="162" t="n">
        <v>111.096658</v>
      </c>
      <c r="Q166" s="162" t="n">
        <v>113.346187</v>
      </c>
      <c r="R166" s="162" t="n">
        <v>115.411078</v>
      </c>
      <c r="S166" s="162" t="n">
        <v>118.476882</v>
      </c>
      <c r="T166" s="162" t="n">
        <v>120.700522</v>
      </c>
      <c r="U166" s="162" t="n">
        <v>121.164116</v>
      </c>
      <c r="V166" s="162" t="n">
        <v>121.557746</v>
      </c>
      <c r="W166" s="1" t="n">
        <v>111.3</v>
      </c>
    </row>
    <row r="167" customFormat="false" ht="14.5" hidden="false" customHeight="false" outlineLevel="0" collapsed="false">
      <c r="A167" s="1" t="s">
        <v>220</v>
      </c>
      <c r="B167" s="159" t="s">
        <v>393</v>
      </c>
      <c r="C167" s="162" t="n">
        <v>46.33799</v>
      </c>
      <c r="D167" s="162" t="n">
        <v>47.500639</v>
      </c>
      <c r="E167" s="162" t="n">
        <v>50.694277</v>
      </c>
      <c r="F167" s="162" t="n">
        <v>51.461514</v>
      </c>
      <c r="G167" s="162" t="n">
        <v>52.978431</v>
      </c>
      <c r="H167" s="162" t="n">
        <v>53.048422</v>
      </c>
      <c r="I167" s="162" t="n">
        <v>58.030081</v>
      </c>
      <c r="J167" s="162" t="n">
        <v>57.931693</v>
      </c>
      <c r="K167" s="162" t="n">
        <v>59.019248</v>
      </c>
      <c r="L167" s="162" t="n">
        <v>60.033958</v>
      </c>
      <c r="M167" s="162" t="n">
        <v>61.246789</v>
      </c>
      <c r="N167" s="162" t="n">
        <v>62.638601</v>
      </c>
      <c r="O167" s="162" t="n">
        <v>63.518252</v>
      </c>
      <c r="P167" s="162" t="n">
        <v>64.16162</v>
      </c>
      <c r="Q167" s="162" t="n">
        <v>64.725429</v>
      </c>
      <c r="R167" s="162" t="n">
        <v>64.358356</v>
      </c>
      <c r="S167" s="162" t="n">
        <v>64.365116</v>
      </c>
      <c r="T167" s="162" t="n">
        <v>65.329175</v>
      </c>
      <c r="U167" s="162" t="n">
        <v>65.193813</v>
      </c>
      <c r="V167" s="162" t="n">
        <v>65.391183</v>
      </c>
      <c r="W167" s="1" t="n">
        <v>61.7</v>
      </c>
    </row>
    <row r="168" customFormat="false" ht="14.5" hidden="false" customHeight="false" outlineLevel="0" collapsed="false">
      <c r="A168" s="1" t="s">
        <v>394</v>
      </c>
      <c r="B168" s="159" t="s">
        <v>395</v>
      </c>
      <c r="C168" s="162" t="n">
        <v>23.611415</v>
      </c>
      <c r="D168" s="162" t="n">
        <v>23.901145</v>
      </c>
      <c r="E168" s="162" t="n">
        <v>25.419584</v>
      </c>
      <c r="F168" s="162" t="n">
        <v>26.041498</v>
      </c>
      <c r="G168" s="162" t="n">
        <v>26.817942</v>
      </c>
      <c r="H168" s="162" t="n">
        <v>26.851438</v>
      </c>
      <c r="I168" s="162" t="n">
        <v>30.29447</v>
      </c>
      <c r="J168" s="162" t="n">
        <v>29.673109</v>
      </c>
      <c r="K168" s="162" t="n">
        <v>29.537764</v>
      </c>
      <c r="L168" s="162" t="n">
        <v>29.817839</v>
      </c>
      <c r="M168" s="162" t="n">
        <v>30.475468</v>
      </c>
      <c r="N168" s="162" t="n">
        <v>31.29561</v>
      </c>
      <c r="O168" s="162" t="n">
        <v>31.798284</v>
      </c>
      <c r="P168" s="162" t="n">
        <v>32.038562</v>
      </c>
      <c r="Q168" s="162" t="n">
        <v>32.52051</v>
      </c>
      <c r="R168" s="162" t="n">
        <v>32.401498</v>
      </c>
      <c r="S168" s="162" t="n">
        <v>32.693064</v>
      </c>
      <c r="T168" s="162" t="n">
        <v>33.403184</v>
      </c>
      <c r="U168" s="162" t="n">
        <v>33.330051</v>
      </c>
      <c r="V168" s="162" t="n">
        <v>33.517145</v>
      </c>
      <c r="W168" s="1" t="n">
        <v>32.4</v>
      </c>
    </row>
    <row r="169" customFormat="false" ht="14.5" hidden="false" customHeight="false" outlineLevel="0" collapsed="false">
      <c r="A169" s="1" t="s">
        <v>396</v>
      </c>
      <c r="B169" s="159" t="s">
        <v>397</v>
      </c>
      <c r="C169" s="162" t="n">
        <v>22.765599</v>
      </c>
      <c r="D169" s="162" t="n">
        <v>23.626135</v>
      </c>
      <c r="E169" s="162" t="n">
        <v>25.298451</v>
      </c>
      <c r="F169" s="162" t="n">
        <v>25.459457</v>
      </c>
      <c r="G169" s="162" t="n">
        <v>26.201828</v>
      </c>
      <c r="H169" s="162" t="n">
        <v>26.238323</v>
      </c>
      <c r="I169" s="162" t="n">
        <v>27.822985</v>
      </c>
      <c r="J169" s="162" t="n">
        <v>28.303862</v>
      </c>
      <c r="K169" s="162" t="n">
        <v>29.491046</v>
      </c>
      <c r="L169" s="162" t="n">
        <v>30.212471</v>
      </c>
      <c r="M169" s="162" t="n">
        <v>30.769288</v>
      </c>
      <c r="N169" s="162" t="n">
        <v>31.343872</v>
      </c>
      <c r="O169" s="162" t="n">
        <v>31.721747</v>
      </c>
      <c r="P169" s="162" t="n">
        <v>32.123923</v>
      </c>
      <c r="Q169" s="162" t="n">
        <v>32.20492</v>
      </c>
      <c r="R169" s="162" t="n">
        <v>31.956858</v>
      </c>
      <c r="S169" s="162" t="n">
        <v>31.669635</v>
      </c>
      <c r="T169" s="162" t="n">
        <v>31.921881</v>
      </c>
      <c r="U169" s="162" t="n">
        <v>31.859705</v>
      </c>
      <c r="V169" s="162" t="n">
        <v>31.868349</v>
      </c>
      <c r="W169" s="1" t="n">
        <v>29.2</v>
      </c>
    </row>
    <row r="170" customFormat="false" ht="14.5" hidden="false" customHeight="false" outlineLevel="0" collapsed="false">
      <c r="A170" s="1" t="s">
        <v>206</v>
      </c>
      <c r="B170" s="159" t="s">
        <v>398</v>
      </c>
      <c r="C170" s="162" t="n">
        <v>18.263514</v>
      </c>
      <c r="D170" s="162" t="n">
        <v>19.841491</v>
      </c>
      <c r="E170" s="162" t="n">
        <v>21.669107</v>
      </c>
      <c r="F170" s="162" t="n">
        <v>22.937189</v>
      </c>
      <c r="G170" s="162" t="n">
        <v>22.858195</v>
      </c>
      <c r="H170" s="162" t="n">
        <v>23.350496</v>
      </c>
      <c r="I170" s="162" t="n">
        <v>24.103405</v>
      </c>
      <c r="J170" s="162" t="n">
        <v>24.564737</v>
      </c>
      <c r="K170" s="162" t="n">
        <v>25.603322</v>
      </c>
      <c r="L170" s="162" t="n">
        <v>25.858514</v>
      </c>
      <c r="M170" s="162" t="n">
        <v>26.642338</v>
      </c>
      <c r="N170" s="162" t="n">
        <v>26.556215</v>
      </c>
      <c r="O170" s="162" t="n">
        <v>26.344842</v>
      </c>
      <c r="P170" s="162" t="n">
        <v>26.826383</v>
      </c>
      <c r="Q170" s="162" t="n">
        <v>27.182729</v>
      </c>
      <c r="R170" s="162" t="n">
        <v>27.423155</v>
      </c>
      <c r="S170" s="162" t="n">
        <v>27.614006</v>
      </c>
      <c r="T170" s="162" t="n">
        <v>28.34408</v>
      </c>
      <c r="U170" s="162" t="n">
        <v>29.583916</v>
      </c>
      <c r="V170" s="162" t="n">
        <v>30.76833</v>
      </c>
      <c r="W170" s="1" t="n">
        <v>18.7</v>
      </c>
    </row>
    <row r="171" customFormat="false" ht="14.5" hidden="false" customHeight="false" outlineLevel="0" collapsed="false">
      <c r="A171" s="1" t="s">
        <v>399</v>
      </c>
      <c r="B171" s="159" t="s">
        <v>400</v>
      </c>
      <c r="C171" s="162" t="n">
        <v>7.048511</v>
      </c>
      <c r="D171" s="162" t="n">
        <v>7.692896</v>
      </c>
      <c r="E171" s="162" t="n">
        <v>8.601178</v>
      </c>
      <c r="F171" s="162" t="n">
        <v>9.021528</v>
      </c>
      <c r="G171" s="162" t="n">
        <v>9.031</v>
      </c>
      <c r="H171" s="162" t="n">
        <v>9.230696</v>
      </c>
      <c r="I171" s="162" t="n">
        <v>9.56354</v>
      </c>
      <c r="J171" s="162" t="n">
        <v>9.343156</v>
      </c>
      <c r="K171" s="162" t="n">
        <v>9.289211</v>
      </c>
      <c r="L171" s="162" t="n">
        <v>9.30866</v>
      </c>
      <c r="M171" s="162" t="n">
        <v>9.491046</v>
      </c>
      <c r="N171" s="162" t="n">
        <v>9.116239</v>
      </c>
      <c r="O171" s="162" t="n">
        <v>9.10004</v>
      </c>
      <c r="P171" s="162" t="n">
        <v>9.127474</v>
      </c>
      <c r="Q171" s="162" t="n">
        <v>9.361677</v>
      </c>
      <c r="R171" s="162" t="n">
        <v>9.355586</v>
      </c>
      <c r="S171" s="162" t="n">
        <v>9.266962</v>
      </c>
      <c r="T171" s="162" t="n">
        <v>9.520853</v>
      </c>
      <c r="U171" s="162" t="n">
        <v>9.623924</v>
      </c>
      <c r="V171" s="162" t="n">
        <v>9.925787</v>
      </c>
      <c r="W171" s="1" t="n">
        <v>7.1</v>
      </c>
    </row>
    <row r="172" customFormat="false" ht="14.5" hidden="false" customHeight="false" outlineLevel="0" collapsed="false">
      <c r="A172" s="1" t="s">
        <v>401</v>
      </c>
      <c r="B172" s="159" t="s">
        <v>402</v>
      </c>
      <c r="C172" s="162" t="n">
        <v>1.963455</v>
      </c>
      <c r="D172" s="162" t="n">
        <v>2.072558</v>
      </c>
      <c r="E172" s="162" t="n">
        <v>2.224728</v>
      </c>
      <c r="F172" s="162" t="n">
        <v>2.284858</v>
      </c>
      <c r="G172" s="162" t="n">
        <v>2.306751</v>
      </c>
      <c r="H172" s="162" t="n">
        <v>2.355528</v>
      </c>
      <c r="I172" s="162" t="n">
        <v>2.420037</v>
      </c>
      <c r="J172" s="162" t="n">
        <v>2.629788</v>
      </c>
      <c r="K172" s="162" t="n">
        <v>2.74391</v>
      </c>
      <c r="L172" s="162" t="n">
        <v>2.862751</v>
      </c>
      <c r="M172" s="162" t="n">
        <v>3.110853</v>
      </c>
      <c r="N172" s="162" t="n">
        <v>3.215289</v>
      </c>
      <c r="O172" s="162" t="n">
        <v>3.274949</v>
      </c>
      <c r="P172" s="162" t="n">
        <v>3.320679</v>
      </c>
      <c r="Q172" s="162" t="n">
        <v>3.403676</v>
      </c>
      <c r="R172" s="162" t="n">
        <v>3.449882</v>
      </c>
      <c r="S172" s="162" t="n">
        <v>3.437699</v>
      </c>
      <c r="T172" s="162" t="n">
        <v>3.502015</v>
      </c>
      <c r="U172" s="162" t="n">
        <v>3.567211</v>
      </c>
      <c r="V172" s="162" t="n">
        <v>3.665545</v>
      </c>
      <c r="W172" s="1" t="n">
        <v>0.8</v>
      </c>
    </row>
    <row r="173" customFormat="false" ht="14.5" hidden="false" customHeight="false" outlineLevel="0" collapsed="false">
      <c r="A173" s="1" t="s">
        <v>403</v>
      </c>
      <c r="B173" s="159" t="s">
        <v>404</v>
      </c>
      <c r="C173" s="162" t="n">
        <v>1.180821</v>
      </c>
      <c r="D173" s="162" t="n">
        <v>1.279572</v>
      </c>
      <c r="E173" s="162" t="n">
        <v>1.286578</v>
      </c>
      <c r="F173" s="162" t="n">
        <v>1.46342</v>
      </c>
      <c r="G173" s="162" t="n">
        <v>1.412361</v>
      </c>
      <c r="H173" s="162" t="n">
        <v>1.44554</v>
      </c>
      <c r="I173" s="162" t="n">
        <v>1.472176</v>
      </c>
      <c r="J173" s="162" t="n">
        <v>1.494332</v>
      </c>
      <c r="K173" s="162" t="n">
        <v>2.145563</v>
      </c>
      <c r="L173" s="162" t="n">
        <v>2.316541</v>
      </c>
      <c r="M173" s="162" t="n">
        <v>2.368787</v>
      </c>
      <c r="N173" s="162" t="n">
        <v>2.451615</v>
      </c>
      <c r="O173" s="162" t="n">
        <v>2.176361</v>
      </c>
      <c r="P173" s="162" t="n">
        <v>1.941795</v>
      </c>
      <c r="Q173" s="162" t="n">
        <v>1.785862</v>
      </c>
      <c r="R173" s="162" t="n">
        <v>1.898636</v>
      </c>
      <c r="S173" s="162" t="n">
        <v>1.966044</v>
      </c>
      <c r="T173" s="162" t="n">
        <v>2.080269</v>
      </c>
      <c r="U173" s="162" t="n">
        <v>3.029409</v>
      </c>
      <c r="V173" s="162" t="n">
        <v>3.377355</v>
      </c>
      <c r="W173" s="1" t="n">
        <v>3.2</v>
      </c>
    </row>
    <row r="174" customFormat="false" ht="14.5" hidden="false" customHeight="false" outlineLevel="0" collapsed="false">
      <c r="A174" s="1" t="s">
        <v>405</v>
      </c>
      <c r="B174" s="159" t="s">
        <v>406</v>
      </c>
      <c r="C174" s="162" t="n">
        <v>8.203252</v>
      </c>
      <c r="D174" s="162" t="n">
        <v>8.943752</v>
      </c>
      <c r="E174" s="162" t="n">
        <v>9.759238</v>
      </c>
      <c r="F174" s="162" t="n">
        <v>10.348425</v>
      </c>
      <c r="G174" s="162" t="n">
        <v>10.299565</v>
      </c>
      <c r="H174" s="162" t="n">
        <v>10.513194</v>
      </c>
      <c r="I174" s="162" t="n">
        <v>10.855028</v>
      </c>
      <c r="J174" s="162" t="n">
        <v>11.316439</v>
      </c>
      <c r="K174" s="162" t="n">
        <v>11.473515</v>
      </c>
      <c r="L174" s="162" t="n">
        <v>11.428733</v>
      </c>
      <c r="M174" s="162" t="n">
        <v>11.723972</v>
      </c>
      <c r="N174" s="162" t="n">
        <v>11.84675</v>
      </c>
      <c r="O174" s="162" t="n">
        <v>11.820595</v>
      </c>
      <c r="P174" s="162" t="n">
        <v>12.43951</v>
      </c>
      <c r="Q174" s="162" t="n">
        <v>12.631512</v>
      </c>
      <c r="R174" s="162" t="n">
        <v>12.719051</v>
      </c>
      <c r="S174" s="162" t="n">
        <v>12.942292</v>
      </c>
      <c r="T174" s="162" t="n">
        <v>13.248104</v>
      </c>
      <c r="U174" s="162" t="n">
        <v>13.463388</v>
      </c>
      <c r="V174" s="162" t="n">
        <v>13.945741</v>
      </c>
      <c r="W174" s="1" t="n">
        <v>7.9</v>
      </c>
    </row>
    <row r="175" customFormat="false" ht="14.5" hidden="false" customHeight="false" outlineLevel="0" collapsed="false">
      <c r="A175" s="1" t="s">
        <v>208</v>
      </c>
      <c r="B175" s="159" t="s">
        <v>407</v>
      </c>
      <c r="C175" s="162" t="n">
        <v>25.364768</v>
      </c>
      <c r="D175" s="162" t="n">
        <v>25.493661</v>
      </c>
      <c r="E175" s="162" t="n">
        <v>24.713368</v>
      </c>
      <c r="F175" s="162" t="n">
        <v>24.844025</v>
      </c>
      <c r="G175" s="162" t="n">
        <v>25.827387</v>
      </c>
      <c r="H175" s="162" t="n">
        <v>26.132899</v>
      </c>
      <c r="I175" s="162" t="n">
        <v>27.004312</v>
      </c>
      <c r="J175" s="162" t="n">
        <v>27.64751</v>
      </c>
      <c r="K175" s="162" t="n">
        <v>28.280309</v>
      </c>
      <c r="L175" s="162" t="n">
        <v>27.827314</v>
      </c>
      <c r="M175" s="162" t="n">
        <v>28.713319</v>
      </c>
      <c r="N175" s="162" t="n">
        <v>27.987737</v>
      </c>
      <c r="O175" s="162" t="n">
        <v>28.181689</v>
      </c>
      <c r="P175" s="162" t="n">
        <v>27.832937</v>
      </c>
      <c r="Q175" s="162" t="n">
        <v>27.475021</v>
      </c>
      <c r="R175" s="162" t="n">
        <v>26.703653</v>
      </c>
      <c r="S175" s="162" t="n">
        <v>26.529759</v>
      </c>
      <c r="T175" s="162" t="n">
        <v>26.690853</v>
      </c>
      <c r="U175" s="162" t="n">
        <v>26.593794</v>
      </c>
      <c r="V175" s="162" t="n">
        <v>26.782655</v>
      </c>
      <c r="W175" s="1" t="n">
        <v>23.5</v>
      </c>
    </row>
    <row r="176" customFormat="false" ht="14.5" hidden="false" customHeight="false" outlineLevel="0" collapsed="false">
      <c r="A176" s="1" t="s">
        <v>408</v>
      </c>
      <c r="B176" s="159" t="s">
        <v>409</v>
      </c>
      <c r="C176" s="162" t="n">
        <v>7.939569</v>
      </c>
      <c r="D176" s="162" t="n">
        <v>7.693917</v>
      </c>
      <c r="E176" s="162" t="n">
        <v>6.819584</v>
      </c>
      <c r="F176" s="162" t="n">
        <v>6.904292</v>
      </c>
      <c r="G176" s="162" t="n">
        <v>7.230696</v>
      </c>
      <c r="H176" s="162" t="n">
        <v>7.56807</v>
      </c>
      <c r="I176" s="162" t="n">
        <v>7.839848</v>
      </c>
      <c r="J176" s="162" t="n">
        <v>7.906428</v>
      </c>
      <c r="K176" s="162" t="n">
        <v>8.199476</v>
      </c>
      <c r="L176" s="162" t="n">
        <v>8.871591</v>
      </c>
      <c r="M176" s="162" t="n">
        <v>9.968955</v>
      </c>
      <c r="N176" s="162" t="n">
        <v>10.272387</v>
      </c>
      <c r="O176" s="162" t="n">
        <v>10.244074</v>
      </c>
      <c r="P176" s="162" t="n">
        <v>10.218166</v>
      </c>
      <c r="Q176" s="162" t="n">
        <v>10.256312</v>
      </c>
      <c r="R176" s="162" t="n">
        <v>10.319492</v>
      </c>
      <c r="S176" s="162" t="n">
        <v>10.409868</v>
      </c>
      <c r="T176" s="162" t="n">
        <v>10.648242</v>
      </c>
      <c r="U176" s="162" t="n">
        <v>10.704798</v>
      </c>
      <c r="V176" s="162" t="n">
        <v>10.76076</v>
      </c>
      <c r="W176" s="1" t="n">
        <v>10.2</v>
      </c>
    </row>
    <row r="177" customFormat="false" ht="14.5" hidden="false" customHeight="false" outlineLevel="0" collapsed="false">
      <c r="A177" s="1" t="s">
        <v>410</v>
      </c>
      <c r="B177" s="159" t="s">
        <v>411</v>
      </c>
      <c r="C177" s="162" t="n">
        <v>5.821421</v>
      </c>
      <c r="D177" s="162" t="n">
        <v>5.799996</v>
      </c>
      <c r="E177" s="162" t="n">
        <v>5.861458</v>
      </c>
      <c r="F177" s="162" t="n">
        <v>5.964714</v>
      </c>
      <c r="G177" s="162" t="n">
        <v>6.414908</v>
      </c>
      <c r="H177" s="162" t="n">
        <v>6.484187</v>
      </c>
      <c r="I177" s="162" t="n">
        <v>6.899351</v>
      </c>
      <c r="J177" s="162" t="n">
        <v>7.22847</v>
      </c>
      <c r="K177" s="162" t="n">
        <v>7.525908</v>
      </c>
      <c r="L177" s="162" t="n">
        <v>6.553899</v>
      </c>
      <c r="M177" s="162" t="n">
        <v>5.847566</v>
      </c>
      <c r="N177" s="162" t="n">
        <v>5.738665</v>
      </c>
      <c r="O177" s="162" t="n">
        <v>5.620953</v>
      </c>
      <c r="P177" s="162" t="n">
        <v>5.255168</v>
      </c>
      <c r="Q177" s="162" t="n">
        <v>5.029895</v>
      </c>
      <c r="R177" s="162" t="n">
        <v>4.612035</v>
      </c>
      <c r="S177" s="162" t="n">
        <v>4.511747</v>
      </c>
      <c r="T177" s="162" t="n">
        <v>4.748991</v>
      </c>
      <c r="U177" s="162" t="n">
        <v>4.654933</v>
      </c>
      <c r="V177" s="162" t="n">
        <v>4.654082</v>
      </c>
      <c r="W177" s="1" t="n">
        <v>4.2</v>
      </c>
    </row>
    <row r="178" customFormat="false" ht="14.5" hidden="false" customHeight="false" outlineLevel="0" collapsed="false">
      <c r="A178" s="1" t="s">
        <v>412</v>
      </c>
      <c r="B178" s="159" t="s">
        <v>413</v>
      </c>
      <c r="C178" s="162" t="n">
        <v>11.869625</v>
      </c>
      <c r="D178" s="162" t="n">
        <v>12.344707</v>
      </c>
      <c r="E178" s="162" t="n">
        <v>12.461074</v>
      </c>
      <c r="F178" s="162" t="n">
        <v>12.379871</v>
      </c>
      <c r="G178" s="162" t="n">
        <v>12.566652</v>
      </c>
      <c r="H178" s="162" t="n">
        <v>12.401244</v>
      </c>
      <c r="I178" s="162" t="n">
        <v>12.591317</v>
      </c>
      <c r="J178" s="162" t="n">
        <v>12.878017</v>
      </c>
      <c r="K178" s="162" t="n">
        <v>12.914604</v>
      </c>
      <c r="L178" s="162" t="n">
        <v>12.559141</v>
      </c>
      <c r="M178" s="162" t="n">
        <v>12.906025</v>
      </c>
      <c r="N178" s="162" t="n">
        <v>11.994988</v>
      </c>
      <c r="O178" s="162" t="n">
        <v>12.326226</v>
      </c>
      <c r="P178" s="162" t="n">
        <v>12.360141</v>
      </c>
      <c r="Q178" s="162" t="n">
        <v>12.188813</v>
      </c>
      <c r="R178" s="162" t="n">
        <v>11.772126</v>
      </c>
      <c r="S178" s="162" t="n">
        <v>11.609786</v>
      </c>
      <c r="T178" s="162" t="n">
        <v>11.29381</v>
      </c>
      <c r="U178" s="162" t="n">
        <v>11.237798</v>
      </c>
      <c r="V178" s="162" t="n">
        <v>11.371222</v>
      </c>
      <c r="W178" s="1" t="n">
        <v>9.2</v>
      </c>
    </row>
    <row r="179" customFormat="false" ht="14.5" hidden="false" customHeight="false" outlineLevel="0" collapsed="false">
      <c r="A179" s="1" t="s">
        <v>210</v>
      </c>
      <c r="B179" s="159" t="s">
        <v>414</v>
      </c>
      <c r="C179" s="162" t="n">
        <v>3.536213</v>
      </c>
      <c r="D179" s="162" t="n">
        <v>3.574057</v>
      </c>
      <c r="E179" s="162" t="n">
        <v>3.788844</v>
      </c>
      <c r="F179" s="162" t="n">
        <v>3.964997</v>
      </c>
      <c r="G179" s="162" t="n">
        <v>4.050351</v>
      </c>
      <c r="H179" s="162" t="n">
        <v>4.016543</v>
      </c>
      <c r="I179" s="162" t="n">
        <v>4.024541</v>
      </c>
      <c r="J179" s="162" t="n">
        <v>4.035024</v>
      </c>
      <c r="K179" s="162" t="n">
        <v>4.159493</v>
      </c>
      <c r="L179" s="162" t="n">
        <v>4.142021</v>
      </c>
      <c r="M179" s="162" t="n">
        <v>4.15554</v>
      </c>
      <c r="N179" s="162" t="n">
        <v>4.039934</v>
      </c>
      <c r="O179" s="162" t="n">
        <v>3.90144</v>
      </c>
      <c r="P179" s="162" t="n">
        <v>3.718022</v>
      </c>
      <c r="Q179" s="162" t="n">
        <v>3.603</v>
      </c>
      <c r="R179" s="162" t="n">
        <v>3.514</v>
      </c>
      <c r="S179" s="162" t="n">
        <v>3.565647</v>
      </c>
      <c r="T179" s="162" t="n">
        <v>3.554029</v>
      </c>
      <c r="U179" s="162" t="n">
        <v>3.433143</v>
      </c>
      <c r="V179" s="162" t="n">
        <v>3.365355</v>
      </c>
      <c r="W179" s="1" t="n">
        <v>3</v>
      </c>
    </row>
    <row r="180" customFormat="false" ht="14.5" hidden="false" customHeight="false" outlineLevel="0" collapsed="false">
      <c r="A180" s="1" t="s">
        <v>415</v>
      </c>
      <c r="B180" s="159" t="s">
        <v>416</v>
      </c>
      <c r="C180" s="162" t="n">
        <v>3.536213</v>
      </c>
      <c r="D180" s="162" t="n">
        <v>3.574057</v>
      </c>
      <c r="E180" s="162" t="n">
        <v>3.788844</v>
      </c>
      <c r="F180" s="162" t="n">
        <v>3.964997</v>
      </c>
      <c r="G180" s="162" t="n">
        <v>4.050351</v>
      </c>
      <c r="H180" s="162" t="n">
        <v>4.016543</v>
      </c>
      <c r="I180" s="162" t="n">
        <v>4.024541</v>
      </c>
      <c r="J180" s="162" t="n">
        <v>4.035024</v>
      </c>
      <c r="K180" s="162" t="n">
        <v>4.159493</v>
      </c>
      <c r="L180" s="162" t="n">
        <v>4.142021</v>
      </c>
      <c r="M180" s="162" t="n">
        <v>4.15554</v>
      </c>
      <c r="N180" s="162" t="n">
        <v>4.039934</v>
      </c>
      <c r="O180" s="162" t="n">
        <v>3.90144</v>
      </c>
      <c r="P180" s="162" t="n">
        <v>3.718022</v>
      </c>
      <c r="Q180" s="162" t="n">
        <v>3.603</v>
      </c>
      <c r="R180" s="162" t="n">
        <v>3.514</v>
      </c>
      <c r="S180" s="162" t="n">
        <v>3.565647</v>
      </c>
      <c r="T180" s="162" t="n">
        <v>3.554029</v>
      </c>
      <c r="U180" s="162" t="n">
        <v>3.433143</v>
      </c>
      <c r="V180" s="162" t="n">
        <v>3.365355</v>
      </c>
      <c r="W180" s="1" t="n">
        <v>3</v>
      </c>
    </row>
    <row r="181" customFormat="false" ht="14.5" hidden="false" customHeight="false" outlineLevel="0" collapsed="false">
      <c r="A181" s="1" t="s">
        <v>85</v>
      </c>
      <c r="B181" s="159" t="s">
        <v>222</v>
      </c>
      <c r="C181" s="162" t="n">
        <v>1621.24485</v>
      </c>
      <c r="D181" s="162" t="n">
        <v>1653.422257</v>
      </c>
      <c r="E181" s="162" t="n">
        <v>1671.850476</v>
      </c>
      <c r="F181" s="162" t="n">
        <v>1683.765773</v>
      </c>
      <c r="G181" s="162" t="n">
        <v>1734.797684</v>
      </c>
      <c r="H181" s="162" t="n">
        <v>1760.517107</v>
      </c>
      <c r="I181" s="162" t="n">
        <v>1804.131248</v>
      </c>
      <c r="J181" s="162" t="n">
        <v>1850.186553</v>
      </c>
      <c r="K181" s="162" t="n">
        <v>1859.701021</v>
      </c>
      <c r="L181" s="162" t="n">
        <v>1810.886527</v>
      </c>
      <c r="M181" s="162" t="n">
        <v>1842.424463</v>
      </c>
      <c r="N181" s="162" t="n">
        <v>1883.669227</v>
      </c>
      <c r="O181" s="162" t="n">
        <v>1894.309037</v>
      </c>
      <c r="P181" s="162" t="n">
        <v>1906.042506</v>
      </c>
      <c r="Q181" s="162" t="n">
        <v>1927.230012</v>
      </c>
      <c r="R181" s="162" t="n">
        <v>1944.632926</v>
      </c>
      <c r="S181" s="162" t="n">
        <v>1963.460903</v>
      </c>
      <c r="T181" s="162" t="n">
        <v>2006.178239</v>
      </c>
      <c r="U181" s="162" t="n">
        <v>2043.984681</v>
      </c>
      <c r="V181" s="162" t="n">
        <v>2082.657815</v>
      </c>
      <c r="W181" s="1" t="n">
        <v>1918.7</v>
      </c>
    </row>
    <row r="182" customFormat="false" ht="14.5" hidden="false" customHeight="false" outlineLevel="0" collapsed="false">
      <c r="B182" s="159"/>
    </row>
    <row r="183" customFormat="false" ht="14.5" hidden="false" customHeight="false" outlineLevel="0" collapsed="false">
      <c r="B183" s="159" t="s">
        <v>223</v>
      </c>
    </row>
    <row r="184" customFormat="false" ht="14.5" hidden="false" customHeight="false" outlineLevel="0" collapsed="false">
      <c r="B184" s="159"/>
    </row>
    <row r="185" customFormat="false" ht="14.5" hidden="false" customHeight="false" outlineLevel="0" collapsed="false">
      <c r="B185" s="159" t="s">
        <v>224</v>
      </c>
    </row>
    <row r="188" customFormat="false" ht="23" hidden="false" customHeight="false" outlineLevel="0" collapsed="false">
      <c r="B188" s="146" t="s">
        <v>417</v>
      </c>
    </row>
    <row r="189" customFormat="false" ht="14.5" hidden="false" customHeight="false" outlineLevel="0" collapsed="false">
      <c r="H189" s="40" t="s">
        <v>418</v>
      </c>
    </row>
    <row r="190" customFormat="false" ht="14.5" hidden="false" customHeight="false" outlineLevel="0" collapsed="false">
      <c r="B190" s="1" t="s">
        <v>419</v>
      </c>
      <c r="C190" s="147" t="n">
        <v>2015</v>
      </c>
      <c r="D190" s="171" t="n">
        <v>2016</v>
      </c>
      <c r="E190" s="171" t="n">
        <v>2017</v>
      </c>
      <c r="F190" s="171" t="n">
        <v>2018</v>
      </c>
      <c r="G190" s="171" t="n">
        <v>2019</v>
      </c>
      <c r="H190" s="171" t="n">
        <v>2020</v>
      </c>
    </row>
    <row r="191" customFormat="false" ht="14.5" hidden="false" customHeight="false" outlineLevel="0" collapsed="false">
      <c r="B191" s="149" t="s">
        <v>24</v>
      </c>
      <c r="C191" s="151" t="n">
        <v>25.624379</v>
      </c>
      <c r="D191" s="32" t="n">
        <v>26.013804</v>
      </c>
      <c r="E191" s="32" t="n">
        <v>26.657764</v>
      </c>
      <c r="F191" s="32" t="n">
        <v>25.460822</v>
      </c>
      <c r="G191" s="32" t="n">
        <v>25.805908</v>
      </c>
      <c r="H191" s="172" t="n">
        <f aca="false">G191*0.905</f>
        <v>23.35434674</v>
      </c>
    </row>
    <row r="192" customFormat="false" ht="14.5" hidden="false" customHeight="false" outlineLevel="0" collapsed="false">
      <c r="B192" s="153" t="s">
        <v>25</v>
      </c>
      <c r="C192" s="151" t="n">
        <v>41.415126</v>
      </c>
      <c r="D192" s="32" t="n">
        <v>42.558778</v>
      </c>
      <c r="E192" s="32" t="n">
        <v>43.825743</v>
      </c>
      <c r="F192" s="32" t="n">
        <v>45.192983</v>
      </c>
      <c r="G192" s="32" t="n">
        <v>47.173412</v>
      </c>
      <c r="H192" s="32" t="n">
        <v>34.146974</v>
      </c>
    </row>
    <row r="193" customFormat="false" ht="14.5" hidden="false" customHeight="false" outlineLevel="0" collapsed="false">
      <c r="B193" s="154" t="s">
        <v>26</v>
      </c>
      <c r="C193" s="151" t="n">
        <v>8.023073</v>
      </c>
      <c r="D193" s="32" t="n">
        <v>8.099836</v>
      </c>
      <c r="E193" s="32" t="n">
        <v>8.29235</v>
      </c>
      <c r="F193" s="32" t="n">
        <v>8.270174</v>
      </c>
      <c r="G193" s="32" t="n">
        <v>8.358497</v>
      </c>
      <c r="H193" s="172" t="n">
        <f aca="false">G193*0.905</f>
        <v>7.564439785</v>
      </c>
    </row>
    <row r="194" customFormat="false" ht="14.5" hidden="false" customHeight="false" outlineLevel="0" collapsed="false">
      <c r="B194" s="155" t="s">
        <v>125</v>
      </c>
      <c r="C194" s="151" t="n">
        <v>43.507951</v>
      </c>
      <c r="D194" s="32" t="n">
        <v>44.673572</v>
      </c>
      <c r="E194" s="32" t="n">
        <v>45.48521</v>
      </c>
      <c r="F194" s="32" t="n">
        <v>45.279348</v>
      </c>
      <c r="G194" s="32" t="n">
        <v>45.598266</v>
      </c>
      <c r="H194" s="32" t="n">
        <v>44.167665</v>
      </c>
    </row>
    <row r="195" customFormat="false" ht="14.5" hidden="false" customHeight="false" outlineLevel="0" collapsed="false">
      <c r="B195" s="156" t="s">
        <v>126</v>
      </c>
      <c r="C195" s="151" t="n">
        <v>60.173128</v>
      </c>
      <c r="D195" s="32" t="n">
        <v>59.026021</v>
      </c>
      <c r="E195" s="32" t="n">
        <v>60.473291</v>
      </c>
      <c r="F195" s="32" t="n">
        <v>63.185554</v>
      </c>
      <c r="G195" s="32" t="n">
        <v>63.615234</v>
      </c>
      <c r="H195" s="172" t="n">
        <f aca="false">G195*0.905</f>
        <v>57.57178677</v>
      </c>
    </row>
    <row r="196" customFormat="false" ht="14.5" hidden="false" customHeight="false" outlineLevel="0" collapsed="false">
      <c r="B196" s="157" t="s">
        <v>31</v>
      </c>
      <c r="C196" s="151" t="n">
        <v>109.505257</v>
      </c>
      <c r="D196" s="32" t="n">
        <v>108.449133</v>
      </c>
      <c r="E196" s="32" t="n">
        <v>110.800995</v>
      </c>
      <c r="F196" s="32" t="n">
        <v>111.942451</v>
      </c>
      <c r="G196" s="32" t="n">
        <v>114.881552</v>
      </c>
      <c r="H196" s="32" t="n">
        <v>96.546553</v>
      </c>
    </row>
    <row r="197" customFormat="false" ht="14.5" hidden="false" customHeight="false" outlineLevel="0" collapsed="false">
      <c r="B197" s="158" t="s">
        <v>29</v>
      </c>
      <c r="C197" s="151" t="n">
        <v>23.294343</v>
      </c>
      <c r="D197" s="32" t="n">
        <v>23.04682</v>
      </c>
      <c r="E197" s="32" t="n">
        <v>23.307596</v>
      </c>
      <c r="F197" s="32" t="n">
        <v>23.241424</v>
      </c>
      <c r="G197" s="32" t="n">
        <v>23.721859</v>
      </c>
      <c r="H197" s="172" t="n">
        <f aca="false">G197*0.905</f>
        <v>21.468282395</v>
      </c>
    </row>
    <row r="198" customFormat="false" ht="14.5" hidden="false" customHeight="false" outlineLevel="0" collapsed="false">
      <c r="B198" s="171" t="s">
        <v>420</v>
      </c>
      <c r="C198" s="173" t="n">
        <f aca="false">SUM(C191:C195,C197)</f>
        <v>202.038</v>
      </c>
      <c r="D198" s="173" t="n">
        <f aca="false">SUM(D191:D195,D197)</f>
        <v>203.418831</v>
      </c>
      <c r="E198" s="173" t="n">
        <f aca="false">SUM(E191:E195,E197)</f>
        <v>208.041954</v>
      </c>
      <c r="F198" s="173" t="n">
        <f aca="false">SUM(F191:F195,F197)</f>
        <v>210.630305</v>
      </c>
      <c r="G198" s="173" t="n">
        <f aca="false">SUM(G191:G195,G197)</f>
        <v>214.273176</v>
      </c>
      <c r="H198" s="173" t="n">
        <f aca="false">SUM(H191:H195,H197)</f>
        <v>188.27349469</v>
      </c>
    </row>
    <row r="199" customFormat="false" ht="14.5" hidden="false" customHeight="false" outlineLevel="0" collapsed="false">
      <c r="B199" s="1" t="s">
        <v>421</v>
      </c>
      <c r="C199" s="139" t="n">
        <f aca="false">C198+C196</f>
        <v>311.543257</v>
      </c>
      <c r="D199" s="139" t="n">
        <f aca="false">D198+D196</f>
        <v>311.867964</v>
      </c>
      <c r="E199" s="139" t="n">
        <f aca="false">E198+E196</f>
        <v>318.842949</v>
      </c>
      <c r="F199" s="139" t="n">
        <f aca="false">F198+F196</f>
        <v>322.572756</v>
      </c>
      <c r="G199" s="139" t="n">
        <f aca="false">G198+G196</f>
        <v>329.154728</v>
      </c>
      <c r="H199" s="139" t="n">
        <f aca="false">H198+H196</f>
        <v>284.82004769</v>
      </c>
    </row>
    <row r="201" customFormat="false" ht="14.5" hidden="false" customHeight="false" outlineLevel="0" collapsed="false">
      <c r="C201" s="174" t="s">
        <v>422</v>
      </c>
      <c r="D201" s="174"/>
      <c r="E201" s="174"/>
      <c r="F201" s="174"/>
      <c r="G201" s="174"/>
      <c r="H201" s="174"/>
      <c r="I201" s="174" t="s">
        <v>423</v>
      </c>
      <c r="J201" s="174"/>
      <c r="K201" s="174"/>
      <c r="L201" s="174"/>
      <c r="M201" s="174"/>
      <c r="N201" s="174"/>
      <c r="O201" s="174" t="s">
        <v>424</v>
      </c>
      <c r="P201" s="174"/>
    </row>
    <row r="202" customFormat="false" ht="14.5" hidden="false" customHeight="false" outlineLevel="0" collapsed="false">
      <c r="C202" s="147" t="n">
        <v>2015</v>
      </c>
      <c r="D202" s="171" t="n">
        <v>2016</v>
      </c>
      <c r="E202" s="171" t="n">
        <v>2017</v>
      </c>
      <c r="F202" s="171" t="n">
        <v>2018</v>
      </c>
      <c r="G202" s="171" t="n">
        <v>2019</v>
      </c>
      <c r="H202" s="171" t="n">
        <v>2020</v>
      </c>
      <c r="I202" s="147" t="n">
        <v>2015</v>
      </c>
      <c r="J202" s="171" t="n">
        <v>2016</v>
      </c>
      <c r="K202" s="171" t="n">
        <v>2017</v>
      </c>
      <c r="L202" s="171" t="n">
        <v>2018</v>
      </c>
      <c r="M202" s="171" t="n">
        <v>2019</v>
      </c>
      <c r="N202" s="171" t="n">
        <v>2020</v>
      </c>
      <c r="O202" s="171" t="n">
        <v>2015</v>
      </c>
      <c r="P202" s="171" t="n">
        <v>2020</v>
      </c>
    </row>
    <row r="203" customFormat="false" ht="14.5" hidden="false" customHeight="false" outlineLevel="0" collapsed="false">
      <c r="B203" s="7" t="s">
        <v>425</v>
      </c>
      <c r="C203" s="11" t="n">
        <v>280.8</v>
      </c>
      <c r="D203" s="11" t="n">
        <v>281.1</v>
      </c>
      <c r="E203" s="11" t="n">
        <v>282.9</v>
      </c>
      <c r="F203" s="11" t="n">
        <v>288.8</v>
      </c>
      <c r="G203" s="11" t="n">
        <v>300.6</v>
      </c>
      <c r="H203" s="11" t="n">
        <v>272</v>
      </c>
      <c r="I203" s="11" t="n">
        <f aca="false">C203*(1-C206)</f>
        <v>279.396</v>
      </c>
      <c r="J203" s="11" t="n">
        <f aca="false">D203*(1-D206)</f>
        <v>279.1323</v>
      </c>
      <c r="K203" s="11" t="n">
        <f aca="false">E203*(1-E206)</f>
        <v>277.8078</v>
      </c>
      <c r="L203" s="11" t="n">
        <f aca="false">F203*(1-F206)</f>
        <v>278.4032</v>
      </c>
      <c r="M203" s="11" t="n">
        <f aca="false">G203*(1-G206)</f>
        <v>286.1712</v>
      </c>
      <c r="N203" s="11" t="n">
        <f aca="false">H203*(1-H206)</f>
        <v>257.584</v>
      </c>
      <c r="O203" s="11" t="n">
        <v>266.657</v>
      </c>
      <c r="P203" s="11" t="n">
        <v>249.767073517024</v>
      </c>
    </row>
    <row r="204" customFormat="false" ht="14.5" hidden="false" customHeight="false" outlineLevel="0" collapsed="false">
      <c r="B204" s="7" t="s">
        <v>426</v>
      </c>
      <c r="C204" s="11"/>
      <c r="D204" s="11"/>
      <c r="E204" s="11"/>
      <c r="F204" s="11"/>
      <c r="G204" s="11"/>
      <c r="H204" s="11"/>
      <c r="I204" s="11"/>
      <c r="J204" s="11"/>
      <c r="K204" s="11"/>
      <c r="L204" s="11"/>
      <c r="M204" s="11"/>
      <c r="N204" s="11"/>
      <c r="O204" s="11" t="n">
        <v>228.458241893366</v>
      </c>
      <c r="P204" s="11" t="n">
        <v>215.980157747688</v>
      </c>
    </row>
    <row r="205" customFormat="false" ht="14.5" hidden="false" customHeight="false" outlineLevel="0" collapsed="false">
      <c r="B205" s="7" t="s">
        <v>427</v>
      </c>
      <c r="C205" s="11" t="n">
        <v>107.9</v>
      </c>
      <c r="D205" s="11" t="n">
        <v>108.4</v>
      </c>
      <c r="E205" s="11" t="n">
        <v>113.1</v>
      </c>
      <c r="F205" s="11" t="n">
        <v>117.4</v>
      </c>
      <c r="G205" s="11" t="n">
        <v>124.1</v>
      </c>
      <c r="H205" s="11" t="n">
        <v>106.7</v>
      </c>
      <c r="I205" s="11" t="n">
        <f aca="false">C205*(1-C206)</f>
        <v>107.3605</v>
      </c>
      <c r="J205" s="11" t="n">
        <f aca="false">D205*(1-D206)</f>
        <v>107.6412</v>
      </c>
      <c r="K205" s="11" t="n">
        <f aca="false">E205*(1-E206)</f>
        <v>111.0642</v>
      </c>
      <c r="L205" s="11" t="n">
        <f aca="false">F205*(1-F206)</f>
        <v>113.1736</v>
      </c>
      <c r="M205" s="11" t="n">
        <f aca="false">G205*(1-G206)</f>
        <v>118.1432</v>
      </c>
      <c r="N205" s="11" t="n">
        <f aca="false">H205*(1-H206)</f>
        <v>101.0449</v>
      </c>
      <c r="O205" s="11" t="n">
        <v>107.884</v>
      </c>
      <c r="P205" s="11" t="n">
        <v>90.720938362229</v>
      </c>
    </row>
    <row r="206" customFormat="false" ht="14.5" hidden="false" customHeight="false" outlineLevel="0" collapsed="false">
      <c r="B206" s="1" t="s">
        <v>428</v>
      </c>
      <c r="C206" s="28" t="n">
        <v>0.005</v>
      </c>
      <c r="D206" s="28" t="n">
        <v>0.007</v>
      </c>
      <c r="E206" s="28" t="n">
        <v>0.018</v>
      </c>
      <c r="F206" s="28" t="n">
        <v>0.036</v>
      </c>
      <c r="G206" s="28" t="n">
        <v>0.048</v>
      </c>
      <c r="H206" s="28" t="n">
        <v>0.053</v>
      </c>
    </row>
    <row r="207" customFormat="false" ht="14.5" hidden="true" customHeight="false" outlineLevel="0" collapsed="false"/>
    <row r="208" customFormat="false" ht="14.5" hidden="true" customHeight="false" outlineLevel="0" collapsed="false">
      <c r="B208" s="171" t="s">
        <v>429</v>
      </c>
      <c r="C208" s="175" t="n">
        <f aca="false">AVERAGE(C198/O204,H198/P204)</f>
        <v>0.878035401114416</v>
      </c>
      <c r="D208" s="28"/>
    </row>
    <row r="209" customFormat="false" ht="14.5" hidden="true" customHeight="false" outlineLevel="0" collapsed="false">
      <c r="B209" s="176" t="s">
        <v>430</v>
      </c>
    </row>
    <row r="210" customFormat="false" ht="14.5" hidden="true" customHeight="false" outlineLevel="0" collapsed="false">
      <c r="C210" s="177" t="s">
        <v>21</v>
      </c>
      <c r="D210" s="177"/>
      <c r="E210" s="177"/>
      <c r="F210" s="177"/>
      <c r="G210" s="177"/>
      <c r="H210" s="177"/>
      <c r="I210" s="177"/>
      <c r="J210" s="177"/>
      <c r="K210" s="177" t="s">
        <v>22</v>
      </c>
      <c r="L210" s="177"/>
      <c r="M210" s="177"/>
      <c r="N210" s="177"/>
      <c r="O210" s="177"/>
      <c r="P210" s="177"/>
      <c r="Q210" s="177"/>
      <c r="R210" s="177"/>
    </row>
    <row r="211" customFormat="false" ht="14.5" hidden="true" customHeight="false" outlineLevel="0" collapsed="false">
      <c r="B211" s="7" t="s">
        <v>102</v>
      </c>
      <c r="C211" s="178" t="n">
        <v>2019</v>
      </c>
      <c r="D211" s="178" t="n">
        <v>2020</v>
      </c>
      <c r="E211" s="178" t="n">
        <v>2025</v>
      </c>
      <c r="F211" s="178" t="n">
        <v>2030</v>
      </c>
      <c r="G211" s="178" t="n">
        <v>2035</v>
      </c>
      <c r="H211" s="178" t="n">
        <v>2040</v>
      </c>
      <c r="I211" s="178" t="n">
        <v>2045</v>
      </c>
      <c r="J211" s="178" t="n">
        <v>2050</v>
      </c>
      <c r="K211" s="178" t="n">
        <v>2019</v>
      </c>
      <c r="L211" s="178" t="n">
        <v>2020</v>
      </c>
      <c r="M211" s="178" t="n">
        <v>2025</v>
      </c>
      <c r="N211" s="178" t="n">
        <v>2030</v>
      </c>
      <c r="O211" s="178" t="n">
        <v>2035</v>
      </c>
      <c r="P211" s="178" t="n">
        <v>2040</v>
      </c>
      <c r="Q211" s="178" t="n">
        <v>2045</v>
      </c>
      <c r="R211" s="178" t="n">
        <v>2050</v>
      </c>
    </row>
    <row r="212" customFormat="false" ht="14.5" hidden="true" customHeight="false" outlineLevel="0" collapsed="false">
      <c r="B212" s="7" t="s">
        <v>431</v>
      </c>
      <c r="C212" s="11" t="n">
        <v>263.792280453649</v>
      </c>
      <c r="D212" s="11" t="n">
        <v>235.2055540394</v>
      </c>
      <c r="E212" s="11" t="n">
        <v>239.727496005564</v>
      </c>
      <c r="F212" s="11" t="n">
        <v>244.929728371327</v>
      </c>
      <c r="G212" s="11" t="n">
        <v>253.551684281391</v>
      </c>
      <c r="H212" s="11" t="n">
        <v>268.05452538605</v>
      </c>
      <c r="I212" s="11" t="n">
        <v>286.307092886203</v>
      </c>
      <c r="J212" s="11" t="n">
        <v>305.762996011414</v>
      </c>
      <c r="K212" s="11" t="n">
        <v>263.792280453649</v>
      </c>
      <c r="L212" s="11" t="n">
        <v>235.205554039399</v>
      </c>
      <c r="M212" s="11" t="n">
        <v>253.799827761625</v>
      </c>
      <c r="N212" s="11" t="n">
        <v>263.919207345065</v>
      </c>
      <c r="O212" s="11" t="n">
        <v>277.191074223816</v>
      </c>
      <c r="P212" s="11" t="n">
        <v>297.873134840723</v>
      </c>
      <c r="Q212" s="11" t="n">
        <v>322.67523786659</v>
      </c>
      <c r="R212" s="11" t="n">
        <v>348.338781715539</v>
      </c>
      <c r="S212" s="1" t="s">
        <v>432</v>
      </c>
    </row>
    <row r="213" customFormat="false" ht="14.5" hidden="true" customHeight="false" outlineLevel="0" collapsed="false">
      <c r="B213" s="7" t="s">
        <v>433</v>
      </c>
      <c r="C213" s="11" t="n">
        <f aca="false">C212*$C208</f>
        <v>231.618960779006</v>
      </c>
      <c r="D213" s="11" t="n">
        <f aca="false">D212*$C208</f>
        <v>206.518802985323</v>
      </c>
      <c r="E213" s="11" t="n">
        <f aca="false">E212*$C208</f>
        <v>210.4892281134</v>
      </c>
      <c r="F213" s="11" t="n">
        <f aca="false">F212*$C208</f>
        <v>215.056972295363</v>
      </c>
      <c r="G213" s="11" t="n">
        <f aca="false">G212*$C208</f>
        <v>222.627354811247</v>
      </c>
      <c r="H213" s="11" t="n">
        <f aca="false">H212*$C208</f>
        <v>235.361362717875</v>
      </c>
      <c r="I213" s="11" t="n">
        <f aca="false">I212*$C208</f>
        <v>251.38776314424</v>
      </c>
      <c r="J213" s="11" t="n">
        <f aca="false">J212*$C208</f>
        <v>268.470734848827</v>
      </c>
      <c r="K213" s="11" t="n">
        <f aca="false">K212*$C208</f>
        <v>231.618960779006</v>
      </c>
      <c r="L213" s="11" t="n">
        <f aca="false">L212*$C208</f>
        <v>206.518802985322</v>
      </c>
      <c r="M213" s="11" t="n">
        <f aca="false">M212*$C208</f>
        <v>222.845233571448</v>
      </c>
      <c r="N213" s="11" t="n">
        <f aca="false">N212*$C208</f>
        <v>231.730407083023</v>
      </c>
      <c r="O213" s="11" t="n">
        <f aca="false">O212*$C208</f>
        <v>243.383576041444</v>
      </c>
      <c r="P213" s="11" t="n">
        <f aca="false">P212*$C208</f>
        <v>261.543157431083</v>
      </c>
      <c r="Q213" s="11" t="n">
        <f aca="false">Q212*$C208</f>
        <v>283.320281909881</v>
      </c>
      <c r="R213" s="11" t="n">
        <f aca="false">R212*$C208</f>
        <v>305.85378192731</v>
      </c>
    </row>
    <row r="214" customFormat="false" ht="14.5" hidden="true" customHeight="false" outlineLevel="0" collapsed="false">
      <c r="B214" s="7" t="s">
        <v>434</v>
      </c>
      <c r="C214" s="11" t="n">
        <v>124.1</v>
      </c>
      <c r="D214" s="11" t="n">
        <v>106.7</v>
      </c>
      <c r="E214" s="11" t="n">
        <v>113.993023633184</v>
      </c>
      <c r="F214" s="11" t="n">
        <v>116.16592190119</v>
      </c>
      <c r="G214" s="11" t="n">
        <v>119.77244944755</v>
      </c>
      <c r="H214" s="11" t="n">
        <v>124.913474627238</v>
      </c>
      <c r="I214" s="11" t="n">
        <v>131.700686828946</v>
      </c>
      <c r="J214" s="11" t="n">
        <v>139.093521731273</v>
      </c>
      <c r="K214" s="11" t="n">
        <v>124.1</v>
      </c>
      <c r="L214" s="11" t="n">
        <v>106.7</v>
      </c>
      <c r="M214" s="11" t="n">
        <v>113.993023633183</v>
      </c>
      <c r="N214" s="11" t="n">
        <v>116.16592190119</v>
      </c>
      <c r="O214" s="11" t="n">
        <v>119.772449447551</v>
      </c>
      <c r="P214" s="11" t="n">
        <v>124.913474627238</v>
      </c>
      <c r="Q214" s="11" t="n">
        <v>131.700686828946</v>
      </c>
      <c r="R214" s="11" t="n">
        <v>139.093521731273</v>
      </c>
    </row>
    <row r="215" customFormat="false" ht="15" hidden="true" customHeight="true" outlineLevel="0" collapsed="false"/>
    <row r="216" customFormat="false" ht="14.5" hidden="true" customHeight="false" outlineLevel="0" collapsed="false"/>
  </sheetData>
  <mergeCells count="7">
    <mergeCell ref="C201:H201"/>
    <mergeCell ref="I201:N201"/>
    <mergeCell ref="O201:P201"/>
    <mergeCell ref="C204:H204"/>
    <mergeCell ref="I204:N204"/>
    <mergeCell ref="C210:J210"/>
    <mergeCell ref="K210:R21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tabColor rgb="FF2F5597"/>
    <pageSetUpPr fitToPage="false"/>
  </sheetPr>
  <dimension ref="B1:AU214"/>
  <sheetViews>
    <sheetView showFormulas="false" showGridLines="true" showRowColHeaders="true" showZeros="true" rightToLeft="false" tabSelected="false" showOutlineSymbols="true" defaultGridColor="true" view="normal" topLeftCell="S91" colorId="64" zoomScale="53" zoomScaleNormal="53" zoomScalePageLayoutView="100" workbookViewId="0">
      <selection pane="topLeft" activeCell="V126" activeCellId="0" sqref="V126"/>
    </sheetView>
  </sheetViews>
  <sheetFormatPr defaultRowHeight="14.5" zeroHeight="false" outlineLevelRow="0" outlineLevelCol="0"/>
  <cols>
    <col collapsed="false" customWidth="true" hidden="false" outlineLevel="0" max="1" min="1" style="47" width="8.72"/>
    <col collapsed="false" customWidth="true" hidden="false" outlineLevel="0" max="2" min="2" style="1" width="10.46"/>
    <col collapsed="false" customWidth="true" hidden="false" outlineLevel="0" max="3" min="3" style="1" width="40.18"/>
    <col collapsed="false" customWidth="true" hidden="false" outlineLevel="0" max="18" min="4" style="1" width="10.46"/>
    <col collapsed="false" customWidth="true" hidden="false" outlineLevel="0" max="19" min="19" style="1" width="45.45"/>
    <col collapsed="false" customWidth="true" hidden="false" outlineLevel="0" max="20" min="20" style="1" width="10.46"/>
    <col collapsed="false" customWidth="true" hidden="false" outlineLevel="0" max="21" min="21" style="1" width="23.01"/>
    <col collapsed="false" customWidth="true" hidden="false" outlineLevel="0" max="22" min="22" style="1" width="53.27"/>
    <col collapsed="false" customWidth="true" hidden="false" outlineLevel="0" max="40" min="23" style="1" width="10.46"/>
    <col collapsed="false" customWidth="true" hidden="false" outlineLevel="0" max="41" min="41" style="1" width="31.18"/>
    <col collapsed="false" customWidth="true" hidden="false" outlineLevel="0" max="42" min="42" style="1" width="37.54"/>
    <col collapsed="false" customWidth="true" hidden="false" outlineLevel="0" max="43" min="43" style="1" width="6.54"/>
    <col collapsed="false" customWidth="true" hidden="false" outlineLevel="0" max="1025" min="44" style="1" width="10.46"/>
  </cols>
  <sheetData>
    <row r="1" customFormat="false" ht="14.5" hidden="false" customHeight="false" outlineLevel="0" collapsed="false">
      <c r="U1" s="179"/>
    </row>
    <row r="2" customFormat="false" ht="14.5" hidden="false" customHeight="false" outlineLevel="0" collapsed="false">
      <c r="C2" s="180" t="s">
        <v>435</v>
      </c>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row>
    <row r="4" customFormat="false" ht="14.5" hidden="false" customHeight="false" outlineLevel="0" collapsed="false">
      <c r="C4" s="181" t="s">
        <v>436</v>
      </c>
      <c r="U4" s="181" t="s">
        <v>437</v>
      </c>
      <c r="V4" s="181"/>
      <c r="W4" s="181"/>
      <c r="X4" s="181"/>
      <c r="Y4" s="181"/>
      <c r="Z4" s="181"/>
      <c r="AA4" s="181"/>
      <c r="AB4" s="181"/>
      <c r="AC4" s="181"/>
      <c r="AD4" s="181"/>
      <c r="AE4" s="181"/>
      <c r="AF4" s="181"/>
      <c r="AG4" s="181"/>
      <c r="AH4" s="181"/>
      <c r="AI4" s="181"/>
      <c r="AJ4" s="181"/>
      <c r="AK4" s="181"/>
      <c r="AL4" s="181"/>
    </row>
    <row r="8" customFormat="false" ht="14.5" hidden="false" customHeight="false" outlineLevel="0" collapsed="false">
      <c r="C8" s="182" t="n">
        <v>2019</v>
      </c>
      <c r="D8" s="182"/>
      <c r="E8" s="182"/>
      <c r="F8" s="182"/>
      <c r="G8" s="182"/>
      <c r="H8" s="182"/>
      <c r="I8" s="182"/>
      <c r="J8" s="182"/>
      <c r="K8" s="182"/>
      <c r="L8" s="182"/>
      <c r="M8" s="182"/>
      <c r="N8" s="182"/>
      <c r="O8" s="182"/>
      <c r="P8" s="182"/>
      <c r="Q8" s="182"/>
      <c r="R8" s="182"/>
      <c r="V8" s="183" t="n">
        <v>2019</v>
      </c>
      <c r="W8" s="183"/>
      <c r="X8" s="183"/>
      <c r="Y8" s="183"/>
      <c r="Z8" s="183"/>
      <c r="AA8" s="183"/>
      <c r="AB8" s="183"/>
      <c r="AC8" s="183"/>
      <c r="AD8" s="183"/>
      <c r="AE8" s="183"/>
      <c r="AF8" s="183"/>
      <c r="AG8" s="183"/>
      <c r="AH8" s="183"/>
      <c r="AI8" s="183"/>
      <c r="AJ8" s="183"/>
      <c r="AK8" s="183"/>
      <c r="AL8" s="183"/>
    </row>
    <row r="9" customFormat="false" ht="30" hidden="false" customHeight="true" outlineLevel="0" collapsed="false">
      <c r="C9" s="184" t="s">
        <v>438</v>
      </c>
      <c r="D9" s="184"/>
      <c r="E9" s="185" t="s">
        <v>439</v>
      </c>
      <c r="F9" s="185" t="s">
        <v>440</v>
      </c>
      <c r="G9" s="185" t="s">
        <v>441</v>
      </c>
      <c r="H9" s="185" t="s">
        <v>442</v>
      </c>
      <c r="I9" s="185" t="s">
        <v>443</v>
      </c>
      <c r="J9" s="185"/>
      <c r="K9" s="185"/>
      <c r="L9" s="185"/>
      <c r="M9" s="185" t="s">
        <v>444</v>
      </c>
      <c r="N9" s="185" t="s">
        <v>445</v>
      </c>
      <c r="O9" s="185" t="s">
        <v>446</v>
      </c>
      <c r="P9" s="185" t="s">
        <v>447</v>
      </c>
      <c r="Q9" s="186" t="s">
        <v>448</v>
      </c>
      <c r="R9" s="185" t="s">
        <v>52</v>
      </c>
      <c r="V9" s="184" t="s">
        <v>438</v>
      </c>
      <c r="W9" s="184"/>
      <c r="X9" s="185" t="s">
        <v>439</v>
      </c>
      <c r="Y9" s="185"/>
      <c r="Z9" s="185" t="s">
        <v>441</v>
      </c>
      <c r="AA9" s="185" t="s">
        <v>442</v>
      </c>
      <c r="AB9" s="185" t="s">
        <v>443</v>
      </c>
      <c r="AC9" s="185"/>
      <c r="AD9" s="185"/>
      <c r="AE9" s="185"/>
      <c r="AF9" s="185" t="s">
        <v>444</v>
      </c>
      <c r="AG9" s="185" t="s">
        <v>445</v>
      </c>
      <c r="AH9" s="185" t="s">
        <v>446</v>
      </c>
      <c r="AI9" s="187"/>
      <c r="AJ9" s="185" t="s">
        <v>447</v>
      </c>
      <c r="AK9" s="186" t="s">
        <v>448</v>
      </c>
      <c r="AL9" s="185" t="s">
        <v>52</v>
      </c>
      <c r="AR9" s="174" t="s">
        <v>449</v>
      </c>
      <c r="AS9" s="174"/>
      <c r="AT9" s="174" t="s">
        <v>450</v>
      </c>
      <c r="AU9" s="174"/>
    </row>
    <row r="10" customFormat="false" ht="43.5" hidden="false" customHeight="false" outlineLevel="0" collapsed="false">
      <c r="C10" s="184"/>
      <c r="D10" s="184"/>
      <c r="E10" s="185"/>
      <c r="F10" s="185"/>
      <c r="G10" s="185"/>
      <c r="H10" s="185"/>
      <c r="I10" s="186" t="s">
        <v>451</v>
      </c>
      <c r="J10" s="186" t="s">
        <v>452</v>
      </c>
      <c r="K10" s="186" t="s">
        <v>453</v>
      </c>
      <c r="L10" s="186" t="s">
        <v>454</v>
      </c>
      <c r="M10" s="185"/>
      <c r="N10" s="185"/>
      <c r="O10" s="185"/>
      <c r="P10" s="185"/>
      <c r="Q10" s="186" t="s">
        <v>448</v>
      </c>
      <c r="R10" s="185"/>
      <c r="V10" s="184"/>
      <c r="W10" s="184"/>
      <c r="X10" s="185"/>
      <c r="Y10" s="185" t="s">
        <v>455</v>
      </c>
      <c r="Z10" s="185"/>
      <c r="AA10" s="185"/>
      <c r="AB10" s="186" t="s">
        <v>451</v>
      </c>
      <c r="AC10" s="186" t="s">
        <v>452</v>
      </c>
      <c r="AD10" s="186" t="s">
        <v>453</v>
      </c>
      <c r="AE10" s="186" t="s">
        <v>454</v>
      </c>
      <c r="AF10" s="185"/>
      <c r="AG10" s="185"/>
      <c r="AH10" s="185"/>
      <c r="AI10" s="188" t="s">
        <v>456</v>
      </c>
      <c r="AJ10" s="185"/>
      <c r="AK10" s="186" t="s">
        <v>448</v>
      </c>
      <c r="AL10" s="185"/>
      <c r="AO10" s="161"/>
      <c r="AR10" s="1" t="s">
        <v>457</v>
      </c>
      <c r="AS10" s="1" t="s">
        <v>458</v>
      </c>
      <c r="AT10" s="1" t="s">
        <v>457</v>
      </c>
      <c r="AU10" s="1" t="s">
        <v>458</v>
      </c>
    </row>
    <row r="11" customFormat="false" ht="14.5" hidden="false" customHeight="false" outlineLevel="0" collapsed="false">
      <c r="C11" s="189" t="s">
        <v>24</v>
      </c>
      <c r="D11" s="189"/>
      <c r="E11" s="190" t="n">
        <v>24190.06273</v>
      </c>
      <c r="F11" s="190"/>
      <c r="G11" s="190" t="n">
        <v>1324.657</v>
      </c>
      <c r="H11" s="190" t="n">
        <v>17579.52421</v>
      </c>
      <c r="I11" s="190" t="n">
        <v>6.978</v>
      </c>
      <c r="J11" s="190" t="n">
        <v>0</v>
      </c>
      <c r="K11" s="190" t="n">
        <v>0</v>
      </c>
      <c r="L11" s="190" t="n">
        <v>0</v>
      </c>
      <c r="M11" s="190"/>
      <c r="N11" s="190" t="n">
        <v>0</v>
      </c>
      <c r="O11" s="190" t="n">
        <v>20853.753</v>
      </c>
      <c r="P11" s="190" t="n">
        <v>117.463</v>
      </c>
      <c r="Q11" s="190" t="n">
        <v>0</v>
      </c>
      <c r="R11" s="190" t="n">
        <v>64072.43794</v>
      </c>
      <c r="U11" s="191"/>
      <c r="V11" s="189" t="s">
        <v>24</v>
      </c>
      <c r="W11" s="189"/>
      <c r="X11" s="190" t="n">
        <v>19671.07486</v>
      </c>
      <c r="Y11" s="190" t="n">
        <v>27950.379</v>
      </c>
      <c r="Z11" s="190" t="n">
        <v>1324.657</v>
      </c>
      <c r="AA11" s="190" t="n">
        <v>9299.348</v>
      </c>
      <c r="AB11" s="190" t="n">
        <v>6.978</v>
      </c>
      <c r="AC11" s="190" t="n">
        <v>0</v>
      </c>
      <c r="AD11" s="190" t="n">
        <v>0</v>
      </c>
      <c r="AE11" s="190" t="n">
        <v>0</v>
      </c>
      <c r="AF11" s="190"/>
      <c r="AG11" s="190" t="n">
        <v>0</v>
      </c>
      <c r="AH11" s="190" t="n">
        <v>20853.753</v>
      </c>
      <c r="AI11" s="190" t="n">
        <v>0</v>
      </c>
      <c r="AJ11" s="190" t="n">
        <v>117.463</v>
      </c>
      <c r="AK11" s="190" t="n">
        <v>0</v>
      </c>
      <c r="AL11" s="190" t="n">
        <v>79223.65286</v>
      </c>
      <c r="AM11" s="161" t="s">
        <v>459</v>
      </c>
      <c r="AO11" s="161" t="s">
        <v>460</v>
      </c>
      <c r="AP11" s="189" t="s">
        <v>24</v>
      </c>
      <c r="AQ11" s="189"/>
    </row>
    <row r="12" customFormat="false" ht="14.5" hidden="false" customHeight="false" outlineLevel="0" collapsed="false">
      <c r="C12" s="192" t="s">
        <v>461</v>
      </c>
      <c r="D12" s="192" t="s">
        <v>457</v>
      </c>
      <c r="E12" s="193" t="n">
        <v>29391.00514</v>
      </c>
      <c r="F12" s="193"/>
      <c r="G12" s="193" t="n">
        <v>221.4588</v>
      </c>
      <c r="H12" s="193" t="n">
        <v>14402.57315</v>
      </c>
      <c r="I12" s="193" t="n">
        <v>-50.81214</v>
      </c>
      <c r="J12" s="193" t="n">
        <v>0</v>
      </c>
      <c r="K12" s="193" t="n">
        <v>0</v>
      </c>
      <c r="L12" s="193" t="n">
        <v>0</v>
      </c>
      <c r="M12" s="193"/>
      <c r="N12" s="193" t="n">
        <v>0</v>
      </c>
      <c r="O12" s="193" t="n">
        <v>11347.0835</v>
      </c>
      <c r="P12" s="193" t="n">
        <v>117.463</v>
      </c>
      <c r="Q12" s="193" t="n">
        <v>0</v>
      </c>
      <c r="R12" s="190" t="n">
        <v>55428.77145</v>
      </c>
      <c r="U12" s="191"/>
      <c r="V12" s="192" t="s">
        <v>461</v>
      </c>
      <c r="W12" s="192" t="s">
        <v>457</v>
      </c>
      <c r="X12" s="194" t="n">
        <v>18488.83386</v>
      </c>
      <c r="Y12" s="194" t="n">
        <v>27318.87</v>
      </c>
      <c r="Z12" s="194" t="n">
        <v>0</v>
      </c>
      <c r="AA12" s="194" t="n">
        <v>0</v>
      </c>
      <c r="AB12" s="194" t="n">
        <v>0</v>
      </c>
      <c r="AC12" s="194" t="n">
        <v>0</v>
      </c>
      <c r="AD12" s="194" t="n">
        <v>0</v>
      </c>
      <c r="AE12" s="194" t="n">
        <v>0</v>
      </c>
      <c r="AF12" s="194"/>
      <c r="AG12" s="194" t="n">
        <v>0</v>
      </c>
      <c r="AH12" s="194" t="n">
        <v>0</v>
      </c>
      <c r="AI12" s="194" t="n">
        <v>0</v>
      </c>
      <c r="AJ12" s="194" t="n">
        <v>0</v>
      </c>
      <c r="AK12" s="194" t="n">
        <v>0</v>
      </c>
      <c r="AL12" s="194" t="n">
        <v>45807.70386</v>
      </c>
      <c r="AM12" s="1" t="s">
        <v>462</v>
      </c>
      <c r="AO12" s="1" t="s">
        <v>463</v>
      </c>
      <c r="AP12" s="192" t="s">
        <v>461</v>
      </c>
      <c r="AQ12" s="192" t="s">
        <v>457</v>
      </c>
      <c r="AR12" s="1" t="n">
        <v>157.6</v>
      </c>
      <c r="AS12" s="195" t="n">
        <f aca="false">AR12/AL12</f>
        <v>0.00344046932545813</v>
      </c>
      <c r="AT12" s="139" t="n">
        <v>2093.667</v>
      </c>
      <c r="AU12" s="195" t="n">
        <f aca="false">AT12/AL12</f>
        <v>0.0457055652996443</v>
      </c>
    </row>
    <row r="13" customFormat="false" ht="14.5" hidden="false" customHeight="false" outlineLevel="0" collapsed="false">
      <c r="C13" s="192" t="s">
        <v>464</v>
      </c>
      <c r="D13" s="192" t="s">
        <v>457</v>
      </c>
      <c r="E13" s="193" t="n">
        <v>68.3431</v>
      </c>
      <c r="F13" s="193"/>
      <c r="G13" s="193" t="n">
        <v>39.0532</v>
      </c>
      <c r="H13" s="193" t="n">
        <v>372.95806</v>
      </c>
      <c r="I13" s="193" t="n">
        <v>56.62714</v>
      </c>
      <c r="J13" s="193" t="n">
        <v>0</v>
      </c>
      <c r="K13" s="193" t="n">
        <v>0</v>
      </c>
      <c r="L13" s="193" t="n">
        <v>0</v>
      </c>
      <c r="M13" s="193"/>
      <c r="N13" s="193" t="n">
        <v>0</v>
      </c>
      <c r="O13" s="193" t="n">
        <v>1415.6785</v>
      </c>
      <c r="P13" s="193" t="n">
        <v>0</v>
      </c>
      <c r="Q13" s="193" t="n">
        <v>0</v>
      </c>
      <c r="R13" s="190" t="n">
        <v>1952.66</v>
      </c>
      <c r="U13" s="191"/>
      <c r="V13" s="192" t="s">
        <v>464</v>
      </c>
      <c r="W13" s="192" t="s">
        <v>457</v>
      </c>
      <c r="X13" s="196" t="n">
        <v>68.3431</v>
      </c>
      <c r="Y13" s="194" t="n">
        <v>0</v>
      </c>
      <c r="Z13" s="196" t="n">
        <v>39.0532</v>
      </c>
      <c r="AA13" s="196" t="n">
        <v>429.5852</v>
      </c>
      <c r="AB13" s="194" t="n">
        <v>0</v>
      </c>
      <c r="AC13" s="194" t="n">
        <v>0</v>
      </c>
      <c r="AD13" s="194" t="n">
        <v>0</v>
      </c>
      <c r="AE13" s="194" t="n">
        <v>0</v>
      </c>
      <c r="AF13" s="194"/>
      <c r="AG13" s="194" t="n">
        <v>0</v>
      </c>
      <c r="AH13" s="196" t="n">
        <v>1415.6785</v>
      </c>
      <c r="AI13" s="194" t="n">
        <v>0</v>
      </c>
      <c r="AJ13" s="194" t="n">
        <v>0</v>
      </c>
      <c r="AK13" s="194" t="n">
        <v>0</v>
      </c>
      <c r="AL13" s="196" t="n">
        <v>1952.66</v>
      </c>
      <c r="AM13" s="197" t="s">
        <v>465</v>
      </c>
      <c r="AO13" s="197"/>
      <c r="AP13" s="192" t="s">
        <v>464</v>
      </c>
      <c r="AQ13" s="192" t="s">
        <v>457</v>
      </c>
      <c r="AS13" s="195"/>
      <c r="AU13" s="195"/>
    </row>
    <row r="14" customFormat="false" ht="14.5" hidden="false" customHeight="false" outlineLevel="0" collapsed="false">
      <c r="C14" s="192" t="s">
        <v>466</v>
      </c>
      <c r="D14" s="192" t="s">
        <v>457</v>
      </c>
      <c r="E14" s="193" t="n">
        <v>0</v>
      </c>
      <c r="F14" s="193"/>
      <c r="G14" s="193" t="n">
        <v>0</v>
      </c>
      <c r="H14" s="193" t="n">
        <v>0</v>
      </c>
      <c r="I14" s="193" t="n">
        <v>0</v>
      </c>
      <c r="J14" s="193" t="n">
        <v>0</v>
      </c>
      <c r="K14" s="193" t="n">
        <v>0</v>
      </c>
      <c r="L14" s="193" t="n">
        <v>0</v>
      </c>
      <c r="M14" s="193"/>
      <c r="N14" s="193" t="n">
        <v>0</v>
      </c>
      <c r="O14" s="193" t="n">
        <v>0</v>
      </c>
      <c r="P14" s="193" t="n">
        <v>0</v>
      </c>
      <c r="Q14" s="193" t="n">
        <v>0</v>
      </c>
      <c r="R14" s="190" t="n">
        <v>0</v>
      </c>
      <c r="U14" s="191"/>
      <c r="V14" s="192" t="s">
        <v>466</v>
      </c>
      <c r="W14" s="192" t="s">
        <v>457</v>
      </c>
      <c r="X14" s="194" t="n">
        <v>0</v>
      </c>
      <c r="Y14" s="194" t="n">
        <v>0</v>
      </c>
      <c r="Z14" s="194" t="n">
        <v>0</v>
      </c>
      <c r="AA14" s="194" t="n">
        <v>0</v>
      </c>
      <c r="AB14" s="194" t="n">
        <v>0</v>
      </c>
      <c r="AC14" s="194" t="n">
        <v>0</v>
      </c>
      <c r="AD14" s="194" t="n">
        <v>0</v>
      </c>
      <c r="AE14" s="194" t="n">
        <v>0</v>
      </c>
      <c r="AF14" s="194"/>
      <c r="AG14" s="194" t="n">
        <v>0</v>
      </c>
      <c r="AH14" s="194" t="n">
        <v>0</v>
      </c>
      <c r="AI14" s="194" t="n">
        <v>0</v>
      </c>
      <c r="AJ14" s="194" t="n">
        <v>0</v>
      </c>
      <c r="AK14" s="194" t="n">
        <v>0</v>
      </c>
      <c r="AL14" s="194" t="n">
        <v>0</v>
      </c>
      <c r="AP14" s="192" t="s">
        <v>466</v>
      </c>
      <c r="AQ14" s="192" t="s">
        <v>457</v>
      </c>
      <c r="AS14" s="195"/>
      <c r="AU14" s="195"/>
    </row>
    <row r="15" customFormat="false" ht="14.5" hidden="false" customHeight="false" outlineLevel="0" collapsed="false">
      <c r="C15" s="192"/>
      <c r="D15" s="192"/>
      <c r="E15" s="193"/>
      <c r="F15" s="193"/>
      <c r="G15" s="193"/>
      <c r="H15" s="193"/>
      <c r="I15" s="193"/>
      <c r="J15" s="193"/>
      <c r="K15" s="193"/>
      <c r="L15" s="193"/>
      <c r="M15" s="193"/>
      <c r="N15" s="193"/>
      <c r="O15" s="193"/>
      <c r="P15" s="193"/>
      <c r="Q15" s="193"/>
      <c r="R15" s="190"/>
      <c r="U15" s="191"/>
      <c r="V15" s="198" t="s">
        <v>467</v>
      </c>
      <c r="W15" s="192" t="s">
        <v>457</v>
      </c>
      <c r="X15" s="196" t="n">
        <v>1087.6789</v>
      </c>
      <c r="Y15" s="194" t="n">
        <v>631.509</v>
      </c>
      <c r="Z15" s="196" t="n">
        <v>221.4588</v>
      </c>
      <c r="AA15" s="196" t="n">
        <v>6065.7698</v>
      </c>
      <c r="AB15" s="193" t="n">
        <v>5.815</v>
      </c>
      <c r="AC15" s="194" t="n">
        <v>0</v>
      </c>
      <c r="AD15" s="194"/>
      <c r="AE15" s="194"/>
      <c r="AF15" s="194"/>
      <c r="AG15" s="194"/>
      <c r="AH15" s="196" t="n">
        <v>11347.0835</v>
      </c>
      <c r="AI15" s="194" t="n">
        <v>0</v>
      </c>
      <c r="AJ15" s="194" t="n">
        <v>117.463</v>
      </c>
      <c r="AK15" s="194" t="n">
        <v>0</v>
      </c>
      <c r="AL15" s="196" t="n">
        <v>19476.778</v>
      </c>
      <c r="AM15" s="1" t="s">
        <v>468</v>
      </c>
      <c r="AN15" s="195"/>
      <c r="AO15" s="1" t="s">
        <v>463</v>
      </c>
      <c r="AP15" s="198" t="s">
        <v>467</v>
      </c>
      <c r="AQ15" s="192" t="s">
        <v>457</v>
      </c>
      <c r="AS15" s="195"/>
      <c r="AU15" s="195"/>
    </row>
    <row r="16" customFormat="false" ht="14.5" hidden="false" customHeight="false" outlineLevel="0" collapsed="false">
      <c r="C16" s="192" t="s">
        <v>469</v>
      </c>
      <c r="D16" s="192" t="s">
        <v>457</v>
      </c>
      <c r="E16" s="193" t="n">
        <v>25.056</v>
      </c>
      <c r="F16" s="193"/>
      <c r="G16" s="193" t="n">
        <v>175.392</v>
      </c>
      <c r="H16" s="193" t="n">
        <v>1566</v>
      </c>
      <c r="I16" s="193" t="n">
        <v>0</v>
      </c>
      <c r="J16" s="193" t="n">
        <v>0</v>
      </c>
      <c r="K16" s="193" t="n">
        <v>0</v>
      </c>
      <c r="L16" s="193" t="n">
        <v>0</v>
      </c>
      <c r="M16" s="193"/>
      <c r="N16" s="193" t="n">
        <v>0</v>
      </c>
      <c r="O16" s="193" t="n">
        <v>4447.44</v>
      </c>
      <c r="P16" s="193" t="n">
        <v>50.112</v>
      </c>
      <c r="Q16" s="193" t="n">
        <v>0</v>
      </c>
      <c r="R16" s="190" t="n">
        <v>6264</v>
      </c>
      <c r="U16" s="191"/>
      <c r="V16" s="192" t="s">
        <v>469</v>
      </c>
      <c r="W16" s="192" t="s">
        <v>457</v>
      </c>
      <c r="X16" s="194" t="n">
        <v>25.056</v>
      </c>
      <c r="Y16" s="194" t="n">
        <v>0</v>
      </c>
      <c r="Z16" s="196" t="n">
        <v>175.392</v>
      </c>
      <c r="AA16" s="194" t="n">
        <v>1566</v>
      </c>
      <c r="AB16" s="194" t="n">
        <v>0</v>
      </c>
      <c r="AC16" s="194" t="n">
        <v>0</v>
      </c>
      <c r="AD16" s="194" t="n">
        <v>0</v>
      </c>
      <c r="AE16" s="194" t="n">
        <v>0</v>
      </c>
      <c r="AF16" s="194"/>
      <c r="AG16" s="194" t="n">
        <v>0</v>
      </c>
      <c r="AH16" s="194" t="n">
        <v>4447.44</v>
      </c>
      <c r="AI16" s="194" t="n">
        <v>0</v>
      </c>
      <c r="AJ16" s="194" t="n">
        <v>0</v>
      </c>
      <c r="AK16" s="194" t="n">
        <v>0</v>
      </c>
      <c r="AL16" s="196" t="n">
        <v>6264</v>
      </c>
      <c r="AM16" s="1" t="s">
        <v>470</v>
      </c>
      <c r="AP16" s="192" t="s">
        <v>469</v>
      </c>
      <c r="AQ16" s="192" t="s">
        <v>457</v>
      </c>
      <c r="AS16" s="195"/>
      <c r="AT16" s="139" t="n">
        <v>55.878</v>
      </c>
      <c r="AU16" s="195" t="n">
        <f aca="false">AT16/AL16</f>
        <v>0.00892049808429119</v>
      </c>
    </row>
    <row r="17" customFormat="false" ht="14.5" hidden="false" customHeight="false" outlineLevel="0" collapsed="false">
      <c r="C17" s="192" t="s">
        <v>471</v>
      </c>
      <c r="D17" s="192" t="s">
        <v>457</v>
      </c>
      <c r="E17" s="193" t="n">
        <v>0</v>
      </c>
      <c r="F17" s="193"/>
      <c r="G17" s="193" t="n">
        <v>0</v>
      </c>
      <c r="H17" s="199" t="n">
        <f aca="false">R17*0.9</f>
        <v>400.95</v>
      </c>
      <c r="I17" s="193" t="n">
        <v>0</v>
      </c>
      <c r="J17" s="193" t="n">
        <v>0</v>
      </c>
      <c r="K17" s="193" t="n">
        <v>0</v>
      </c>
      <c r="L17" s="193" t="n">
        <v>0</v>
      </c>
      <c r="M17" s="193"/>
      <c r="N17" s="193" t="n">
        <v>0</v>
      </c>
      <c r="O17" s="199" t="n">
        <f aca="false">445.5*0.1</f>
        <v>44.55</v>
      </c>
      <c r="P17" s="193" t="n">
        <v>0</v>
      </c>
      <c r="Q17" s="193" t="n">
        <v>0</v>
      </c>
      <c r="R17" s="190" t="n">
        <v>445.5</v>
      </c>
      <c r="U17" s="191"/>
      <c r="V17" s="192" t="s">
        <v>471</v>
      </c>
      <c r="W17" s="192" t="s">
        <v>457</v>
      </c>
      <c r="X17" s="194" t="n">
        <v>0</v>
      </c>
      <c r="Y17" s="194" t="n">
        <v>0</v>
      </c>
      <c r="Z17" s="196" t="n">
        <v>32.9233333333333</v>
      </c>
      <c r="AA17" s="196" t="n">
        <v>855.742222222222</v>
      </c>
      <c r="AB17" s="194" t="n">
        <v>0</v>
      </c>
      <c r="AC17" s="194" t="n">
        <v>0</v>
      </c>
      <c r="AD17" s="194" t="n">
        <v>0</v>
      </c>
      <c r="AE17" s="194" t="n">
        <v>0</v>
      </c>
      <c r="AF17" s="194"/>
      <c r="AG17" s="194" t="n">
        <v>0</v>
      </c>
      <c r="AH17" s="196" t="n">
        <v>448.63</v>
      </c>
      <c r="AI17" s="194" t="n">
        <v>0</v>
      </c>
      <c r="AJ17" s="194" t="n">
        <v>0</v>
      </c>
      <c r="AK17" s="194" t="n">
        <v>0</v>
      </c>
      <c r="AL17" s="196" t="n">
        <v>1337.29555555556</v>
      </c>
      <c r="AM17" s="197" t="s">
        <v>472</v>
      </c>
      <c r="AP17" s="192" t="s">
        <v>471</v>
      </c>
      <c r="AQ17" s="192" t="s">
        <v>457</v>
      </c>
      <c r="AS17" s="195"/>
      <c r="AU17" s="195"/>
    </row>
    <row r="18" customFormat="false" ht="14.5" hidden="false" customHeight="false" outlineLevel="0" collapsed="false">
      <c r="C18" s="192" t="s">
        <v>473</v>
      </c>
      <c r="D18" s="192" t="s">
        <v>457</v>
      </c>
      <c r="E18" s="193" t="n">
        <v>1.163</v>
      </c>
      <c r="F18" s="193"/>
      <c r="G18" s="193" t="n">
        <v>888.753</v>
      </c>
      <c r="H18" s="193" t="n">
        <v>1237.993</v>
      </c>
      <c r="I18" s="193" t="n">
        <v>1.163</v>
      </c>
      <c r="J18" s="193" t="n">
        <v>0</v>
      </c>
      <c r="K18" s="193" t="n">
        <v>0</v>
      </c>
      <c r="L18" s="193" t="n">
        <v>0</v>
      </c>
      <c r="M18" s="193"/>
      <c r="N18" s="193" t="n">
        <v>0</v>
      </c>
      <c r="O18" s="193" t="n">
        <v>3198.051</v>
      </c>
      <c r="P18" s="193" t="n">
        <v>-50.112</v>
      </c>
      <c r="Q18" s="193" t="n">
        <v>0</v>
      </c>
      <c r="R18" s="190" t="n">
        <v>5277.011</v>
      </c>
      <c r="U18" s="191"/>
      <c r="V18" s="192" t="s">
        <v>473</v>
      </c>
      <c r="W18" s="192" t="s">
        <v>457</v>
      </c>
      <c r="X18" s="194" t="n">
        <v>1.163</v>
      </c>
      <c r="Y18" s="194" t="n">
        <v>0</v>
      </c>
      <c r="Z18" s="196" t="n">
        <v>855.829666666667</v>
      </c>
      <c r="AA18" s="196" t="n">
        <v>382.250777777778</v>
      </c>
      <c r="AB18" s="194" t="n">
        <v>1.163</v>
      </c>
      <c r="AC18" s="194" t="n">
        <v>0</v>
      </c>
      <c r="AD18" s="194" t="n">
        <v>0</v>
      </c>
      <c r="AE18" s="194" t="n">
        <v>0</v>
      </c>
      <c r="AF18" s="194"/>
      <c r="AG18" s="194" t="n">
        <v>0</v>
      </c>
      <c r="AH18" s="196" t="n">
        <v>3194.921</v>
      </c>
      <c r="AI18" s="194" t="n">
        <v>0</v>
      </c>
      <c r="AJ18" s="194" t="n">
        <v>0</v>
      </c>
      <c r="AK18" s="194" t="n">
        <v>0</v>
      </c>
      <c r="AL18" s="196" t="n">
        <v>4385.21544444444</v>
      </c>
      <c r="AM18" s="1" t="s">
        <v>468</v>
      </c>
      <c r="AN18" s="195"/>
      <c r="AP18" s="192" t="s">
        <v>473</v>
      </c>
      <c r="AQ18" s="192" t="s">
        <v>457</v>
      </c>
      <c r="AR18" s="1" t="n">
        <v>86.5</v>
      </c>
      <c r="AS18" s="195" t="n">
        <f aca="false">AR18/AL18</f>
        <v>0.0197253706450353</v>
      </c>
      <c r="AT18" s="139" t="n">
        <v>82.619</v>
      </c>
      <c r="AU18" s="195" t="n">
        <f aca="false">AT18/AL18</f>
        <v>0.0188403514141292</v>
      </c>
    </row>
    <row r="19" customFormat="false" ht="14.5" hidden="false" customHeight="false" outlineLevel="0" collapsed="false">
      <c r="C19" s="189" t="s">
        <v>25</v>
      </c>
      <c r="D19" s="189"/>
      <c r="E19" s="190" t="n">
        <v>3728.86875</v>
      </c>
      <c r="F19" s="190"/>
      <c r="G19" s="190" t="n">
        <v>4401.59447</v>
      </c>
      <c r="H19" s="190" t="n">
        <v>35658.52203</v>
      </c>
      <c r="I19" s="190" t="n">
        <v>1080.47352000001</v>
      </c>
      <c r="J19" s="190" t="n">
        <v>0</v>
      </c>
      <c r="K19" s="190" t="n">
        <v>0</v>
      </c>
      <c r="L19" s="190" t="n">
        <v>0</v>
      </c>
      <c r="M19" s="190"/>
      <c r="N19" s="190" t="n">
        <v>0</v>
      </c>
      <c r="O19" s="190" t="n">
        <v>19634.21957</v>
      </c>
      <c r="P19" s="190" t="n">
        <v>11362.64956</v>
      </c>
      <c r="Q19" s="190" t="n">
        <v>0</v>
      </c>
      <c r="R19" s="190" t="n">
        <v>75866.3279</v>
      </c>
      <c r="U19" s="191"/>
      <c r="V19" s="189" t="s">
        <v>25</v>
      </c>
      <c r="W19" s="189"/>
      <c r="X19" s="190" t="n">
        <v>3659.961</v>
      </c>
      <c r="Y19" s="190" t="n">
        <v>68.90775</v>
      </c>
      <c r="Z19" s="190" t="n">
        <v>4401.59447</v>
      </c>
      <c r="AA19" s="190" t="n">
        <v>35658.52203</v>
      </c>
      <c r="AB19" s="190" t="n">
        <v>1080.47352000001</v>
      </c>
      <c r="AC19" s="190" t="n">
        <v>0</v>
      </c>
      <c r="AD19" s="190" t="n">
        <v>0</v>
      </c>
      <c r="AE19" s="190" t="n">
        <v>0</v>
      </c>
      <c r="AF19" s="190"/>
      <c r="AG19" s="190" t="n">
        <v>0</v>
      </c>
      <c r="AH19" s="190" t="n">
        <v>19634.21957</v>
      </c>
      <c r="AI19" s="190" t="n">
        <v>0</v>
      </c>
      <c r="AJ19" s="190" t="n">
        <v>11362.64956</v>
      </c>
      <c r="AK19" s="190" t="n">
        <v>0</v>
      </c>
      <c r="AL19" s="190" t="n">
        <v>75866.3279</v>
      </c>
      <c r="AM19" s="1" t="s">
        <v>474</v>
      </c>
      <c r="AP19" s="189" t="s">
        <v>25</v>
      </c>
      <c r="AQ19" s="189"/>
      <c r="AS19" s="195"/>
      <c r="AU19" s="195"/>
    </row>
    <row r="20" customFormat="false" ht="14.5" hidden="false" customHeight="false" outlineLevel="0" collapsed="false">
      <c r="C20" s="192" t="s">
        <v>475</v>
      </c>
      <c r="D20" s="192" t="s">
        <v>457</v>
      </c>
      <c r="E20" s="193" t="n">
        <v>0</v>
      </c>
      <c r="F20" s="193"/>
      <c r="G20" s="193" t="n">
        <v>26.8794923344233</v>
      </c>
      <c r="H20" s="193" t="n">
        <v>4999.58557420273</v>
      </c>
      <c r="I20" s="193" t="n">
        <v>26.8794923344233</v>
      </c>
      <c r="J20" s="193" t="n">
        <v>0</v>
      </c>
      <c r="K20" s="193" t="n">
        <v>0</v>
      </c>
      <c r="L20" s="193" t="n">
        <v>0</v>
      </c>
      <c r="M20" s="193"/>
      <c r="N20" s="193" t="n">
        <v>0</v>
      </c>
      <c r="O20" s="193" t="n">
        <v>322.553908013079</v>
      </c>
      <c r="P20" s="193" t="n">
        <v>0</v>
      </c>
      <c r="Q20" s="193" t="n">
        <v>0</v>
      </c>
      <c r="R20" s="190" t="n">
        <v>5375.89846688465</v>
      </c>
      <c r="U20" s="191"/>
      <c r="V20" s="192" t="s">
        <v>475</v>
      </c>
      <c r="W20" s="192" t="s">
        <v>457</v>
      </c>
      <c r="X20" s="193" t="n">
        <v>0</v>
      </c>
      <c r="Y20" s="193" t="n">
        <v>0</v>
      </c>
      <c r="Z20" s="193" t="n">
        <v>26.8794923344233</v>
      </c>
      <c r="AA20" s="193" t="n">
        <v>4999.58557420273</v>
      </c>
      <c r="AB20" s="193" t="n">
        <v>26.8794923344233</v>
      </c>
      <c r="AC20" s="193" t="n">
        <v>0</v>
      </c>
      <c r="AD20" s="193" t="n">
        <v>0</v>
      </c>
      <c r="AE20" s="193" t="n">
        <v>0</v>
      </c>
      <c r="AF20" s="193"/>
      <c r="AG20" s="193" t="n">
        <v>0</v>
      </c>
      <c r="AH20" s="193" t="n">
        <v>322.553908013079</v>
      </c>
      <c r="AI20" s="193" t="n">
        <v>0</v>
      </c>
      <c r="AJ20" s="193" t="n">
        <v>0</v>
      </c>
      <c r="AK20" s="193" t="n">
        <v>0</v>
      </c>
      <c r="AL20" s="193" t="n">
        <v>5375.89846688465</v>
      </c>
      <c r="AM20" s="1" t="s">
        <v>470</v>
      </c>
      <c r="AP20" s="192" t="s">
        <v>475</v>
      </c>
      <c r="AQ20" s="192" t="s">
        <v>457</v>
      </c>
      <c r="AS20" s="195"/>
      <c r="AU20" s="195"/>
    </row>
    <row r="21" customFormat="false" ht="14.5" hidden="false" customHeight="false" outlineLevel="0" collapsed="false">
      <c r="C21" s="192" t="s">
        <v>476</v>
      </c>
      <c r="D21" s="192" t="s">
        <v>457</v>
      </c>
      <c r="E21" s="193" t="n">
        <v>0</v>
      </c>
      <c r="F21" s="193"/>
      <c r="G21" s="193" t="n">
        <v>1703.66737081149</v>
      </c>
      <c r="H21" s="193" t="n">
        <v>12328.079291392</v>
      </c>
      <c r="I21" s="193" t="n">
        <v>757.425897617495</v>
      </c>
      <c r="J21" s="193" t="n">
        <v>0</v>
      </c>
      <c r="K21" s="193" t="n">
        <v>0</v>
      </c>
      <c r="L21" s="193" t="n">
        <v>0</v>
      </c>
      <c r="M21" s="193"/>
      <c r="N21" s="193" t="n">
        <v>0</v>
      </c>
      <c r="O21" s="193" t="n">
        <v>5680.69423213121</v>
      </c>
      <c r="P21" s="193" t="n">
        <v>4436.35168604533</v>
      </c>
      <c r="Q21" s="193" t="n">
        <v>0</v>
      </c>
      <c r="R21" s="190" t="n">
        <v>24906.2184779975</v>
      </c>
      <c r="U21" s="191"/>
      <c r="V21" s="192" t="s">
        <v>476</v>
      </c>
      <c r="W21" s="192" t="s">
        <v>457</v>
      </c>
      <c r="X21" s="194" t="n">
        <v>0</v>
      </c>
      <c r="Y21" s="194" t="n">
        <v>0</v>
      </c>
      <c r="Z21" s="194" t="n">
        <v>1618.41363305613</v>
      </c>
      <c r="AA21" s="194" t="n">
        <v>29131.4453950104</v>
      </c>
      <c r="AB21" s="194" t="n">
        <v>588.632744282744</v>
      </c>
      <c r="AC21" s="194" t="n">
        <v>0</v>
      </c>
      <c r="AD21" s="194" t="n">
        <v>0</v>
      </c>
      <c r="AE21" s="194" t="n">
        <v>0</v>
      </c>
      <c r="AF21" s="194"/>
      <c r="AG21" s="194" t="n">
        <v>0</v>
      </c>
      <c r="AH21" s="194" t="n">
        <v>7108.8951993952</v>
      </c>
      <c r="AI21" s="194" t="n">
        <v>0</v>
      </c>
      <c r="AJ21" s="194" t="n">
        <v>5861.89587034587</v>
      </c>
      <c r="AK21" s="194" t="n">
        <v>0</v>
      </c>
      <c r="AL21" s="194" t="n">
        <v>44309.2828420904</v>
      </c>
      <c r="AM21" s="1" t="s">
        <v>477</v>
      </c>
      <c r="AN21" s="195"/>
      <c r="AO21" s="1" t="s">
        <v>478</v>
      </c>
      <c r="AP21" s="192" t="s">
        <v>476</v>
      </c>
      <c r="AQ21" s="192" t="s">
        <v>457</v>
      </c>
      <c r="AR21" s="1" t="n">
        <v>292.6</v>
      </c>
      <c r="AS21" s="195" t="n">
        <f aca="false">AR21/AL21</f>
        <v>0.00660358239249255</v>
      </c>
      <c r="AT21" s="139" t="n">
        <v>287.289</v>
      </c>
      <c r="AU21" s="195" t="n">
        <f aca="false">AT21/AL21</f>
        <v>0.00648372037579218</v>
      </c>
    </row>
    <row r="22" customFormat="false" ht="14.5" hidden="false" customHeight="false" outlineLevel="0" collapsed="false">
      <c r="C22" s="192" t="s">
        <v>479</v>
      </c>
      <c r="D22" s="192" t="s">
        <v>457</v>
      </c>
      <c r="E22" s="193" t="n">
        <v>3728.86875</v>
      </c>
      <c r="F22" s="193"/>
      <c r="G22" s="193" t="n">
        <v>2671.04760685409</v>
      </c>
      <c r="H22" s="193" t="n">
        <v>18330.8571644053</v>
      </c>
      <c r="I22" s="193" t="n">
        <v>296.168130048088</v>
      </c>
      <c r="J22" s="193" t="n">
        <v>0</v>
      </c>
      <c r="K22" s="193" t="n">
        <v>0</v>
      </c>
      <c r="L22" s="193" t="n">
        <v>0</v>
      </c>
      <c r="M22" s="193"/>
      <c r="N22" s="193" t="n">
        <v>0</v>
      </c>
      <c r="O22" s="193" t="n">
        <v>13630.9714298557</v>
      </c>
      <c r="P22" s="193" t="n">
        <v>6926.29787395467</v>
      </c>
      <c r="Q22" s="193" t="n">
        <v>0</v>
      </c>
      <c r="R22" s="190" t="n">
        <v>45584.2109551179</v>
      </c>
      <c r="U22" s="191"/>
      <c r="V22" s="192" t="s">
        <v>479</v>
      </c>
      <c r="W22" s="192" t="s">
        <v>457</v>
      </c>
      <c r="X22" s="193" t="n">
        <v>3659.961</v>
      </c>
      <c r="Y22" s="193" t="n">
        <v>68.90775</v>
      </c>
      <c r="Z22" s="193" t="n">
        <v>2756.30134460944</v>
      </c>
      <c r="AA22" s="193" t="n">
        <v>1527.49106078688</v>
      </c>
      <c r="AB22" s="193" t="n">
        <v>464.961283382838</v>
      </c>
      <c r="AC22" s="193" t="n">
        <v>0</v>
      </c>
      <c r="AD22" s="193" t="n">
        <v>0</v>
      </c>
      <c r="AE22" s="193" t="n">
        <v>0</v>
      </c>
      <c r="AF22" s="193"/>
      <c r="AG22" s="193" t="n">
        <v>0</v>
      </c>
      <c r="AH22" s="193" t="n">
        <v>12202.7704625917</v>
      </c>
      <c r="AI22" s="193" t="n">
        <v>0</v>
      </c>
      <c r="AJ22" s="193" t="n">
        <v>5500.75368965413</v>
      </c>
      <c r="AK22" s="193" t="n">
        <v>0</v>
      </c>
      <c r="AL22" s="193" t="n">
        <v>26181.146591025</v>
      </c>
      <c r="AM22" s="1" t="s">
        <v>468</v>
      </c>
      <c r="AN22" s="200"/>
      <c r="AP22" s="192" t="s">
        <v>479</v>
      </c>
      <c r="AQ22" s="192" t="s">
        <v>457</v>
      </c>
      <c r="AR22" s="1" t="n">
        <v>932.6</v>
      </c>
      <c r="AS22" s="195" t="n">
        <f aca="false">AR22/AL22</f>
        <v>0.0356210526058358</v>
      </c>
      <c r="AT22" s="139" t="n">
        <v>1014.828</v>
      </c>
      <c r="AU22" s="195" t="n">
        <f aca="false">AT22/AL22</f>
        <v>0.0387617859466814</v>
      </c>
    </row>
    <row r="23" customFormat="false" ht="14.5" hidden="false" customHeight="false" outlineLevel="0" collapsed="false">
      <c r="C23" s="189" t="s">
        <v>480</v>
      </c>
      <c r="D23" s="189"/>
      <c r="E23" s="190" t="n">
        <v>2938.901</v>
      </c>
      <c r="F23" s="190"/>
      <c r="G23" s="190" t="n">
        <v>6832.625</v>
      </c>
      <c r="H23" s="190" t="n">
        <v>19326.734</v>
      </c>
      <c r="I23" s="190" t="n">
        <v>5982.472</v>
      </c>
      <c r="J23" s="190" t="n">
        <v>0</v>
      </c>
      <c r="K23" s="190" t="n">
        <v>0</v>
      </c>
      <c r="L23" s="190" t="n">
        <v>0</v>
      </c>
      <c r="M23" s="190"/>
      <c r="N23" s="190" t="n">
        <v>0</v>
      </c>
      <c r="O23" s="190" t="n">
        <v>8314.287</v>
      </c>
      <c r="P23" s="190" t="n">
        <v>0</v>
      </c>
      <c r="Q23" s="190" t="n">
        <v>0</v>
      </c>
      <c r="R23" s="190" t="n">
        <v>43395.019</v>
      </c>
      <c r="U23" s="191"/>
      <c r="V23" s="189" t="s">
        <v>480</v>
      </c>
      <c r="W23" s="189"/>
      <c r="X23" s="190" t="n">
        <v>2556.274</v>
      </c>
      <c r="Y23" s="190" t="n">
        <v>382.627</v>
      </c>
      <c r="Z23" s="190" t="n">
        <v>6832.625</v>
      </c>
      <c r="AA23" s="190" t="n">
        <v>19326.734</v>
      </c>
      <c r="AB23" s="190" t="n">
        <v>2679.03245335712</v>
      </c>
      <c r="AC23" s="190" t="n">
        <v>3417.3512551478</v>
      </c>
      <c r="AD23" s="190" t="n">
        <v>0</v>
      </c>
      <c r="AE23" s="190" t="n">
        <v>0</v>
      </c>
      <c r="AF23" s="190"/>
      <c r="AG23" s="190" t="n">
        <v>0</v>
      </c>
      <c r="AH23" s="190" t="n">
        <v>8314.287</v>
      </c>
      <c r="AI23" s="190" t="n">
        <v>0</v>
      </c>
      <c r="AJ23" s="190" t="n">
        <v>0</v>
      </c>
      <c r="AK23" s="190" t="n">
        <v>0</v>
      </c>
      <c r="AL23" s="190" t="n">
        <f aca="false">SUM(AL24:AL26)</f>
        <v>43508.9307085049</v>
      </c>
      <c r="AM23" s="1" t="s">
        <v>474</v>
      </c>
      <c r="AP23" s="189" t="s">
        <v>480</v>
      </c>
      <c r="AQ23" s="189"/>
      <c r="AS23" s="195"/>
      <c r="AU23" s="195"/>
    </row>
    <row r="24" customFormat="false" ht="14.5" hidden="false" customHeight="false" outlineLevel="0" collapsed="false">
      <c r="C24" s="192" t="s">
        <v>481</v>
      </c>
      <c r="D24" s="192" t="s">
        <v>457</v>
      </c>
      <c r="E24" s="193" t="n">
        <v>1876.1928459635</v>
      </c>
      <c r="F24" s="193"/>
      <c r="G24" s="193" t="n">
        <v>5159.53032639962</v>
      </c>
      <c r="H24" s="193" t="n">
        <v>268.027549423357</v>
      </c>
      <c r="I24" s="193" t="n">
        <v>5695.58542524634</v>
      </c>
      <c r="J24" s="193" t="n">
        <v>0</v>
      </c>
      <c r="K24" s="193" t="n">
        <v>0</v>
      </c>
      <c r="L24" s="193" t="n">
        <v>0</v>
      </c>
      <c r="M24" s="193"/>
      <c r="N24" s="193" t="n">
        <v>0</v>
      </c>
      <c r="O24" s="193" t="n">
        <v>402.041324135036</v>
      </c>
      <c r="P24" s="193" t="n">
        <v>0</v>
      </c>
      <c r="Q24" s="193" t="n">
        <v>0</v>
      </c>
      <c r="R24" s="190" t="n">
        <v>13401.3774711679</v>
      </c>
      <c r="U24" s="191"/>
      <c r="V24" s="192" t="s">
        <v>481</v>
      </c>
      <c r="W24" s="192" t="s">
        <v>457</v>
      </c>
      <c r="X24" s="193" t="n">
        <v>1876.1928459635</v>
      </c>
      <c r="Y24" s="193" t="n">
        <v>0</v>
      </c>
      <c r="Z24" s="193" t="n">
        <v>5159.53032639962</v>
      </c>
      <c r="AA24" s="193" t="n">
        <v>268.027549423357</v>
      </c>
      <c r="AB24" s="193" t="n">
        <v>2278.23417009853</v>
      </c>
      <c r="AC24" s="193" t="n">
        <v>3417.3512551478</v>
      </c>
      <c r="AD24" s="193" t="n">
        <v>0</v>
      </c>
      <c r="AE24" s="193" t="n">
        <v>0</v>
      </c>
      <c r="AF24" s="193"/>
      <c r="AG24" s="193" t="n">
        <v>0</v>
      </c>
      <c r="AH24" s="193" t="n">
        <v>1871.78317585055</v>
      </c>
      <c r="AI24" s="193" t="n">
        <v>0</v>
      </c>
      <c r="AJ24" s="193" t="n">
        <v>0</v>
      </c>
      <c r="AK24" s="193" t="n">
        <v>0</v>
      </c>
      <c r="AL24" s="193" t="n">
        <f aca="false">SUM(X24:AK24)</f>
        <v>14871.1193228834</v>
      </c>
      <c r="AM24" s="1" t="s">
        <v>474</v>
      </c>
      <c r="AP24" s="192" t="s">
        <v>481</v>
      </c>
      <c r="AQ24" s="192" t="s">
        <v>457</v>
      </c>
      <c r="AS24" s="195"/>
      <c r="AT24" s="139" t="n">
        <v>995.967</v>
      </c>
      <c r="AU24" s="195" t="n">
        <f aca="false">AT24/AL24</f>
        <v>0.0669732370762049</v>
      </c>
    </row>
    <row r="25" customFormat="false" ht="14.5" hidden="false" customHeight="false" outlineLevel="0" collapsed="false">
      <c r="C25" s="192" t="s">
        <v>482</v>
      </c>
      <c r="D25" s="192" t="s">
        <v>457</v>
      </c>
      <c r="E25" s="193" t="n">
        <v>0</v>
      </c>
      <c r="F25" s="193"/>
      <c r="G25" s="193" t="n">
        <v>1376.6639035452</v>
      </c>
      <c r="H25" s="193" t="n">
        <v>10248.4979486143</v>
      </c>
      <c r="I25" s="193" t="n">
        <v>0</v>
      </c>
      <c r="J25" s="193" t="n">
        <v>0</v>
      </c>
      <c r="K25" s="193" t="n">
        <v>0</v>
      </c>
      <c r="L25" s="193" t="n">
        <v>0</v>
      </c>
      <c r="M25" s="193"/>
      <c r="N25" s="193" t="n">
        <v>0</v>
      </c>
      <c r="O25" s="193" t="n">
        <v>3671.1037427872</v>
      </c>
      <c r="P25" s="193" t="n">
        <v>0</v>
      </c>
      <c r="Q25" s="193" t="n">
        <v>0</v>
      </c>
      <c r="R25" s="190" t="n">
        <v>15296.2655949467</v>
      </c>
      <c r="U25" s="191"/>
      <c r="V25" s="192" t="s">
        <v>482</v>
      </c>
      <c r="W25" s="192" t="s">
        <v>457</v>
      </c>
      <c r="X25" s="193" t="n">
        <v>0</v>
      </c>
      <c r="Y25" s="193" t="n">
        <v>0</v>
      </c>
      <c r="Z25" s="193" t="n">
        <v>1376.6639035452</v>
      </c>
      <c r="AA25" s="193" t="n">
        <v>10248.4979486143</v>
      </c>
      <c r="AB25" s="193" t="n">
        <v>0</v>
      </c>
      <c r="AC25" s="193" t="n">
        <v>0</v>
      </c>
      <c r="AD25" s="193" t="n">
        <v>0</v>
      </c>
      <c r="AE25" s="193" t="n">
        <v>0</v>
      </c>
      <c r="AF25" s="193"/>
      <c r="AG25" s="193" t="n">
        <v>0</v>
      </c>
      <c r="AH25" s="193" t="n">
        <v>3671.1037427872</v>
      </c>
      <c r="AI25" s="193" t="n">
        <v>0</v>
      </c>
      <c r="AJ25" s="193" t="n">
        <v>0</v>
      </c>
      <c r="AK25" s="193" t="n">
        <v>0</v>
      </c>
      <c r="AL25" s="193" t="n">
        <f aca="false">SUM(X25:AK25)</f>
        <v>15296.2655949467</v>
      </c>
      <c r="AM25" s="1" t="s">
        <v>477</v>
      </c>
      <c r="AN25" s="195"/>
      <c r="AP25" s="192" t="s">
        <v>482</v>
      </c>
      <c r="AQ25" s="192" t="s">
        <v>457</v>
      </c>
      <c r="AR25" s="1" t="n">
        <v>65</v>
      </c>
      <c r="AS25" s="195" t="n">
        <f aca="false">AR25/AL25</f>
        <v>0.00424940320214325</v>
      </c>
      <c r="AT25" s="139" t="n">
        <v>222.067</v>
      </c>
      <c r="AU25" s="195" t="n">
        <f aca="false">AT25/AL25</f>
        <v>0.0145177264752361</v>
      </c>
    </row>
    <row r="26" customFormat="false" ht="14.5" hidden="false" customHeight="false" outlineLevel="0" collapsed="false">
      <c r="C26" s="192" t="s">
        <v>483</v>
      </c>
      <c r="D26" s="192" t="s">
        <v>457</v>
      </c>
      <c r="E26" s="193" t="n">
        <v>1062.7081540365</v>
      </c>
      <c r="F26" s="193"/>
      <c r="G26" s="193" t="n">
        <v>296.430770055176</v>
      </c>
      <c r="H26" s="193" t="n">
        <v>8810.20850196236</v>
      </c>
      <c r="I26" s="193" t="n">
        <v>286.886574753663</v>
      </c>
      <c r="J26" s="193" t="n">
        <v>0</v>
      </c>
      <c r="K26" s="193" t="n">
        <v>0</v>
      </c>
      <c r="L26" s="193" t="n">
        <v>0</v>
      </c>
      <c r="M26" s="193"/>
      <c r="N26" s="193" t="n">
        <v>0</v>
      </c>
      <c r="O26" s="193" t="n">
        <v>4241.14193307776</v>
      </c>
      <c r="P26" s="193" t="n">
        <v>0</v>
      </c>
      <c r="Q26" s="193" t="n">
        <v>0</v>
      </c>
      <c r="R26" s="190" t="n">
        <v>14697.3759338855</v>
      </c>
      <c r="U26" s="191"/>
      <c r="V26" s="192" t="s">
        <v>483</v>
      </c>
      <c r="W26" s="192" t="s">
        <v>457</v>
      </c>
      <c r="X26" s="193" t="n">
        <v>680.081154036501</v>
      </c>
      <c r="Y26" s="193" t="n">
        <v>382.627</v>
      </c>
      <c r="Z26" s="193" t="n">
        <v>296.430770055176</v>
      </c>
      <c r="AA26" s="193" t="n">
        <v>8810.20850196236</v>
      </c>
      <c r="AB26" s="193" t="n">
        <v>400.79828325859</v>
      </c>
      <c r="AC26" s="193" t="n">
        <v>0</v>
      </c>
      <c r="AD26" s="193" t="n">
        <v>0</v>
      </c>
      <c r="AE26" s="193" t="n">
        <v>0</v>
      </c>
      <c r="AF26" s="193"/>
      <c r="AG26" s="193" t="n">
        <v>0</v>
      </c>
      <c r="AH26" s="193" t="n">
        <v>2771.40008136225</v>
      </c>
      <c r="AI26" s="193" t="n">
        <v>0</v>
      </c>
      <c r="AJ26" s="193" t="n">
        <v>0</v>
      </c>
      <c r="AK26" s="193" t="n">
        <v>0</v>
      </c>
      <c r="AL26" s="193" t="n">
        <f aca="false">SUM(X26:AK26)</f>
        <v>13341.5457906749</v>
      </c>
      <c r="AM26" s="1" t="s">
        <v>468</v>
      </c>
      <c r="AN26" s="200"/>
      <c r="AP26" s="192" t="s">
        <v>483</v>
      </c>
      <c r="AQ26" s="192" t="s">
        <v>457</v>
      </c>
      <c r="AR26" s="1" t="n">
        <v>132</v>
      </c>
      <c r="AS26" s="195" t="n">
        <f aca="false">AR26/AL26</f>
        <v>0.00989390600392511</v>
      </c>
      <c r="AT26" s="139" t="n">
        <v>-64.719</v>
      </c>
      <c r="AU26" s="195" t="n">
        <f aca="false">AT26/AL26</f>
        <v>-0.00485093714142446</v>
      </c>
    </row>
    <row r="27" customFormat="false" ht="14.5" hidden="false" customHeight="false" outlineLevel="0" collapsed="false">
      <c r="C27" s="189" t="s">
        <v>484</v>
      </c>
      <c r="D27" s="189"/>
      <c r="E27" s="190" t="n">
        <v>2301.577</v>
      </c>
      <c r="F27" s="190"/>
      <c r="G27" s="190" t="n">
        <v>2944.716</v>
      </c>
      <c r="H27" s="190" t="n">
        <v>26382.655</v>
      </c>
      <c r="I27" s="190" t="n">
        <v>2189.929</v>
      </c>
      <c r="J27" s="190" t="n">
        <v>0</v>
      </c>
      <c r="K27" s="190" t="n">
        <v>0</v>
      </c>
      <c r="L27" s="190" t="n">
        <v>0</v>
      </c>
      <c r="M27" s="190"/>
      <c r="N27" s="190" t="n">
        <v>0</v>
      </c>
      <c r="O27" s="190" t="n">
        <v>23015.77</v>
      </c>
      <c r="P27" s="190" t="n">
        <v>0</v>
      </c>
      <c r="Q27" s="190" t="n">
        <v>0</v>
      </c>
      <c r="R27" s="190" t="n">
        <v>56834.647</v>
      </c>
      <c r="U27" s="191"/>
      <c r="V27" s="189" t="s">
        <v>484</v>
      </c>
      <c r="W27" s="189"/>
      <c r="X27" s="190" t="n">
        <v>2130.616</v>
      </c>
      <c r="Y27" s="190" t="n">
        <v>170.961</v>
      </c>
      <c r="Z27" s="190" t="n">
        <v>2944.716</v>
      </c>
      <c r="AA27" s="190" t="n">
        <v>26382.655</v>
      </c>
      <c r="AB27" s="190" t="n">
        <v>2189.929</v>
      </c>
      <c r="AC27" s="190" t="n">
        <v>0</v>
      </c>
      <c r="AD27" s="190" t="n">
        <v>0</v>
      </c>
      <c r="AE27" s="190" t="n">
        <v>0</v>
      </c>
      <c r="AF27" s="190"/>
      <c r="AG27" s="190" t="n">
        <v>0</v>
      </c>
      <c r="AH27" s="190" t="n">
        <v>23015.77</v>
      </c>
      <c r="AI27" s="190" t="n">
        <v>0</v>
      </c>
      <c r="AJ27" s="190" t="n">
        <v>2752.091</v>
      </c>
      <c r="AK27" s="190" t="n">
        <v>0</v>
      </c>
      <c r="AL27" s="190" t="n">
        <v>59586.738</v>
      </c>
      <c r="AM27" s="1" t="s">
        <v>474</v>
      </c>
      <c r="AP27" s="189" t="s">
        <v>484</v>
      </c>
      <c r="AQ27" s="189"/>
      <c r="AS27" s="195"/>
      <c r="AU27" s="195"/>
    </row>
    <row r="28" customFormat="false" ht="14.5" hidden="false" customHeight="false" outlineLevel="0" collapsed="false">
      <c r="C28" s="192" t="s">
        <v>485</v>
      </c>
      <c r="D28" s="192" t="s">
        <v>457</v>
      </c>
      <c r="E28" s="193" t="n">
        <v>1906.6484838</v>
      </c>
      <c r="F28" s="193"/>
      <c r="G28" s="193" t="n">
        <v>922.571847</v>
      </c>
      <c r="H28" s="193" t="n">
        <v>6868.034861</v>
      </c>
      <c r="I28" s="193" t="n">
        <v>41.0031932</v>
      </c>
      <c r="J28" s="193" t="n">
        <v>0</v>
      </c>
      <c r="K28" s="193" t="n">
        <v>0</v>
      </c>
      <c r="L28" s="193" t="n">
        <v>0</v>
      </c>
      <c r="M28" s="193"/>
      <c r="N28" s="193" t="n">
        <v>0</v>
      </c>
      <c r="O28" s="193" t="n">
        <v>512.539915</v>
      </c>
      <c r="P28" s="193" t="n">
        <v>0</v>
      </c>
      <c r="Q28" s="193" t="n">
        <v>0</v>
      </c>
      <c r="R28" s="190" t="n">
        <v>10250.7983</v>
      </c>
      <c r="U28" s="191"/>
      <c r="V28" s="192" t="s">
        <v>485</v>
      </c>
      <c r="W28" s="192" t="s">
        <v>457</v>
      </c>
      <c r="X28" s="193" t="n">
        <v>1906.6484838</v>
      </c>
      <c r="Y28" s="193" t="n">
        <v>0</v>
      </c>
      <c r="Z28" s="193" t="n">
        <v>922.571847</v>
      </c>
      <c r="AA28" s="193" t="n">
        <v>6868.034861</v>
      </c>
      <c r="AB28" s="193" t="n">
        <v>41.0031932</v>
      </c>
      <c r="AC28" s="193" t="n">
        <v>0</v>
      </c>
      <c r="AD28" s="193" t="n">
        <v>0</v>
      </c>
      <c r="AE28" s="193" t="n">
        <v>0</v>
      </c>
      <c r="AF28" s="193"/>
      <c r="AG28" s="193" t="n">
        <v>0</v>
      </c>
      <c r="AH28" s="193" t="n">
        <v>512.539915</v>
      </c>
      <c r="AI28" s="193" t="n">
        <v>0</v>
      </c>
      <c r="AJ28" s="193" t="n">
        <v>0</v>
      </c>
      <c r="AK28" s="193" t="n">
        <v>0</v>
      </c>
      <c r="AL28" s="193" t="n">
        <v>10250.7983</v>
      </c>
      <c r="AM28" s="1" t="s">
        <v>477</v>
      </c>
      <c r="AN28" s="195"/>
      <c r="AP28" s="192" t="s">
        <v>485</v>
      </c>
      <c r="AQ28" s="192" t="s">
        <v>457</v>
      </c>
      <c r="AR28" s="1" t="n">
        <v>267.8</v>
      </c>
      <c r="AS28" s="195" t="n">
        <f aca="false">AR28/AL28</f>
        <v>0.026124794592827</v>
      </c>
      <c r="AT28" s="139" t="n">
        <v>356.882</v>
      </c>
      <c r="AU28" s="195" t="n">
        <f aca="false">AT28/AL28</f>
        <v>0.0348150445999898</v>
      </c>
    </row>
    <row r="29" customFormat="false" ht="14.5" hidden="false" customHeight="false" outlineLevel="0" collapsed="false">
      <c r="C29" s="192" t="s">
        <v>486</v>
      </c>
      <c r="D29" s="192" t="s">
        <v>457</v>
      </c>
      <c r="E29" s="193" t="n">
        <v>394.9285162</v>
      </c>
      <c r="F29" s="193"/>
      <c r="G29" s="193" t="n">
        <v>2022.144153</v>
      </c>
      <c r="H29" s="193" t="n">
        <v>19514.620139</v>
      </c>
      <c r="I29" s="193" t="n">
        <v>2148.9258068</v>
      </c>
      <c r="J29" s="193" t="n">
        <v>0</v>
      </c>
      <c r="K29" s="193" t="n">
        <v>0</v>
      </c>
      <c r="L29" s="193" t="n">
        <v>0</v>
      </c>
      <c r="M29" s="193"/>
      <c r="N29" s="193" t="n">
        <v>0</v>
      </c>
      <c r="O29" s="193" t="n">
        <v>22503.230085</v>
      </c>
      <c r="P29" s="193" t="n">
        <v>0</v>
      </c>
      <c r="Q29" s="193" t="n">
        <v>0</v>
      </c>
      <c r="R29" s="190" t="n">
        <v>46583.8487</v>
      </c>
      <c r="U29" s="191"/>
      <c r="V29" s="192" t="s">
        <v>486</v>
      </c>
      <c r="W29" s="192" t="s">
        <v>457</v>
      </c>
      <c r="X29" s="193" t="n">
        <v>223.9675162</v>
      </c>
      <c r="Y29" s="193" t="n">
        <v>170.961</v>
      </c>
      <c r="Z29" s="193" t="n">
        <v>2022.144153</v>
      </c>
      <c r="AA29" s="193" t="n">
        <v>19514.620139</v>
      </c>
      <c r="AB29" s="193" t="n">
        <v>2148.9258068</v>
      </c>
      <c r="AC29" s="193" t="n">
        <v>0</v>
      </c>
      <c r="AD29" s="193" t="n">
        <v>0</v>
      </c>
      <c r="AE29" s="193" t="n">
        <v>0</v>
      </c>
      <c r="AF29" s="193"/>
      <c r="AG29" s="193" t="n">
        <v>0</v>
      </c>
      <c r="AH29" s="193" t="n">
        <v>22503.230085</v>
      </c>
      <c r="AI29" s="193" t="n">
        <v>0</v>
      </c>
      <c r="AJ29" s="193" t="n">
        <v>2752.091</v>
      </c>
      <c r="AK29" s="193" t="n">
        <v>0</v>
      </c>
      <c r="AL29" s="193" t="n">
        <v>49335.9397</v>
      </c>
      <c r="AM29" s="1" t="s">
        <v>468</v>
      </c>
      <c r="AN29" s="195"/>
      <c r="AP29" s="192" t="s">
        <v>486</v>
      </c>
      <c r="AQ29" s="192" t="s">
        <v>457</v>
      </c>
      <c r="AR29" s="1" t="n">
        <v>49.1</v>
      </c>
      <c r="AS29" s="195" t="n">
        <f aca="false">AR29/AL29</f>
        <v>0.00099521769117129</v>
      </c>
      <c r="AT29" s="139" t="n">
        <v>393.118</v>
      </c>
      <c r="AU29" s="195" t="n">
        <f aca="false">AT29/AL29</f>
        <v>0.00796818713478361</v>
      </c>
    </row>
    <row r="30" customFormat="false" ht="14.5" hidden="false" customHeight="false" outlineLevel="0" collapsed="false">
      <c r="C30" s="189" t="s">
        <v>487</v>
      </c>
      <c r="D30" s="189"/>
      <c r="E30" s="190" t="n">
        <v>319.825</v>
      </c>
      <c r="F30" s="190"/>
      <c r="G30" s="190" t="n">
        <v>1482.825</v>
      </c>
      <c r="H30" s="190" t="n">
        <v>11980.063</v>
      </c>
      <c r="I30" s="190" t="n">
        <v>111.648</v>
      </c>
      <c r="J30" s="190" t="n">
        <v>0</v>
      </c>
      <c r="K30" s="190" t="n">
        <v>0</v>
      </c>
      <c r="L30" s="190" t="n">
        <v>0</v>
      </c>
      <c r="M30" s="190"/>
      <c r="N30" s="190" t="n">
        <v>0</v>
      </c>
      <c r="O30" s="190" t="n">
        <v>18782.45</v>
      </c>
      <c r="P30" s="190" t="n">
        <v>36.053</v>
      </c>
      <c r="Q30" s="190" t="n">
        <v>0</v>
      </c>
      <c r="R30" s="190" t="n">
        <v>32712.864</v>
      </c>
      <c r="U30" s="191"/>
      <c r="V30" s="189" t="s">
        <v>487</v>
      </c>
      <c r="W30" s="189"/>
      <c r="X30" s="190" t="n">
        <v>15.119</v>
      </c>
      <c r="Y30" s="190" t="n">
        <v>304.706</v>
      </c>
      <c r="Z30" s="190" t="n">
        <v>1482.825</v>
      </c>
      <c r="AA30" s="190" t="n">
        <v>11980.063</v>
      </c>
      <c r="AB30" s="190" t="n">
        <v>111.648</v>
      </c>
      <c r="AC30" s="190" t="n">
        <v>0</v>
      </c>
      <c r="AD30" s="190" t="n">
        <v>0</v>
      </c>
      <c r="AE30" s="190" t="n">
        <v>0</v>
      </c>
      <c r="AF30" s="190"/>
      <c r="AG30" s="190" t="n">
        <v>0</v>
      </c>
      <c r="AH30" s="190" t="n">
        <v>18782.45</v>
      </c>
      <c r="AI30" s="190" t="n">
        <v>0</v>
      </c>
      <c r="AJ30" s="190" t="n">
        <v>36.053</v>
      </c>
      <c r="AK30" s="190" t="n">
        <v>0</v>
      </c>
      <c r="AL30" s="190" t="n">
        <v>32712.864</v>
      </c>
      <c r="AM30" s="1" t="s">
        <v>474</v>
      </c>
      <c r="AN30" s="195"/>
      <c r="AP30" s="189" t="s">
        <v>487</v>
      </c>
      <c r="AQ30" s="189"/>
      <c r="AR30" s="1" t="n">
        <v>22.7</v>
      </c>
      <c r="AS30" s="195" t="n">
        <f aca="false">AR30/AL30</f>
        <v>0.000693916619468109</v>
      </c>
      <c r="AT30" s="139" t="n">
        <v>110.557</v>
      </c>
      <c r="AU30" s="195" t="n">
        <f aca="false">AT30/AL30</f>
        <v>0.00337961848892228</v>
      </c>
    </row>
    <row r="31" customFormat="false" ht="14.5" hidden="false" customHeight="false" outlineLevel="0" collapsed="false">
      <c r="C31" s="189" t="s">
        <v>31</v>
      </c>
      <c r="D31" s="189"/>
      <c r="E31" s="190" t="n">
        <v>0</v>
      </c>
      <c r="F31" s="190"/>
      <c r="G31" s="190" t="n">
        <v>10781.01</v>
      </c>
      <c r="H31" s="190" t="n">
        <v>2224.819</v>
      </c>
      <c r="I31" s="190" t="n">
        <v>666.399</v>
      </c>
      <c r="J31" s="190" t="n">
        <v>0</v>
      </c>
      <c r="K31" s="190" t="n">
        <v>0</v>
      </c>
      <c r="L31" s="190" t="n">
        <v>0</v>
      </c>
      <c r="M31" s="190"/>
      <c r="N31" s="190" t="n">
        <v>0</v>
      </c>
      <c r="O31" s="190" t="n">
        <v>4133.302</v>
      </c>
      <c r="P31" s="190" t="n">
        <v>0</v>
      </c>
      <c r="Q31" s="190" t="n">
        <v>0</v>
      </c>
      <c r="R31" s="190" t="n">
        <v>17805.53</v>
      </c>
      <c r="U31" s="191"/>
      <c r="V31" s="189" t="s">
        <v>31</v>
      </c>
      <c r="W31" s="189"/>
      <c r="X31" s="190" t="n">
        <v>0</v>
      </c>
      <c r="Y31" s="190" t="n">
        <v>0</v>
      </c>
      <c r="Z31" s="190" t="n">
        <v>10781.01</v>
      </c>
      <c r="AA31" s="190" t="n">
        <v>2224.819</v>
      </c>
      <c r="AB31" s="190" t="n">
        <v>666.399</v>
      </c>
      <c r="AC31" s="190" t="n">
        <v>0</v>
      </c>
      <c r="AD31" s="190" t="n">
        <v>0</v>
      </c>
      <c r="AE31" s="190" t="n">
        <v>0</v>
      </c>
      <c r="AF31" s="190"/>
      <c r="AG31" s="190" t="n">
        <v>0</v>
      </c>
      <c r="AH31" s="190" t="n">
        <v>4133.302</v>
      </c>
      <c r="AI31" s="190" t="n">
        <v>0</v>
      </c>
      <c r="AJ31" s="190" t="n">
        <v>0</v>
      </c>
      <c r="AK31" s="190" t="n">
        <v>0</v>
      </c>
      <c r="AL31" s="190" t="n">
        <v>17805.53</v>
      </c>
      <c r="AM31" s="1" t="s">
        <v>474</v>
      </c>
      <c r="AP31" s="189" t="s">
        <v>31</v>
      </c>
      <c r="AQ31" s="189"/>
      <c r="AS31" s="195"/>
      <c r="AU31" s="195"/>
    </row>
    <row r="32" customFormat="false" ht="14.5" hidden="false" customHeight="false" outlineLevel="0" collapsed="false">
      <c r="C32" s="189" t="s">
        <v>488</v>
      </c>
      <c r="D32" s="189"/>
      <c r="E32" s="190" t="n">
        <v>111.648</v>
      </c>
      <c r="F32" s="190"/>
      <c r="G32" s="190" t="n">
        <v>3732.067</v>
      </c>
      <c r="H32" s="190" t="n">
        <v>16468.61498</v>
      </c>
      <c r="I32" s="190" t="n">
        <v>7392.028</v>
      </c>
      <c r="J32" s="190" t="n">
        <v>0</v>
      </c>
      <c r="K32" s="190" t="n">
        <v>0</v>
      </c>
      <c r="L32" s="190" t="n">
        <v>0</v>
      </c>
      <c r="M32" s="190"/>
      <c r="N32" s="190" t="n">
        <v>0</v>
      </c>
      <c r="O32" s="190" t="n">
        <v>18501.004</v>
      </c>
      <c r="P32" s="190" t="n">
        <v>532.02598</v>
      </c>
      <c r="Q32" s="190" t="n">
        <v>0</v>
      </c>
      <c r="R32" s="190" t="n">
        <v>46737.38796</v>
      </c>
      <c r="U32" s="191"/>
      <c r="V32" s="189" t="s">
        <v>488</v>
      </c>
      <c r="W32" s="189"/>
      <c r="X32" s="190" t="n">
        <v>111.648</v>
      </c>
      <c r="Y32" s="190" t="n">
        <v>0</v>
      </c>
      <c r="Z32" s="190" t="n">
        <v>3732.067</v>
      </c>
      <c r="AA32" s="190" t="n">
        <v>16468.61498</v>
      </c>
      <c r="AB32" s="190" t="n">
        <v>7392.028</v>
      </c>
      <c r="AC32" s="190" t="n">
        <v>0</v>
      </c>
      <c r="AD32" s="190" t="n">
        <v>0</v>
      </c>
      <c r="AE32" s="190" t="n">
        <v>0</v>
      </c>
      <c r="AF32" s="190"/>
      <c r="AG32" s="190" t="n">
        <v>0</v>
      </c>
      <c r="AH32" s="190" t="n">
        <v>18501.004</v>
      </c>
      <c r="AI32" s="190" t="n">
        <v>0</v>
      </c>
      <c r="AJ32" s="190" t="n">
        <v>3599.46698</v>
      </c>
      <c r="AK32" s="190" t="n">
        <v>0</v>
      </c>
      <c r="AL32" s="190" t="n">
        <v>49804.82896</v>
      </c>
      <c r="AM32" s="1" t="s">
        <v>474</v>
      </c>
      <c r="AP32" s="189" t="s">
        <v>488</v>
      </c>
      <c r="AQ32" s="189"/>
      <c r="AS32" s="195"/>
      <c r="AU32" s="195"/>
    </row>
    <row r="33" customFormat="false" ht="14.5" hidden="false" customHeight="false" outlineLevel="0" collapsed="false">
      <c r="C33" s="192" t="s">
        <v>489</v>
      </c>
      <c r="D33" s="192" t="s">
        <v>457</v>
      </c>
      <c r="E33" s="193" t="n">
        <v>111.648</v>
      </c>
      <c r="F33" s="193"/>
      <c r="G33" s="193" t="n">
        <v>462.874</v>
      </c>
      <c r="H33" s="193" t="n">
        <v>8878.342</v>
      </c>
      <c r="I33" s="193" t="n">
        <v>6857.048</v>
      </c>
      <c r="J33" s="193" t="n">
        <v>0</v>
      </c>
      <c r="K33" s="193" t="n">
        <v>0</v>
      </c>
      <c r="L33" s="193" t="n">
        <v>0</v>
      </c>
      <c r="M33" s="193"/>
      <c r="N33" s="193" t="n">
        <v>0</v>
      </c>
      <c r="O33" s="193" t="n">
        <v>7509.491</v>
      </c>
      <c r="P33" s="193" t="n">
        <v>0</v>
      </c>
      <c r="Q33" s="193" t="n">
        <v>0</v>
      </c>
      <c r="R33" s="190" t="n">
        <v>23819.403</v>
      </c>
      <c r="U33" s="191"/>
      <c r="V33" s="192" t="s">
        <v>489</v>
      </c>
      <c r="W33" s="192" t="s">
        <v>457</v>
      </c>
      <c r="X33" s="193" t="n">
        <v>111.648</v>
      </c>
      <c r="Y33" s="193" t="n">
        <v>0</v>
      </c>
      <c r="Z33" s="193" t="n">
        <v>462.874</v>
      </c>
      <c r="AA33" s="193" t="n">
        <v>8878.342</v>
      </c>
      <c r="AB33" s="193" t="n">
        <v>6857.048</v>
      </c>
      <c r="AC33" s="193" t="n">
        <v>0</v>
      </c>
      <c r="AD33" s="193" t="n">
        <v>0</v>
      </c>
      <c r="AE33" s="193" t="n">
        <v>0</v>
      </c>
      <c r="AF33" s="193"/>
      <c r="AG33" s="193" t="n">
        <v>0</v>
      </c>
      <c r="AH33" s="193" t="n">
        <v>7509.491</v>
      </c>
      <c r="AI33" s="193" t="n">
        <v>0</v>
      </c>
      <c r="AJ33" s="193" t="n">
        <v>3067.441</v>
      </c>
      <c r="AK33" s="193" t="n">
        <v>0</v>
      </c>
      <c r="AL33" s="193" t="n">
        <v>26886.844</v>
      </c>
      <c r="AM33" s="1" t="s">
        <v>474</v>
      </c>
      <c r="AN33" s="195"/>
      <c r="AP33" s="192" t="s">
        <v>489</v>
      </c>
      <c r="AQ33" s="192" t="s">
        <v>457</v>
      </c>
      <c r="AR33" s="1" t="n">
        <v>108.6</v>
      </c>
      <c r="AS33" s="195" t="n">
        <f aca="false">AR33/AL33</f>
        <v>0.00403915015090652</v>
      </c>
      <c r="AT33" s="139" t="n">
        <v>2412.008</v>
      </c>
      <c r="AU33" s="195" t="n">
        <f aca="false">AT33/AL33</f>
        <v>0.089709599237456</v>
      </c>
    </row>
    <row r="34" customFormat="false" ht="14.5" hidden="false" customHeight="false" outlineLevel="0" collapsed="false">
      <c r="C34" s="192" t="s">
        <v>490</v>
      </c>
      <c r="D34" s="192" t="s">
        <v>457</v>
      </c>
      <c r="E34" s="193" t="n">
        <v>0</v>
      </c>
      <c r="F34" s="193"/>
      <c r="G34" s="193" t="n">
        <v>3269.193</v>
      </c>
      <c r="H34" s="193" t="n">
        <v>7590.27298</v>
      </c>
      <c r="I34" s="193" t="n">
        <v>534.98</v>
      </c>
      <c r="J34" s="193" t="n">
        <v>0</v>
      </c>
      <c r="K34" s="193" t="n">
        <v>0</v>
      </c>
      <c r="L34" s="193" t="n">
        <v>0</v>
      </c>
      <c r="M34" s="193"/>
      <c r="N34" s="193" t="n">
        <v>0</v>
      </c>
      <c r="O34" s="193" t="n">
        <v>10991.513</v>
      </c>
      <c r="P34" s="193" t="n">
        <v>532.02598</v>
      </c>
      <c r="Q34" s="193" t="n">
        <v>0</v>
      </c>
      <c r="R34" s="190" t="n">
        <v>22917.98496</v>
      </c>
      <c r="U34" s="191"/>
      <c r="V34" s="192" t="s">
        <v>490</v>
      </c>
      <c r="W34" s="192" t="s">
        <v>457</v>
      </c>
      <c r="X34" s="193" t="n">
        <v>0</v>
      </c>
      <c r="Y34" s="193" t="n">
        <v>0</v>
      </c>
      <c r="Z34" s="193" t="n">
        <v>3269.193</v>
      </c>
      <c r="AA34" s="193" t="n">
        <v>7590.27298</v>
      </c>
      <c r="AB34" s="193" t="n">
        <v>534.98</v>
      </c>
      <c r="AC34" s="193" t="n">
        <v>0</v>
      </c>
      <c r="AD34" s="193" t="n">
        <v>0</v>
      </c>
      <c r="AE34" s="193" t="n">
        <v>0</v>
      </c>
      <c r="AF34" s="193"/>
      <c r="AG34" s="193" t="n">
        <v>0</v>
      </c>
      <c r="AH34" s="193" t="n">
        <v>10991.513</v>
      </c>
      <c r="AI34" s="193" t="n">
        <v>0</v>
      </c>
      <c r="AJ34" s="193" t="n">
        <v>532.02598</v>
      </c>
      <c r="AK34" s="193" t="n">
        <v>0</v>
      </c>
      <c r="AL34" s="193" t="n">
        <v>22917.98496</v>
      </c>
      <c r="AM34" s="1" t="s">
        <v>468</v>
      </c>
      <c r="AP34" s="192" t="s">
        <v>490</v>
      </c>
      <c r="AQ34" s="192" t="s">
        <v>457</v>
      </c>
      <c r="AR34" s="1" t="n">
        <v>22.5</v>
      </c>
      <c r="AS34" s="195" t="n">
        <f aca="false">AR34/AL34</f>
        <v>0.000981761705458419</v>
      </c>
      <c r="AT34" s="139" t="n">
        <v>143.74</v>
      </c>
      <c r="AU34" s="195" t="n">
        <f aca="false">AT34/AL34</f>
        <v>0.00627193011300414</v>
      </c>
    </row>
    <row r="35" customFormat="false" ht="14.5" hidden="false" customHeight="false" outlineLevel="0" collapsed="false">
      <c r="C35" s="189" t="s">
        <v>491</v>
      </c>
      <c r="D35" s="189"/>
      <c r="E35" s="190" t="n">
        <v>33590.88248</v>
      </c>
      <c r="F35" s="190"/>
      <c r="G35" s="190" t="n">
        <v>31499.49447</v>
      </c>
      <c r="H35" s="190" t="n">
        <v>129620.93222</v>
      </c>
      <c r="I35" s="190" t="n">
        <v>17429.92752</v>
      </c>
      <c r="J35" s="190" t="n">
        <v>0</v>
      </c>
      <c r="K35" s="190" t="n">
        <v>0</v>
      </c>
      <c r="L35" s="190" t="n">
        <v>0</v>
      </c>
      <c r="M35" s="190"/>
      <c r="N35" s="190" t="n">
        <v>0</v>
      </c>
      <c r="O35" s="190" t="n">
        <v>113234.78557</v>
      </c>
      <c r="P35" s="190" t="n">
        <v>12048.19154</v>
      </c>
      <c r="Q35" s="190" t="n">
        <v>0</v>
      </c>
      <c r="R35" s="190" t="n">
        <v>337424.2138</v>
      </c>
      <c r="U35" s="191"/>
      <c r="V35" s="189" t="s">
        <v>492</v>
      </c>
      <c r="W35" s="189"/>
      <c r="X35" s="190" t="n">
        <v>9655.859</v>
      </c>
      <c r="Y35" s="190" t="n">
        <v>1558.71075</v>
      </c>
      <c r="Z35" s="190" t="n">
        <v>31499.49447</v>
      </c>
      <c r="AA35" s="190" t="n">
        <v>121340.75601</v>
      </c>
      <c r="AB35" s="190" t="n">
        <v>14126.4879733571</v>
      </c>
      <c r="AC35" s="190" t="n">
        <v>3417.3512551478</v>
      </c>
      <c r="AD35" s="190" t="n">
        <v>0</v>
      </c>
      <c r="AE35" s="190" t="n">
        <v>0</v>
      </c>
      <c r="AF35" s="190"/>
      <c r="AG35" s="190" t="n">
        <v>0</v>
      </c>
      <c r="AH35" s="190" t="n">
        <v>113234.78557</v>
      </c>
      <c r="AI35" s="190" t="n">
        <v>0</v>
      </c>
      <c r="AJ35" s="190" t="n">
        <v>17867.72354</v>
      </c>
      <c r="AK35" s="190" t="n">
        <v>0</v>
      </c>
      <c r="AL35" s="190" t="n">
        <v>312587.25686</v>
      </c>
      <c r="AP35" s="189" t="s">
        <v>492</v>
      </c>
      <c r="AQ35" s="189"/>
      <c r="AS35" s="195"/>
    </row>
    <row r="36" customFormat="false" ht="14.5" hidden="false" customHeight="false" outlineLevel="0" collapsed="false">
      <c r="E36" s="179" t="s">
        <v>493</v>
      </c>
      <c r="P36" s="1" t="s">
        <v>494</v>
      </c>
      <c r="X36" s="191" t="n">
        <f aca="false">SUM(X13:X18,X20:X22,X24:X26,X28:X29,X30:X31,X33:X34)</f>
        <v>9655.859</v>
      </c>
      <c r="Y36" s="191" t="n">
        <f aca="false">SUM(Y13:Y18,Y20:Y22,Y24:Y26,Y28:Y29,Y30:Y31,Y33:Y34)</f>
        <v>1558.71075</v>
      </c>
      <c r="Z36" s="191" t="n">
        <f aca="false">SUM(Z13:Z18,Z20:Z22,Z24:Z26,Z28:Z29,Z30:Z31,Z33:Z34)</f>
        <v>31499.49447</v>
      </c>
      <c r="AA36" s="191" t="n">
        <f aca="false">SUM(AA13:AA18,AA20:AA22,AA24:AA26,AA28:AA29,AA30:AA31,AA33:AA34)</f>
        <v>121340.75601</v>
      </c>
      <c r="AB36" s="191" t="n">
        <f aca="false">SUM(AB13:AB18,AB20:AB22,AB24:AB26,AB28:AB29,AB30:AB31,AB33:AB34)</f>
        <v>14126.4879733571</v>
      </c>
      <c r="AC36" s="191" t="n">
        <f aca="false">SUM(AC13:AC18,AC20:AC22,AC24:AC26,AC28:AC29,AC30:AC31,AC33:AC34)</f>
        <v>3417.3512551478</v>
      </c>
      <c r="AD36" s="191" t="n">
        <f aca="false">SUM(AD13:AD18,AD20:AD22,AD24:AD26,AD28:AD29,AD30:AD31,AD33:AD34)</f>
        <v>0</v>
      </c>
      <c r="AE36" s="191" t="n">
        <f aca="false">SUM(AE13:AE18,AE20:AE22,AE24:AE26,AE28:AE29,AE30:AE31,AE33:AE34)</f>
        <v>0</v>
      </c>
      <c r="AF36" s="191" t="n">
        <f aca="false">SUM(AF13:AF18,AF20:AF22,AF24:AF26,AF28:AF29,AF30:AF31,AF33:AF34)</f>
        <v>0</v>
      </c>
      <c r="AG36" s="191" t="n">
        <f aca="false">SUM(AG13:AG18,AG20:AG22,AG24:AG26,AG28:AG29,AG30:AG31,AG33:AG34)</f>
        <v>0</v>
      </c>
      <c r="AH36" s="191" t="n">
        <f aca="false">SUM(AH13:AH18,AH20:AH22,AH24:AH26,AH28:AH29,AH30:AH31,AH33:AH34)</f>
        <v>113234.78557</v>
      </c>
      <c r="AI36" s="191" t="n">
        <f aca="false">SUM(AI13:AI18,AI20:AI22,AI24:AI26,AI28:AI29,AI30:AI31,AI33:AI34)</f>
        <v>0</v>
      </c>
      <c r="AJ36" s="191" t="n">
        <f aca="false">SUM(AJ13:AJ18,AJ20:AJ22,AJ24:AJ26,AJ28:AJ29,AJ30:AJ31,AJ33:AJ34)</f>
        <v>17867.72354</v>
      </c>
      <c r="AK36" s="191" t="n">
        <f aca="false">SUM(AK13:AK18,AK20:AK22,AK24:AK26,AK28:AK29,AK30:AK31,AK33:AK34)</f>
        <v>0</v>
      </c>
      <c r="AL36" s="191" t="n">
        <f aca="false">SUM(AL13:AL18,AL20:AL22,AL24:AL26,AL28:AL29,AL30:AL31,AL33:AL34)</f>
        <v>312701.168568505</v>
      </c>
    </row>
    <row r="39" customFormat="false" ht="14.5" hidden="false" customHeight="false" outlineLevel="0" collapsed="false">
      <c r="C39" s="180" t="s">
        <v>4</v>
      </c>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row>
    <row r="41" customFormat="false" ht="14.5" hidden="false" customHeight="false" outlineLevel="0" collapsed="false">
      <c r="C41" s="181" t="s">
        <v>436</v>
      </c>
      <c r="V41" s="181" t="s">
        <v>437</v>
      </c>
      <c r="W41" s="181"/>
      <c r="X41" s="181"/>
      <c r="Y41" s="181"/>
      <c r="Z41" s="181"/>
      <c r="AA41" s="181"/>
      <c r="AB41" s="181"/>
      <c r="AC41" s="181"/>
      <c r="AD41" s="181"/>
      <c r="AE41" s="181"/>
      <c r="AF41" s="181"/>
      <c r="AG41" s="181"/>
      <c r="AH41" s="181"/>
      <c r="AI41" s="181"/>
      <c r="AJ41" s="181"/>
      <c r="AK41" s="181"/>
      <c r="AL41" s="181"/>
      <c r="AM41" s="181"/>
    </row>
    <row r="43" customFormat="false" ht="70.5" hidden="false" customHeight="false" outlineLevel="0" collapsed="false">
      <c r="C43" s="201" t="s">
        <v>495</v>
      </c>
      <c r="D43" s="201"/>
      <c r="E43" s="202" t="s">
        <v>439</v>
      </c>
      <c r="F43" s="202" t="s">
        <v>455</v>
      </c>
      <c r="G43" s="202" t="s">
        <v>441</v>
      </c>
      <c r="H43" s="202" t="s">
        <v>442</v>
      </c>
      <c r="I43" s="203" t="s">
        <v>451</v>
      </c>
      <c r="J43" s="203" t="s">
        <v>452</v>
      </c>
      <c r="K43" s="203" t="s">
        <v>453</v>
      </c>
      <c r="L43" s="203" t="s">
        <v>454</v>
      </c>
      <c r="M43" s="203" t="s">
        <v>444</v>
      </c>
      <c r="N43" s="203" t="s">
        <v>445</v>
      </c>
      <c r="O43" s="202" t="s">
        <v>496</v>
      </c>
      <c r="P43" s="202" t="s">
        <v>456</v>
      </c>
      <c r="Q43" s="202" t="s">
        <v>447</v>
      </c>
      <c r="R43" s="202" t="s">
        <v>448</v>
      </c>
      <c r="S43" s="202" t="s">
        <v>52</v>
      </c>
      <c r="V43" s="204" t="s">
        <v>495</v>
      </c>
      <c r="W43" s="204"/>
      <c r="X43" s="204"/>
      <c r="Y43" s="205" t="s">
        <v>439</v>
      </c>
      <c r="Z43" s="205" t="s">
        <v>455</v>
      </c>
      <c r="AA43" s="205" t="s">
        <v>441</v>
      </c>
      <c r="AB43" s="205" t="s">
        <v>497</v>
      </c>
      <c r="AC43" s="205" t="s">
        <v>451</v>
      </c>
      <c r="AD43" s="205" t="s">
        <v>452</v>
      </c>
      <c r="AE43" s="205" t="s">
        <v>453</v>
      </c>
      <c r="AF43" s="205" t="s">
        <v>454</v>
      </c>
      <c r="AG43" s="205" t="s">
        <v>444</v>
      </c>
      <c r="AH43" s="205" t="s">
        <v>445</v>
      </c>
      <c r="AI43" s="205" t="s">
        <v>496</v>
      </c>
      <c r="AJ43" s="205" t="s">
        <v>456</v>
      </c>
      <c r="AK43" s="205" t="s">
        <v>447</v>
      </c>
      <c r="AL43" s="205" t="s">
        <v>448</v>
      </c>
      <c r="AM43" s="205" t="s">
        <v>52</v>
      </c>
    </row>
    <row r="44" customFormat="false" ht="14.5" hidden="false" customHeight="false" outlineLevel="0" collapsed="false">
      <c r="C44" s="206" t="s">
        <v>24</v>
      </c>
      <c r="D44" s="206"/>
      <c r="E44" s="207"/>
      <c r="F44" s="207"/>
      <c r="G44" s="207"/>
      <c r="H44" s="207"/>
      <c r="I44" s="207"/>
      <c r="J44" s="207"/>
      <c r="K44" s="207"/>
      <c r="L44" s="207"/>
      <c r="M44" s="207"/>
      <c r="N44" s="207"/>
      <c r="O44" s="207"/>
      <c r="P44" s="207"/>
      <c r="Q44" s="207"/>
      <c r="R44" s="207"/>
      <c r="S44" s="208"/>
      <c r="V44" s="209" t="s">
        <v>24</v>
      </c>
      <c r="W44" s="209"/>
      <c r="X44" s="209"/>
      <c r="Y44" s="207"/>
      <c r="Z44" s="207"/>
      <c r="AA44" s="207"/>
      <c r="AB44" s="207"/>
      <c r="AC44" s="207"/>
      <c r="AD44" s="207"/>
      <c r="AE44" s="207"/>
      <c r="AF44" s="207"/>
      <c r="AG44" s="207"/>
      <c r="AH44" s="207"/>
      <c r="AI44" s="207"/>
      <c r="AJ44" s="207"/>
      <c r="AK44" s="207"/>
      <c r="AL44" s="207"/>
      <c r="AM44" s="208"/>
      <c r="AP44" s="210" t="s">
        <v>460</v>
      </c>
    </row>
    <row r="45" customFormat="false" ht="14.5" hidden="false" customHeight="false" outlineLevel="0" collapsed="false">
      <c r="B45" s="211" t="n">
        <v>2019</v>
      </c>
      <c r="C45" s="211" t="s">
        <v>461</v>
      </c>
      <c r="D45" s="212" t="s">
        <v>498</v>
      </c>
      <c r="E45" s="213" t="n">
        <v>0.480388367208748</v>
      </c>
      <c r="F45" s="213"/>
      <c r="G45" s="213" t="n">
        <v>0.00399537630379863</v>
      </c>
      <c r="H45" s="213" t="n">
        <v>0.286818430110047</v>
      </c>
      <c r="I45" s="213" t="n">
        <v>0</v>
      </c>
      <c r="J45" s="213" t="n">
        <v>0</v>
      </c>
      <c r="K45" s="213" t="n">
        <v>0</v>
      </c>
      <c r="L45" s="213" t="n">
        <v>0</v>
      </c>
      <c r="M45" s="213" t="n">
        <v>0</v>
      </c>
      <c r="N45" s="213" t="n">
        <v>0</v>
      </c>
      <c r="O45" s="213" t="n">
        <v>0.225970223646989</v>
      </c>
      <c r="P45" s="213" t="n">
        <v>0</v>
      </c>
      <c r="Q45" s="213" t="n">
        <v>0.00211917018774191</v>
      </c>
      <c r="R45" s="213" t="n">
        <v>0</v>
      </c>
      <c r="S45" s="214" t="n">
        <v>0.999291567457325</v>
      </c>
      <c r="V45" s="211" t="s">
        <v>461</v>
      </c>
      <c r="W45" s="211" t="n">
        <v>2019</v>
      </c>
      <c r="X45" s="212" t="s">
        <v>498</v>
      </c>
      <c r="Y45" s="215" t="n">
        <f aca="false">INDEX(X$11:X$35,MATCH($V45,$V$11:$V$35,0))/INDEX($AL$11:$AL$35,MATCH($V45,$V$11:$V$35,0))</f>
        <v>0.403618437555975</v>
      </c>
      <c r="Z45" s="215" t="n">
        <f aca="false">INDEX(Y$11:Y$35,MATCH($V45,$V$11:$V$35,0))/INDEX($AL$11:$AL$35,MATCH($V45,$V$11:$V$35,0))</f>
        <v>0.596381562444025</v>
      </c>
      <c r="AA45" s="215" t="n">
        <f aca="false">INDEX(Z$11:Z$35,MATCH($V45,$V$11:$V$35,0))/INDEX($AL$11:$AL$35,MATCH($V45,$V$11:$V$35,0))</f>
        <v>0</v>
      </c>
      <c r="AB45" s="215" t="n">
        <f aca="false">INDEX(AA$11:AA$35,MATCH($V45,$V$11:$V$35,0))/INDEX($AL$11:$AL$35,MATCH($V45,$V$11:$V$35,0))</f>
        <v>0</v>
      </c>
      <c r="AC45" s="215" t="n">
        <f aca="false">INDEX(AB$11:AB$35,MATCH($V45,$V$11:$V$35,0))/INDEX($AL$11:$AL$35,MATCH($V45,$V$11:$V$35,0))</f>
        <v>0</v>
      </c>
      <c r="AD45" s="215" t="n">
        <f aca="false">INDEX(AC$11:AC$35,MATCH($V45,$V$11:$V$35,0))/INDEX($AL$11:$AL$35,MATCH($V45,$V$11:$V$35,0))</f>
        <v>0</v>
      </c>
      <c r="AE45" s="215" t="n">
        <f aca="false">INDEX(AD$11:AD$35,MATCH($V45,$V$11:$V$35,0))/INDEX($AL$11:$AL$35,MATCH($V45,$V$11:$V$35,0))</f>
        <v>0</v>
      </c>
      <c r="AF45" s="215" t="n">
        <f aca="false">INDEX(AE$11:AE$35,MATCH($V45,$V$11:$V$35,0))/INDEX($AL$11:$AL$35,MATCH($V45,$V$11:$V$35,0))</f>
        <v>0</v>
      </c>
      <c r="AG45" s="215" t="n">
        <f aca="false">INDEX(AF$11:AF$35,MATCH($V45,$V$11:$V$35,0))/INDEX($AL$11:$AL$35,MATCH($V45,$V$11:$V$35,0))</f>
        <v>0</v>
      </c>
      <c r="AH45" s="215" t="n">
        <f aca="false">INDEX(AG$11:AG$35,MATCH($V45,$V$11:$V$35,0))/INDEX($AL$11:$AL$35,MATCH($V45,$V$11:$V$35,0))</f>
        <v>0</v>
      </c>
      <c r="AI45" s="215" t="n">
        <f aca="false">INDEX(AH$11:AH$35,MATCH($V45,$V$11:$V$35,0))/INDEX($AL$11:$AL$35,MATCH($V45,$V$11:$V$35,0))</f>
        <v>0</v>
      </c>
      <c r="AJ45" s="215" t="n">
        <f aca="false">INDEX(AI$11:AI$35,MATCH($V45,$V$11:$V$35,0))/INDEX($AL$11:$AL$35,MATCH($V45,$V$11:$V$35,0))</f>
        <v>0</v>
      </c>
      <c r="AK45" s="215" t="n">
        <f aca="false">INDEX(AJ$11:AJ$35,MATCH($V45,$V$11:$V$35,0))/INDEX($AL$11:$AL$35,MATCH($V45,$V$11:$V$35,0))</f>
        <v>0</v>
      </c>
      <c r="AL45" s="215" t="n">
        <f aca="false">INDEX(AK$11:AK$35,MATCH($V45,$V$11:$V$35,0))/INDEX($AL$11:$AL$35,MATCH($V45,$V$11:$V$35,0))</f>
        <v>0</v>
      </c>
      <c r="AM45" s="208" t="n">
        <f aca="false">INDEX(AL$11:AL$35,MATCH($V45,$V$11:$V$35,0))/INDEX($AL$11:$AL$35,MATCH($V45,$V$11:$V$35,0))</f>
        <v>1</v>
      </c>
      <c r="AP45" s="59" t="s">
        <v>499</v>
      </c>
    </row>
    <row r="46" customFormat="false" ht="14.5" hidden="false" customHeight="false" outlineLevel="0" collapsed="false">
      <c r="B46" s="211" t="n">
        <v>2030</v>
      </c>
      <c r="C46" s="211" t="s">
        <v>461</v>
      </c>
      <c r="D46" s="212" t="s">
        <v>498</v>
      </c>
      <c r="E46" s="213" t="n">
        <v>0.329212693535595</v>
      </c>
      <c r="F46" s="213"/>
      <c r="G46" s="213" t="n">
        <v>0</v>
      </c>
      <c r="H46" s="213" t="n">
        <v>0.337904674967374</v>
      </c>
      <c r="I46" s="213" t="n">
        <v>0.08</v>
      </c>
      <c r="J46" s="213" t="n">
        <v>0</v>
      </c>
      <c r="K46" s="213" t="n">
        <v>0</v>
      </c>
      <c r="L46" s="213" t="n">
        <v>0</v>
      </c>
      <c r="M46" s="213" t="n">
        <v>0</v>
      </c>
      <c r="N46" s="213" t="n">
        <v>0</v>
      </c>
      <c r="O46" s="213" t="n">
        <v>0.252882631497031</v>
      </c>
      <c r="P46" s="213" t="n">
        <v>0</v>
      </c>
      <c r="Q46" s="213" t="n">
        <v>0</v>
      </c>
      <c r="R46" s="213" t="n">
        <v>0</v>
      </c>
      <c r="S46" s="214" t="n">
        <v>1</v>
      </c>
      <c r="V46" s="211" t="s">
        <v>461</v>
      </c>
      <c r="W46" s="211" t="n">
        <v>2030</v>
      </c>
      <c r="X46" s="212" t="s">
        <v>498</v>
      </c>
      <c r="Y46" s="215" t="n">
        <f aca="false">Y45*(1-SUM(AA46:AL46))</f>
        <v>0.379401331302616</v>
      </c>
      <c r="Z46" s="215" t="n">
        <f aca="false">Z45*(1-SUM(AA46:AL46))</f>
        <v>0.560598668697384</v>
      </c>
      <c r="AA46" s="215" t="n">
        <v>0</v>
      </c>
      <c r="AB46" s="215" t="n">
        <v>0</v>
      </c>
      <c r="AC46" s="215" t="n">
        <v>0.03</v>
      </c>
      <c r="AD46" s="215" t="n">
        <f aca="false">AD47/4</f>
        <v>0.03</v>
      </c>
      <c r="AE46" s="215" t="n">
        <v>0</v>
      </c>
      <c r="AF46" s="215" t="n">
        <v>0</v>
      </c>
      <c r="AG46" s="215" t="n">
        <v>0</v>
      </c>
      <c r="AH46" s="215" t="n">
        <v>0</v>
      </c>
      <c r="AI46" s="215" t="n">
        <v>0</v>
      </c>
      <c r="AJ46" s="215" t="n">
        <v>0</v>
      </c>
      <c r="AK46" s="215" t="n">
        <v>0</v>
      </c>
      <c r="AL46" s="215" t="n">
        <v>0</v>
      </c>
      <c r="AM46" s="208" t="n">
        <f aca="false">SUM(Y46:AL46)</f>
        <v>1</v>
      </c>
      <c r="AO46" s="216"/>
      <c r="AP46" s="59" t="s">
        <v>500</v>
      </c>
    </row>
    <row r="47" customFormat="false" ht="14.5" hidden="false" customHeight="false" outlineLevel="0" collapsed="false">
      <c r="B47" s="211" t="n">
        <v>2050</v>
      </c>
      <c r="C47" s="211" t="s">
        <v>461</v>
      </c>
      <c r="D47" s="212" t="s">
        <v>498</v>
      </c>
      <c r="E47" s="213" t="n">
        <v>0.161635061772858</v>
      </c>
      <c r="F47" s="213"/>
      <c r="G47" s="213" t="n">
        <v>0</v>
      </c>
      <c r="H47" s="213" t="n">
        <v>0.388478806835458</v>
      </c>
      <c r="I47" s="213" t="n">
        <v>0.173010449959066</v>
      </c>
      <c r="J47" s="213" t="n">
        <v>0</v>
      </c>
      <c r="K47" s="213" t="n">
        <v>0</v>
      </c>
      <c r="L47" s="213" t="n">
        <v>0</v>
      </c>
      <c r="M47" s="213" t="n">
        <v>0</v>
      </c>
      <c r="N47" s="213" t="n">
        <v>0</v>
      </c>
      <c r="O47" s="213" t="n">
        <v>0.276875681432618</v>
      </c>
      <c r="P47" s="213" t="n">
        <v>0</v>
      </c>
      <c r="Q47" s="213" t="n">
        <v>0</v>
      </c>
      <c r="R47" s="213" t="n">
        <v>0</v>
      </c>
      <c r="S47" s="214" t="n">
        <v>1</v>
      </c>
      <c r="V47" s="211" t="s">
        <v>461</v>
      </c>
      <c r="W47" s="211" t="n">
        <v>2050</v>
      </c>
      <c r="X47" s="212" t="s">
        <v>498</v>
      </c>
      <c r="Y47" s="215" t="n">
        <f aca="false">Y45*(1-SUM(AA47:AL47))</f>
        <v>0.335003303171459</v>
      </c>
      <c r="Z47" s="215" t="n">
        <f aca="false">Z45*(1-SUM(AA47:AL47))</f>
        <v>0.494996696828541</v>
      </c>
      <c r="AA47" s="215" t="n">
        <v>0</v>
      </c>
      <c r="AB47" s="215" t="n">
        <v>0</v>
      </c>
      <c r="AC47" s="215" t="n">
        <v>0.05</v>
      </c>
      <c r="AD47" s="215" t="n">
        <v>0.12</v>
      </c>
      <c r="AE47" s="215" t="n">
        <v>0</v>
      </c>
      <c r="AF47" s="215" t="n">
        <v>0</v>
      </c>
      <c r="AG47" s="215" t="n">
        <v>0</v>
      </c>
      <c r="AH47" s="215" t="n">
        <v>0</v>
      </c>
      <c r="AI47" s="215" t="n">
        <v>0</v>
      </c>
      <c r="AJ47" s="215" t="n">
        <v>0</v>
      </c>
      <c r="AK47" s="215" t="n">
        <v>0</v>
      </c>
      <c r="AL47" s="215" t="n">
        <v>0</v>
      </c>
      <c r="AM47" s="208" t="n">
        <f aca="false">SUM(Y47:AL47)</f>
        <v>1</v>
      </c>
      <c r="AP47" s="59" t="s">
        <v>501</v>
      </c>
    </row>
    <row r="48" customFormat="false" ht="14.5" hidden="false" customHeight="false" outlineLevel="0" collapsed="false">
      <c r="C48" s="217"/>
      <c r="D48" s="218"/>
      <c r="E48" s="219"/>
      <c r="F48" s="219"/>
      <c r="G48" s="219"/>
      <c r="H48" s="219"/>
      <c r="I48" s="219"/>
      <c r="J48" s="219"/>
      <c r="K48" s="219"/>
      <c r="L48" s="219"/>
      <c r="M48" s="219"/>
      <c r="N48" s="219"/>
      <c r="O48" s="219"/>
      <c r="P48" s="219"/>
      <c r="Q48" s="219"/>
      <c r="R48" s="219"/>
      <c r="S48" s="220"/>
      <c r="V48" s="217"/>
      <c r="W48" s="217"/>
      <c r="X48" s="218"/>
      <c r="Y48" s="221"/>
      <c r="Z48" s="221"/>
      <c r="AA48" s="221"/>
      <c r="AB48" s="221"/>
      <c r="AC48" s="221"/>
      <c r="AD48" s="221"/>
      <c r="AE48" s="221"/>
      <c r="AF48" s="221"/>
      <c r="AG48" s="221"/>
      <c r="AH48" s="221"/>
      <c r="AI48" s="221"/>
      <c r="AJ48" s="221"/>
      <c r="AK48" s="221"/>
      <c r="AL48" s="221"/>
      <c r="AM48" s="222"/>
      <c r="AP48" s="59"/>
    </row>
    <row r="49" customFormat="false" ht="14.5" hidden="false" customHeight="false" outlineLevel="0" collapsed="false">
      <c r="B49" s="211" t="n">
        <v>2019</v>
      </c>
      <c r="C49" s="211" t="s">
        <v>464</v>
      </c>
      <c r="D49" s="212" t="s">
        <v>498</v>
      </c>
      <c r="E49" s="213" t="n">
        <v>0.035</v>
      </c>
      <c r="F49" s="213"/>
      <c r="G49" s="213" t="n">
        <v>0.02</v>
      </c>
      <c r="H49" s="213" t="n">
        <v>0.191</v>
      </c>
      <c r="I49" s="213" t="n">
        <v>0.029</v>
      </c>
      <c r="J49" s="213" t="n">
        <v>0</v>
      </c>
      <c r="K49" s="213" t="n">
        <v>0</v>
      </c>
      <c r="L49" s="213" t="n">
        <v>0</v>
      </c>
      <c r="M49" s="213"/>
      <c r="N49" s="213" t="n">
        <v>0</v>
      </c>
      <c r="O49" s="213" t="n">
        <v>0.725</v>
      </c>
      <c r="P49" s="213" t="n">
        <v>0</v>
      </c>
      <c r="Q49" s="213" t="n">
        <v>0</v>
      </c>
      <c r="R49" s="213" t="n">
        <v>0</v>
      </c>
      <c r="S49" s="214" t="n">
        <v>1</v>
      </c>
      <c r="V49" s="211" t="s">
        <v>464</v>
      </c>
      <c r="W49" s="211" t="n">
        <v>2019</v>
      </c>
      <c r="X49" s="212" t="s">
        <v>498</v>
      </c>
      <c r="Y49" s="223" t="n">
        <f aca="false">INDEX(X$11:X$35,MATCH($V49,$V$11:$V$35,0))/INDEX($AL$11:$AL$35,MATCH($V49,$V$11:$V$35,0))</f>
        <v>0.035</v>
      </c>
      <c r="Z49" s="223" t="n">
        <f aca="false">INDEX(Y$11:Y$35,MATCH($V49,$V$11:$V$35,0))/INDEX($AL$11:$AL$35,MATCH($V49,$V$11:$V$35,0))</f>
        <v>0</v>
      </c>
      <c r="AA49" s="223" t="n">
        <f aca="false">INDEX(Z$11:Z$35,MATCH($V49,$V$11:$V$35,0))/INDEX($AL$11:$AL$35,MATCH($V49,$V$11:$V$35,0))</f>
        <v>0.02</v>
      </c>
      <c r="AB49" s="223" t="n">
        <f aca="false">INDEX(AA$11:AA$35,MATCH($V49,$V$11:$V$35,0))/INDEX($AL$11:$AL$35,MATCH($V49,$V$11:$V$35,0))</f>
        <v>0.22</v>
      </c>
      <c r="AC49" s="223" t="n">
        <f aca="false">INDEX(AB$11:AB$35,MATCH($V49,$V$11:$V$35,0))/INDEX($AL$11:$AL$35,MATCH($V49,$V$11:$V$35,0))</f>
        <v>0</v>
      </c>
      <c r="AD49" s="223" t="n">
        <f aca="false">INDEX(AC$11:AC$35,MATCH($V49,$V$11:$V$35,0))/INDEX($AL$11:$AL$35,MATCH($V49,$V$11:$V$35,0))</f>
        <v>0</v>
      </c>
      <c r="AE49" s="223" t="n">
        <f aca="false">INDEX(AD$11:AD$35,MATCH($V49,$V$11:$V$35,0))/INDEX($AL$11:$AL$35,MATCH($V49,$V$11:$V$35,0))</f>
        <v>0</v>
      </c>
      <c r="AF49" s="223" t="n">
        <f aca="false">INDEX(AE$11:AE$35,MATCH($V49,$V$11:$V$35,0))/INDEX($AL$11:$AL$35,MATCH($V49,$V$11:$V$35,0))</f>
        <v>0</v>
      </c>
      <c r="AG49" s="223" t="n">
        <f aca="false">INDEX(AF$11:AF$35,MATCH($V49,$V$11:$V$35,0))/INDEX($AL$11:$AL$35,MATCH($V49,$V$11:$V$35,0))</f>
        <v>0</v>
      </c>
      <c r="AH49" s="223" t="n">
        <f aca="false">INDEX(AG$11:AG$35,MATCH($V49,$V$11:$V$35,0))/INDEX($AL$11:$AL$35,MATCH($V49,$V$11:$V$35,0))</f>
        <v>0</v>
      </c>
      <c r="AI49" s="223" t="n">
        <f aca="false">INDEX(AH$11:AH$35,MATCH($V49,$V$11:$V$35,0))/INDEX($AL$11:$AL$35,MATCH($V49,$V$11:$V$35,0))</f>
        <v>0.725</v>
      </c>
      <c r="AJ49" s="223" t="n">
        <f aca="false">INDEX(AI$11:AI$35,MATCH($V49,$V$11:$V$35,0))/INDEX($AL$11:$AL$35,MATCH($V49,$V$11:$V$35,0))</f>
        <v>0</v>
      </c>
      <c r="AK49" s="223" t="n">
        <f aca="false">INDEX(AJ$11:AJ$35,MATCH($V49,$V$11:$V$35,0))/INDEX($AL$11:$AL$35,MATCH($V49,$V$11:$V$35,0))</f>
        <v>0</v>
      </c>
      <c r="AL49" s="223" t="n">
        <f aca="false">INDEX(AK$11:AK$35,MATCH($V49,$V$11:$V$35,0))/INDEX($AL$11:$AL$35,MATCH($V49,$V$11:$V$35,0))</f>
        <v>0</v>
      </c>
      <c r="AM49" s="208" t="n">
        <f aca="false">INDEX(AL$11:AL$35,MATCH($V49,$V$11:$V$35,0))/INDEX($AL$11:$AL$35,MATCH($V49,$V$11:$V$35,0))</f>
        <v>1</v>
      </c>
      <c r="AP49" s="59" t="s">
        <v>502</v>
      </c>
    </row>
    <row r="50" customFormat="false" ht="14.5" hidden="false" customHeight="false" outlineLevel="0" collapsed="false">
      <c r="B50" s="211" t="n">
        <v>2030</v>
      </c>
      <c r="C50" s="211" t="s">
        <v>464</v>
      </c>
      <c r="D50" s="212" t="s">
        <v>498</v>
      </c>
      <c r="E50" s="213" t="n">
        <v>0.02</v>
      </c>
      <c r="F50" s="213"/>
      <c r="G50" s="213" t="n">
        <v>0.02</v>
      </c>
      <c r="H50" s="213" t="n">
        <v>0.18</v>
      </c>
      <c r="I50" s="213" t="n">
        <v>0.03</v>
      </c>
      <c r="J50" s="213" t="n">
        <v>0</v>
      </c>
      <c r="K50" s="213" t="n">
        <v>0</v>
      </c>
      <c r="L50" s="213" t="n">
        <v>0</v>
      </c>
      <c r="M50" s="213" t="n">
        <v>0</v>
      </c>
      <c r="N50" s="213" t="n">
        <v>0</v>
      </c>
      <c r="O50" s="213" t="n">
        <v>0.75</v>
      </c>
      <c r="P50" s="213" t="n">
        <v>0</v>
      </c>
      <c r="Q50" s="213" t="n">
        <v>0</v>
      </c>
      <c r="R50" s="213" t="n">
        <v>0</v>
      </c>
      <c r="S50" s="214" t="n">
        <v>1</v>
      </c>
      <c r="V50" s="211" t="s">
        <v>464</v>
      </c>
      <c r="W50" s="211" t="n">
        <v>2030</v>
      </c>
      <c r="X50" s="212" t="s">
        <v>498</v>
      </c>
      <c r="Y50" s="223" t="n">
        <f aca="false">E50</f>
        <v>0.02</v>
      </c>
      <c r="Z50" s="223"/>
      <c r="AA50" s="223" t="n">
        <f aca="false">G50</f>
        <v>0.02</v>
      </c>
      <c r="AB50" s="223" t="n">
        <v>0.2</v>
      </c>
      <c r="AC50" s="223" t="n">
        <f aca="false">1%</f>
        <v>0.01</v>
      </c>
      <c r="AD50" s="223" t="n">
        <f aca="false">J50</f>
        <v>0</v>
      </c>
      <c r="AE50" s="223" t="n">
        <f aca="false">K50</f>
        <v>0</v>
      </c>
      <c r="AF50" s="223" t="n">
        <f aca="false">L50</f>
        <v>0</v>
      </c>
      <c r="AG50" s="223" t="n">
        <f aca="false">M50</f>
        <v>0</v>
      </c>
      <c r="AH50" s="223" t="n">
        <f aca="false">N50</f>
        <v>0</v>
      </c>
      <c r="AI50" s="223" t="n">
        <f aca="false">O50</f>
        <v>0.75</v>
      </c>
      <c r="AJ50" s="223" t="n">
        <f aca="false">P50</f>
        <v>0</v>
      </c>
      <c r="AK50" s="223" t="n">
        <f aca="false">Q50</f>
        <v>0</v>
      </c>
      <c r="AL50" s="223" t="n">
        <f aca="false">R50</f>
        <v>0</v>
      </c>
      <c r="AM50" s="208" t="n">
        <f aca="false">SUM(Y50:AL50)</f>
        <v>1</v>
      </c>
      <c r="AP50" s="59"/>
    </row>
    <row r="51" customFormat="false" ht="14.5" hidden="false" customHeight="false" outlineLevel="0" collapsed="false">
      <c r="B51" s="211" t="n">
        <v>2050</v>
      </c>
      <c r="C51" s="211" t="s">
        <v>464</v>
      </c>
      <c r="D51" s="212" t="s">
        <v>498</v>
      </c>
      <c r="E51" s="213" t="n">
        <v>0.0105140678769938</v>
      </c>
      <c r="F51" s="213"/>
      <c r="G51" s="213" t="n">
        <v>0.0160951739582194</v>
      </c>
      <c r="H51" s="213" t="n">
        <v>0.144139696174567</v>
      </c>
      <c r="I51" s="213" t="n">
        <v>0.0219855996537811</v>
      </c>
      <c r="J51" s="213" t="n">
        <v>0</v>
      </c>
      <c r="K51" s="213" t="n">
        <v>0</v>
      </c>
      <c r="L51" s="213" t="n">
        <v>0</v>
      </c>
      <c r="M51" s="213" t="n">
        <v>0</v>
      </c>
      <c r="N51" s="213" t="n">
        <v>0</v>
      </c>
      <c r="O51" s="213" t="n">
        <v>0.807265462336439</v>
      </c>
      <c r="P51" s="213" t="n">
        <v>0</v>
      </c>
      <c r="Q51" s="213" t="n">
        <v>0</v>
      </c>
      <c r="R51" s="213" t="n">
        <v>0</v>
      </c>
      <c r="S51" s="214" t="n">
        <v>1</v>
      </c>
      <c r="V51" s="211" t="s">
        <v>464</v>
      </c>
      <c r="W51" s="211" t="n">
        <v>2050</v>
      </c>
      <c r="X51" s="212" t="s">
        <v>498</v>
      </c>
      <c r="Y51" s="223" t="n">
        <f aca="false">E51</f>
        <v>0.0105140678769938</v>
      </c>
      <c r="Z51" s="223"/>
      <c r="AA51" s="223" t="n">
        <f aca="false">G51</f>
        <v>0.0160951739582194</v>
      </c>
      <c r="AB51" s="223" t="n">
        <f aca="false">H51</f>
        <v>0.144139696174567</v>
      </c>
      <c r="AC51" s="223" t="n">
        <f aca="false">I51</f>
        <v>0.0219855996537811</v>
      </c>
      <c r="AD51" s="223" t="n">
        <f aca="false">J51</f>
        <v>0</v>
      </c>
      <c r="AE51" s="223" t="n">
        <f aca="false">K51</f>
        <v>0</v>
      </c>
      <c r="AF51" s="223" t="n">
        <f aca="false">L51</f>
        <v>0</v>
      </c>
      <c r="AG51" s="223" t="n">
        <f aca="false">M51</f>
        <v>0</v>
      </c>
      <c r="AH51" s="223" t="n">
        <f aca="false">N51</f>
        <v>0</v>
      </c>
      <c r="AI51" s="223" t="n">
        <f aca="false">O51</f>
        <v>0.807265462336439</v>
      </c>
      <c r="AJ51" s="223" t="n">
        <f aca="false">P51</f>
        <v>0</v>
      </c>
      <c r="AK51" s="223" t="n">
        <f aca="false">Q51</f>
        <v>0</v>
      </c>
      <c r="AL51" s="223" t="n">
        <f aca="false">R51</f>
        <v>0</v>
      </c>
      <c r="AM51" s="208" t="n">
        <f aca="false">SUM(Y51:AL51)</f>
        <v>1</v>
      </c>
      <c r="AP51" s="59"/>
    </row>
    <row r="52" customFormat="false" ht="14.5" hidden="false" customHeight="false" outlineLevel="0" collapsed="false">
      <c r="C52" s="217"/>
      <c r="D52" s="218"/>
      <c r="E52" s="219"/>
      <c r="F52" s="219"/>
      <c r="G52" s="219"/>
      <c r="H52" s="219"/>
      <c r="I52" s="219"/>
      <c r="J52" s="219"/>
      <c r="K52" s="219"/>
      <c r="L52" s="219"/>
      <c r="M52" s="219"/>
      <c r="N52" s="219"/>
      <c r="O52" s="219"/>
      <c r="P52" s="219"/>
      <c r="Q52" s="219"/>
      <c r="R52" s="219"/>
      <c r="S52" s="220"/>
      <c r="V52" s="217"/>
      <c r="W52" s="217"/>
      <c r="X52" s="218"/>
      <c r="Y52" s="221"/>
      <c r="Z52" s="221"/>
      <c r="AA52" s="221"/>
      <c r="AB52" s="221"/>
      <c r="AC52" s="221"/>
      <c r="AD52" s="221"/>
      <c r="AE52" s="221"/>
      <c r="AF52" s="221"/>
      <c r="AG52" s="221"/>
      <c r="AH52" s="221"/>
      <c r="AI52" s="221"/>
      <c r="AJ52" s="221"/>
      <c r="AK52" s="221"/>
      <c r="AL52" s="221"/>
      <c r="AM52" s="222"/>
      <c r="AP52" s="59"/>
    </row>
    <row r="53" customFormat="false" ht="14.5" hidden="false" customHeight="false" outlineLevel="0" collapsed="false">
      <c r="B53" s="211" t="n">
        <v>2019</v>
      </c>
      <c r="C53" s="211" t="s">
        <v>466</v>
      </c>
      <c r="D53" s="212" t="s">
        <v>498</v>
      </c>
      <c r="E53" s="213" t="n">
        <v>0</v>
      </c>
      <c r="F53" s="213"/>
      <c r="G53" s="213" t="n">
        <v>0</v>
      </c>
      <c r="H53" s="213" t="n">
        <v>0.15207756232687</v>
      </c>
      <c r="I53" s="213" t="n">
        <v>0</v>
      </c>
      <c r="J53" s="213" t="n">
        <v>0</v>
      </c>
      <c r="K53" s="213" t="n">
        <v>0</v>
      </c>
      <c r="L53" s="213" t="n">
        <v>0</v>
      </c>
      <c r="M53" s="213" t="n">
        <v>0</v>
      </c>
      <c r="N53" s="213" t="n">
        <v>0</v>
      </c>
      <c r="O53" s="213" t="n">
        <v>0.137673130193906</v>
      </c>
      <c r="P53" s="213" t="n">
        <v>0</v>
      </c>
      <c r="Q53" s="213" t="n">
        <v>0</v>
      </c>
      <c r="R53" s="213" t="n">
        <v>0.710249307479224</v>
      </c>
      <c r="S53" s="214" t="n">
        <v>1</v>
      </c>
      <c r="V53" s="211" t="s">
        <v>466</v>
      </c>
      <c r="W53" s="211" t="n">
        <v>2019</v>
      </c>
      <c r="X53" s="212" t="s">
        <v>498</v>
      </c>
      <c r="Y53" s="223" t="n">
        <v>0</v>
      </c>
      <c r="Z53" s="223" t="n">
        <v>0</v>
      </c>
      <c r="AA53" s="223" t="n">
        <v>0</v>
      </c>
      <c r="AB53" s="223" t="n">
        <v>0</v>
      </c>
      <c r="AC53" s="223" t="n">
        <v>0</v>
      </c>
      <c r="AD53" s="223" t="n">
        <v>0</v>
      </c>
      <c r="AE53" s="223" t="n">
        <v>0</v>
      </c>
      <c r="AF53" s="223" t="n">
        <v>0</v>
      </c>
      <c r="AG53" s="223" t="n">
        <v>0</v>
      </c>
      <c r="AH53" s="223" t="n">
        <v>0</v>
      </c>
      <c r="AI53" s="223" t="n">
        <v>0</v>
      </c>
      <c r="AJ53" s="223" t="n">
        <v>0</v>
      </c>
      <c r="AK53" s="223" t="n">
        <v>0</v>
      </c>
      <c r="AL53" s="223" t="n">
        <v>0</v>
      </c>
      <c r="AM53" s="208" t="n">
        <v>0</v>
      </c>
      <c r="AP53" s="59" t="s">
        <v>503</v>
      </c>
    </row>
    <row r="54" customFormat="false" ht="14.5" hidden="false" customHeight="false" outlineLevel="0" collapsed="false">
      <c r="B54" s="211" t="n">
        <v>2030</v>
      </c>
      <c r="C54" s="211" t="s">
        <v>466</v>
      </c>
      <c r="D54" s="212" t="s">
        <v>498</v>
      </c>
      <c r="E54" s="213" t="n">
        <v>0</v>
      </c>
      <c r="F54" s="213"/>
      <c r="G54" s="213" t="n">
        <v>0</v>
      </c>
      <c r="H54" s="213" t="n">
        <v>0</v>
      </c>
      <c r="I54" s="213" t="n">
        <v>0</v>
      </c>
      <c r="J54" s="213" t="n">
        <v>0</v>
      </c>
      <c r="K54" s="213" t="n">
        <v>0</v>
      </c>
      <c r="L54" s="213" t="n">
        <v>0</v>
      </c>
      <c r="M54" s="213" t="n">
        <v>0</v>
      </c>
      <c r="N54" s="213" t="n">
        <v>0</v>
      </c>
      <c r="O54" s="213" t="n">
        <v>0</v>
      </c>
      <c r="P54" s="213" t="n">
        <v>0</v>
      </c>
      <c r="Q54" s="213" t="n">
        <v>0</v>
      </c>
      <c r="R54" s="213" t="n">
        <v>0</v>
      </c>
      <c r="S54" s="214" t="n">
        <v>0</v>
      </c>
      <c r="V54" s="211" t="s">
        <v>466</v>
      </c>
      <c r="W54" s="211" t="n">
        <v>2030</v>
      </c>
      <c r="X54" s="212" t="s">
        <v>498</v>
      </c>
      <c r="Y54" s="223" t="n">
        <f aca="false">E54</f>
        <v>0</v>
      </c>
      <c r="Z54" s="223"/>
      <c r="AA54" s="223" t="n">
        <f aca="false">G54</f>
        <v>0</v>
      </c>
      <c r="AB54" s="223" t="n">
        <f aca="false">H54</f>
        <v>0</v>
      </c>
      <c r="AC54" s="223" t="n">
        <f aca="false">I54</f>
        <v>0</v>
      </c>
      <c r="AD54" s="223" t="n">
        <f aca="false">J54</f>
        <v>0</v>
      </c>
      <c r="AE54" s="223" t="n">
        <f aca="false">K54</f>
        <v>0</v>
      </c>
      <c r="AF54" s="223" t="n">
        <f aca="false">L54</f>
        <v>0</v>
      </c>
      <c r="AG54" s="223" t="n">
        <f aca="false">M54</f>
        <v>0</v>
      </c>
      <c r="AH54" s="223" t="n">
        <f aca="false">N54</f>
        <v>0</v>
      </c>
      <c r="AI54" s="223" t="n">
        <f aca="false">O54</f>
        <v>0</v>
      </c>
      <c r="AJ54" s="223" t="n">
        <f aca="false">P54</f>
        <v>0</v>
      </c>
      <c r="AK54" s="223" t="n">
        <f aca="false">Q54</f>
        <v>0</v>
      </c>
      <c r="AL54" s="223" t="n">
        <f aca="false">R54</f>
        <v>0</v>
      </c>
      <c r="AM54" s="208" t="n">
        <f aca="false">SUM(Y54:AL54)</f>
        <v>0</v>
      </c>
      <c r="AP54" s="59"/>
    </row>
    <row r="55" customFormat="false" ht="14.5" hidden="false" customHeight="false" outlineLevel="0" collapsed="false">
      <c r="B55" s="211" t="n">
        <v>2050</v>
      </c>
      <c r="C55" s="211" t="s">
        <v>466</v>
      </c>
      <c r="D55" s="212" t="s">
        <v>498</v>
      </c>
      <c r="E55" s="213" t="n">
        <v>0</v>
      </c>
      <c r="F55" s="213"/>
      <c r="G55" s="213" t="n">
        <v>0</v>
      </c>
      <c r="H55" s="213" t="n">
        <v>0.15207756232687</v>
      </c>
      <c r="I55" s="213" t="n">
        <v>0</v>
      </c>
      <c r="J55" s="213" t="n">
        <v>0</v>
      </c>
      <c r="K55" s="213" t="n">
        <v>0</v>
      </c>
      <c r="L55" s="213" t="n">
        <v>0</v>
      </c>
      <c r="M55" s="213" t="n">
        <v>0</v>
      </c>
      <c r="N55" s="213" t="n">
        <v>0</v>
      </c>
      <c r="O55" s="213" t="n">
        <v>0.137673130193906</v>
      </c>
      <c r="P55" s="213" t="n">
        <v>0</v>
      </c>
      <c r="Q55" s="213" t="n">
        <v>0</v>
      </c>
      <c r="R55" s="213" t="n">
        <v>0.710249307479224</v>
      </c>
      <c r="S55" s="214" t="n">
        <v>1</v>
      </c>
      <c r="V55" s="211" t="s">
        <v>466</v>
      </c>
      <c r="W55" s="211" t="n">
        <v>2050</v>
      </c>
      <c r="X55" s="212" t="s">
        <v>498</v>
      </c>
      <c r="Y55" s="223" t="n">
        <f aca="false">E55</f>
        <v>0</v>
      </c>
      <c r="Z55" s="223"/>
      <c r="AA55" s="223" t="n">
        <f aca="false">G55</f>
        <v>0</v>
      </c>
      <c r="AB55" s="223" t="n">
        <f aca="false">H55</f>
        <v>0.15207756232687</v>
      </c>
      <c r="AC55" s="223" t="n">
        <f aca="false">I55</f>
        <v>0</v>
      </c>
      <c r="AD55" s="223" t="n">
        <f aca="false">J55</f>
        <v>0</v>
      </c>
      <c r="AE55" s="223" t="n">
        <f aca="false">K55</f>
        <v>0</v>
      </c>
      <c r="AF55" s="223" t="n">
        <f aca="false">L55</f>
        <v>0</v>
      </c>
      <c r="AG55" s="223" t="n">
        <f aca="false">M55</f>
        <v>0</v>
      </c>
      <c r="AH55" s="223" t="n">
        <f aca="false">N55</f>
        <v>0</v>
      </c>
      <c r="AI55" s="223" t="n">
        <f aca="false">O55</f>
        <v>0.137673130193906</v>
      </c>
      <c r="AJ55" s="223" t="n">
        <f aca="false">P55</f>
        <v>0</v>
      </c>
      <c r="AK55" s="223" t="n">
        <f aca="false">Q55</f>
        <v>0</v>
      </c>
      <c r="AL55" s="223" t="n">
        <f aca="false">R55</f>
        <v>0.710249307479224</v>
      </c>
      <c r="AM55" s="208" t="n">
        <f aca="false">SUM(Y55:AL55)</f>
        <v>1</v>
      </c>
      <c r="AP55" s="59"/>
    </row>
    <row r="56" customFormat="false" ht="14.5" hidden="false" customHeight="false" outlineLevel="0" collapsed="false">
      <c r="C56" s="217"/>
      <c r="D56" s="218"/>
      <c r="E56" s="219"/>
      <c r="F56" s="219"/>
      <c r="G56" s="219"/>
      <c r="H56" s="219"/>
      <c r="I56" s="219"/>
      <c r="J56" s="219"/>
      <c r="K56" s="219"/>
      <c r="L56" s="219"/>
      <c r="M56" s="219"/>
      <c r="N56" s="219"/>
      <c r="O56" s="219"/>
      <c r="P56" s="219"/>
      <c r="Q56" s="219"/>
      <c r="R56" s="219"/>
      <c r="S56" s="220"/>
      <c r="V56" s="217"/>
      <c r="W56" s="217"/>
      <c r="X56" s="218"/>
      <c r="Y56" s="221"/>
      <c r="Z56" s="221"/>
      <c r="AA56" s="221"/>
      <c r="AB56" s="221"/>
      <c r="AC56" s="221"/>
      <c r="AD56" s="221"/>
      <c r="AE56" s="221"/>
      <c r="AF56" s="221"/>
      <c r="AG56" s="221"/>
      <c r="AH56" s="221"/>
      <c r="AI56" s="221"/>
      <c r="AJ56" s="221"/>
      <c r="AK56" s="221"/>
      <c r="AL56" s="221"/>
      <c r="AM56" s="222"/>
      <c r="AP56" s="59"/>
    </row>
    <row r="57" customFormat="false" ht="14.5" hidden="false" customHeight="false" outlineLevel="0" collapsed="false">
      <c r="B57" s="211" t="n">
        <v>2019</v>
      </c>
      <c r="C57" s="211" t="s">
        <v>504</v>
      </c>
      <c r="D57" s="212"/>
      <c r="E57" s="213"/>
      <c r="F57" s="213"/>
      <c r="G57" s="213"/>
      <c r="H57" s="213"/>
      <c r="I57" s="213"/>
      <c r="J57" s="213"/>
      <c r="K57" s="213"/>
      <c r="L57" s="213"/>
      <c r="M57" s="213"/>
      <c r="N57" s="213"/>
      <c r="O57" s="213"/>
      <c r="P57" s="213"/>
      <c r="Q57" s="213"/>
      <c r="R57" s="213"/>
      <c r="S57" s="214"/>
      <c r="V57" s="211" t="s">
        <v>467</v>
      </c>
      <c r="W57" s="211" t="n">
        <v>2019</v>
      </c>
      <c r="X57" s="212"/>
      <c r="Y57" s="215" t="n">
        <f aca="false">INDEX(X$11:X$35,MATCH($V57,$V$11:$V$35,0))/INDEX($AL$11:$AL$35,MATCH($V57,$V$11:$V$35,0))</f>
        <v>0.0558449092555247</v>
      </c>
      <c r="Z57" s="215" t="n">
        <f aca="false">INDEX(Y$11:Y$35,MATCH($V57,$V$11:$V$35,0))/INDEX($AL$11:$AL$35,MATCH($V57,$V$11:$V$35,0))</f>
        <v>0.0324236893802455</v>
      </c>
      <c r="AA57" s="215" t="n">
        <f aca="false">INDEX(Z$11:Z$35,MATCH($V57,$V$11:$V$35,0))/INDEX($AL$11:$AL$35,MATCH($V57,$V$11:$V$35,0))</f>
        <v>0.0113704022297733</v>
      </c>
      <c r="AB57" s="215" t="n">
        <f aca="false">INDEX(AA$11:AA$35,MATCH($V57,$V$11:$V$35,0))/INDEX($AL$11:$AL$35,MATCH($V57,$V$11:$V$35,0))</f>
        <v>0.311435998294995</v>
      </c>
      <c r="AC57" s="215" t="n">
        <f aca="false">INDEX(AB$11:AB$35,MATCH($V57,$V$11:$V$35,0))/INDEX($AL$11:$AL$35,MATCH($V57,$V$11:$V$35,0))</f>
        <v>0.000298560675692869</v>
      </c>
      <c r="AD57" s="215" t="n">
        <f aca="false">INDEX(AC$11:AC$35,MATCH($V57,$V$11:$V$35,0))/INDEX($AL$11:$AL$35,MATCH($V57,$V$11:$V$35,0))</f>
        <v>0</v>
      </c>
      <c r="AE57" s="215" t="n">
        <f aca="false">INDEX(AD$11:AD$35,MATCH($V57,$V$11:$V$35,0))/INDEX($AL$11:$AL$35,MATCH($V57,$V$11:$V$35,0))</f>
        <v>0</v>
      </c>
      <c r="AF57" s="215" t="n">
        <f aca="false">INDEX(AE$11:AE$35,MATCH($V57,$V$11:$V$35,0))/INDEX($AL$11:$AL$35,MATCH($V57,$V$11:$V$35,0))</f>
        <v>0</v>
      </c>
      <c r="AG57" s="215" t="n">
        <f aca="false">INDEX(AF$11:AF$35,MATCH($V57,$V$11:$V$35,0))/INDEX($AL$11:$AL$35,MATCH($V57,$V$11:$V$35,0))</f>
        <v>0</v>
      </c>
      <c r="AH57" s="215" t="n">
        <f aca="false">INDEX(AG$11:AG$35,MATCH($V57,$V$11:$V$35,0))/INDEX($AL$11:$AL$35,MATCH($V57,$V$11:$V$35,0))</f>
        <v>0</v>
      </c>
      <c r="AI57" s="215" t="n">
        <f aca="false">INDEX(AH$11:AH$35,MATCH($V57,$V$11:$V$35,0))/INDEX($AL$11:$AL$35,MATCH($V57,$V$11:$V$35,0))</f>
        <v>0.582595514514773</v>
      </c>
      <c r="AJ57" s="215" t="n">
        <f aca="false">INDEX(AI$11:AI$35,MATCH($V57,$V$11:$V$35,0))/INDEX($AL$11:$AL$35,MATCH($V57,$V$11:$V$35,0))</f>
        <v>0</v>
      </c>
      <c r="AK57" s="215" t="n">
        <f aca="false">INDEX(AJ$11:AJ$35,MATCH($V57,$V$11:$V$35,0))/INDEX($AL$11:$AL$35,MATCH($V57,$V$11:$V$35,0))</f>
        <v>0.00603092564899595</v>
      </c>
      <c r="AL57" s="215" t="n">
        <f aca="false">INDEX(AK$11:AK$35,MATCH($V57,$V$11:$V$35,0))/INDEX($AL$11:$AL$35,MATCH($V57,$V$11:$V$35,0))</f>
        <v>0</v>
      </c>
      <c r="AM57" s="208" t="n">
        <f aca="false">INDEX(AL$11:AL$35,MATCH($V57,$V$11:$V$35,0))/INDEX($AL$11:$AL$35,MATCH($V57,$V$11:$V$35,0))</f>
        <v>1</v>
      </c>
      <c r="AP57" s="59" t="s">
        <v>505</v>
      </c>
    </row>
    <row r="58" customFormat="false" ht="14.5" hidden="false" customHeight="false" outlineLevel="0" collapsed="false">
      <c r="B58" s="211" t="n">
        <v>2030</v>
      </c>
      <c r="C58" s="211" t="s">
        <v>504</v>
      </c>
      <c r="D58" s="212"/>
      <c r="E58" s="213"/>
      <c r="F58" s="213"/>
      <c r="G58" s="213"/>
      <c r="H58" s="213"/>
      <c r="I58" s="213"/>
      <c r="J58" s="213"/>
      <c r="K58" s="213"/>
      <c r="L58" s="213"/>
      <c r="M58" s="213"/>
      <c r="N58" s="213"/>
      <c r="O58" s="213"/>
      <c r="P58" s="213"/>
      <c r="Q58" s="213"/>
      <c r="R58" s="213"/>
      <c r="S58" s="214"/>
      <c r="V58" s="211" t="s">
        <v>467</v>
      </c>
      <c r="W58" s="211" t="n">
        <v>2030</v>
      </c>
      <c r="X58" s="212"/>
      <c r="Y58" s="215" t="n">
        <v>0.07</v>
      </c>
      <c r="Z58" s="215"/>
      <c r="AA58" s="215" t="n">
        <v>0.01</v>
      </c>
      <c r="AB58" s="215" t="n">
        <f aca="false">1-SUM(Y58:AA58,AC58:AL58)</f>
        <v>0.28</v>
      </c>
      <c r="AC58" s="215" t="n">
        <v>0.03</v>
      </c>
      <c r="AD58" s="215" t="n">
        <v>0</v>
      </c>
      <c r="AE58" s="215" t="n">
        <v>0</v>
      </c>
      <c r="AF58" s="215" t="n">
        <v>0</v>
      </c>
      <c r="AG58" s="215" t="n">
        <v>0</v>
      </c>
      <c r="AH58" s="215" t="n">
        <v>0</v>
      </c>
      <c r="AI58" s="215" t="n">
        <v>0.6</v>
      </c>
      <c r="AJ58" s="215" t="n">
        <v>0</v>
      </c>
      <c r="AK58" s="215" t="n">
        <v>0.01</v>
      </c>
      <c r="AL58" s="215" t="n">
        <v>0</v>
      </c>
      <c r="AM58" s="208" t="n">
        <f aca="false">SUM(Y58:AL58)</f>
        <v>1</v>
      </c>
      <c r="AO58" s="216"/>
      <c r="AP58" s="59" t="s">
        <v>500</v>
      </c>
    </row>
    <row r="59" customFormat="false" ht="14.5" hidden="false" customHeight="false" outlineLevel="0" collapsed="false">
      <c r="B59" s="211" t="n">
        <v>2050</v>
      </c>
      <c r="C59" s="211" t="s">
        <v>504</v>
      </c>
      <c r="D59" s="212"/>
      <c r="E59" s="213"/>
      <c r="F59" s="213"/>
      <c r="G59" s="213"/>
      <c r="H59" s="213"/>
      <c r="I59" s="213"/>
      <c r="J59" s="213"/>
      <c r="K59" s="213"/>
      <c r="L59" s="213"/>
      <c r="M59" s="213"/>
      <c r="N59" s="213"/>
      <c r="O59" s="213"/>
      <c r="P59" s="213"/>
      <c r="Q59" s="213"/>
      <c r="R59" s="213"/>
      <c r="S59" s="214"/>
      <c r="V59" s="211" t="s">
        <v>467</v>
      </c>
      <c r="W59" s="211" t="n">
        <v>2050</v>
      </c>
      <c r="X59" s="212"/>
      <c r="Y59" s="215" t="n">
        <v>0.03</v>
      </c>
      <c r="Z59" s="215"/>
      <c r="AA59" s="215" t="n">
        <v>0.01</v>
      </c>
      <c r="AB59" s="215" t="n">
        <f aca="false">1-SUM(Y59:AA59,AC59:AL59)</f>
        <v>0.2</v>
      </c>
      <c r="AC59" s="215" t="n">
        <v>0.05</v>
      </c>
      <c r="AD59" s="215" t="n">
        <v>0</v>
      </c>
      <c r="AE59" s="215" t="n">
        <v>0</v>
      </c>
      <c r="AF59" s="215" t="n">
        <v>0</v>
      </c>
      <c r="AG59" s="215" t="n">
        <v>0</v>
      </c>
      <c r="AH59" s="215" t="n">
        <v>0</v>
      </c>
      <c r="AI59" s="215" t="n">
        <v>0.7</v>
      </c>
      <c r="AJ59" s="215" t="n">
        <v>0</v>
      </c>
      <c r="AK59" s="215" t="n">
        <v>0.01</v>
      </c>
      <c r="AL59" s="215" t="n">
        <v>0</v>
      </c>
      <c r="AM59" s="208" t="n">
        <f aca="false">SUM(Y59:AL59)</f>
        <v>1</v>
      </c>
      <c r="AP59" s="59"/>
    </row>
    <row r="60" customFormat="false" ht="14.5" hidden="false" customHeight="false" outlineLevel="0" collapsed="false">
      <c r="C60" s="217"/>
      <c r="D60" s="218"/>
      <c r="E60" s="219"/>
      <c r="F60" s="219"/>
      <c r="G60" s="219"/>
      <c r="H60" s="219"/>
      <c r="I60" s="219"/>
      <c r="J60" s="219"/>
      <c r="K60" s="219"/>
      <c r="L60" s="219"/>
      <c r="M60" s="219"/>
      <c r="N60" s="219"/>
      <c r="O60" s="219"/>
      <c r="P60" s="219"/>
      <c r="Q60" s="219"/>
      <c r="R60" s="219"/>
      <c r="S60" s="220"/>
      <c r="V60" s="217"/>
      <c r="W60" s="217"/>
      <c r="X60" s="218"/>
      <c r="Y60" s="221"/>
      <c r="Z60" s="221"/>
      <c r="AA60" s="221"/>
      <c r="AB60" s="221"/>
      <c r="AC60" s="221"/>
      <c r="AD60" s="221"/>
      <c r="AE60" s="221"/>
      <c r="AF60" s="221"/>
      <c r="AG60" s="221"/>
      <c r="AH60" s="221"/>
      <c r="AI60" s="221"/>
      <c r="AJ60" s="221"/>
      <c r="AK60" s="221"/>
      <c r="AL60" s="221"/>
      <c r="AM60" s="222"/>
      <c r="AP60" s="59"/>
    </row>
    <row r="61" customFormat="false" ht="14.5" hidden="false" customHeight="false" outlineLevel="0" collapsed="false">
      <c r="B61" s="211" t="n">
        <v>2019</v>
      </c>
      <c r="C61" s="211" t="s">
        <v>469</v>
      </c>
      <c r="D61" s="212" t="s">
        <v>498</v>
      </c>
      <c r="E61" s="213" t="n">
        <v>0.004</v>
      </c>
      <c r="F61" s="213"/>
      <c r="G61" s="213" t="n">
        <v>0.028</v>
      </c>
      <c r="H61" s="213" t="n">
        <v>0.25</v>
      </c>
      <c r="I61" s="213" t="n">
        <v>0</v>
      </c>
      <c r="J61" s="213" t="n">
        <v>0</v>
      </c>
      <c r="K61" s="213" t="n">
        <v>0</v>
      </c>
      <c r="L61" s="213" t="n">
        <v>0</v>
      </c>
      <c r="M61" s="213"/>
      <c r="N61" s="213" t="n">
        <v>0</v>
      </c>
      <c r="O61" s="213" t="n">
        <v>0.71</v>
      </c>
      <c r="P61" s="213" t="n">
        <v>0</v>
      </c>
      <c r="Q61" s="213" t="n">
        <v>0.008</v>
      </c>
      <c r="R61" s="213" t="n">
        <v>0</v>
      </c>
      <c r="S61" s="214" t="n">
        <v>1</v>
      </c>
      <c r="V61" s="211" t="s">
        <v>469</v>
      </c>
      <c r="W61" s="211" t="n">
        <v>2019</v>
      </c>
      <c r="X61" s="212" t="s">
        <v>498</v>
      </c>
      <c r="Y61" s="223" t="n">
        <f aca="false">INDEX(X$11:X$35,MATCH($V61,$V$11:$V$35,0))/INDEX($AL$11:$AL$35,MATCH($V61,$V$11:$V$35,0))</f>
        <v>0.004</v>
      </c>
      <c r="Z61" s="223" t="n">
        <f aca="false">INDEX(Y$11:Y$35,MATCH($V61,$V$11:$V$35,0))/INDEX($AL$11:$AL$35,MATCH($V61,$V$11:$V$35,0))</f>
        <v>0</v>
      </c>
      <c r="AA61" s="223" t="n">
        <f aca="false">INDEX(Z$11:Z$35,MATCH($V61,$V$11:$V$35,0))/INDEX($AL$11:$AL$35,MATCH($V61,$V$11:$V$35,0))</f>
        <v>0.028</v>
      </c>
      <c r="AB61" s="223" t="n">
        <f aca="false">INDEX(AA$11:AA$35,MATCH($V61,$V$11:$V$35,0))/INDEX($AL$11:$AL$35,MATCH($V61,$V$11:$V$35,0))</f>
        <v>0.25</v>
      </c>
      <c r="AC61" s="223" t="n">
        <f aca="false">INDEX(AB$11:AB$35,MATCH($V61,$V$11:$V$35,0))/INDEX($AL$11:$AL$35,MATCH($V61,$V$11:$V$35,0))</f>
        <v>0</v>
      </c>
      <c r="AD61" s="223" t="n">
        <f aca="false">INDEX(AC$11:AC$35,MATCH($V61,$V$11:$V$35,0))/INDEX($AL$11:$AL$35,MATCH($V61,$V$11:$V$35,0))</f>
        <v>0</v>
      </c>
      <c r="AE61" s="223" t="n">
        <f aca="false">INDEX(AD$11:AD$35,MATCH($V61,$V$11:$V$35,0))/INDEX($AL$11:$AL$35,MATCH($V61,$V$11:$V$35,0))</f>
        <v>0</v>
      </c>
      <c r="AF61" s="223" t="n">
        <f aca="false">INDEX(AE$11:AE$35,MATCH($V61,$V$11:$V$35,0))/INDEX($AL$11:$AL$35,MATCH($V61,$V$11:$V$35,0))</f>
        <v>0</v>
      </c>
      <c r="AG61" s="223" t="n">
        <f aca="false">INDEX(AF$11:AF$35,MATCH($V61,$V$11:$V$35,0))/INDEX($AL$11:$AL$35,MATCH($V61,$V$11:$V$35,0))</f>
        <v>0</v>
      </c>
      <c r="AH61" s="223" t="n">
        <f aca="false">INDEX(AG$11:AG$35,MATCH($V61,$V$11:$V$35,0))/INDEX($AL$11:$AL$35,MATCH($V61,$V$11:$V$35,0))</f>
        <v>0</v>
      </c>
      <c r="AI61" s="223" t="n">
        <f aca="false">INDEX(AH$11:AH$35,MATCH($V61,$V$11:$V$35,0))/INDEX($AL$11:$AL$35,MATCH($V61,$V$11:$V$35,0))</f>
        <v>0.71</v>
      </c>
      <c r="AJ61" s="223" t="n">
        <f aca="false">INDEX(AI$11:AI$35,MATCH($V61,$V$11:$V$35,0))/INDEX($AL$11:$AL$35,MATCH($V61,$V$11:$V$35,0))</f>
        <v>0</v>
      </c>
      <c r="AK61" s="223" t="n">
        <f aca="false">INDEX(AJ$11:AJ$35,MATCH($V61,$V$11:$V$35,0))/INDEX($AL$11:$AL$35,MATCH($V61,$V$11:$V$35,0))</f>
        <v>0</v>
      </c>
      <c r="AL61" s="223" t="n">
        <f aca="false">INDEX(AK$11:AK$35,MATCH($V61,$V$11:$V$35,0))/INDEX($AL$11:$AL$35,MATCH($V61,$V$11:$V$35,0))</f>
        <v>0</v>
      </c>
      <c r="AM61" s="208" t="n">
        <f aca="false">INDEX(AL$11:AL$35,MATCH($V61,$V$11:$V$35,0))/INDEX($AL$11:$AL$35,MATCH($V61,$V$11:$V$35,0))</f>
        <v>1</v>
      </c>
      <c r="AP61" s="59" t="s">
        <v>506</v>
      </c>
    </row>
    <row r="62" customFormat="false" ht="14.5" hidden="false" customHeight="false" outlineLevel="0" collapsed="false">
      <c r="B62" s="211" t="n">
        <v>2030</v>
      </c>
      <c r="C62" s="211" t="s">
        <v>469</v>
      </c>
      <c r="D62" s="212" t="s">
        <v>498</v>
      </c>
      <c r="E62" s="213" t="n">
        <v>0</v>
      </c>
      <c r="F62" s="213"/>
      <c r="G62" s="213" t="n">
        <v>0.01</v>
      </c>
      <c r="H62" s="213" t="n">
        <v>0.19</v>
      </c>
      <c r="I62" s="213" t="n">
        <v>0</v>
      </c>
      <c r="J62" s="213" t="n">
        <v>0</v>
      </c>
      <c r="K62" s="213" t="n">
        <v>0</v>
      </c>
      <c r="L62" s="213" t="n">
        <v>0</v>
      </c>
      <c r="M62" s="213" t="n">
        <v>0</v>
      </c>
      <c r="N62" s="213" t="n">
        <v>0</v>
      </c>
      <c r="O62" s="213" t="n">
        <v>0.79</v>
      </c>
      <c r="P62" s="213" t="n">
        <v>0</v>
      </c>
      <c r="Q62" s="213" t="n">
        <v>0.01</v>
      </c>
      <c r="R62" s="213" t="n">
        <v>0</v>
      </c>
      <c r="S62" s="214" t="n">
        <v>1</v>
      </c>
      <c r="V62" s="211" t="s">
        <v>469</v>
      </c>
      <c r="W62" s="211" t="n">
        <v>2030</v>
      </c>
      <c r="X62" s="212" t="s">
        <v>498</v>
      </c>
      <c r="Y62" s="223" t="n">
        <f aca="false">E62</f>
        <v>0</v>
      </c>
      <c r="Z62" s="223"/>
      <c r="AA62" s="223" t="n">
        <f aca="false">G62</f>
        <v>0.01</v>
      </c>
      <c r="AB62" s="223" t="n">
        <f aca="false">H62</f>
        <v>0.19</v>
      </c>
      <c r="AC62" s="223" t="n">
        <f aca="false">I62</f>
        <v>0</v>
      </c>
      <c r="AD62" s="223" t="n">
        <f aca="false">J62</f>
        <v>0</v>
      </c>
      <c r="AE62" s="223" t="n">
        <f aca="false">K62</f>
        <v>0</v>
      </c>
      <c r="AF62" s="223" t="n">
        <f aca="false">L62</f>
        <v>0</v>
      </c>
      <c r="AG62" s="223" t="n">
        <f aca="false">M62</f>
        <v>0</v>
      </c>
      <c r="AH62" s="223" t="n">
        <f aca="false">N62</f>
        <v>0</v>
      </c>
      <c r="AI62" s="223" t="n">
        <f aca="false">O62</f>
        <v>0.79</v>
      </c>
      <c r="AJ62" s="223" t="n">
        <f aca="false">P62</f>
        <v>0</v>
      </c>
      <c r="AK62" s="223" t="n">
        <f aca="false">Q62</f>
        <v>0.01</v>
      </c>
      <c r="AL62" s="223" t="n">
        <f aca="false">R62</f>
        <v>0</v>
      </c>
      <c r="AM62" s="208" t="n">
        <f aca="false">SUM(Y62:AL62)</f>
        <v>1</v>
      </c>
      <c r="AP62" s="59"/>
    </row>
    <row r="63" customFormat="false" ht="14.5" hidden="false" customHeight="false" outlineLevel="0" collapsed="false">
      <c r="B63" s="211" t="n">
        <v>2050</v>
      </c>
      <c r="C63" s="211" t="s">
        <v>469</v>
      </c>
      <c r="D63" s="212" t="s">
        <v>498</v>
      </c>
      <c r="E63" s="213" t="n">
        <v>0</v>
      </c>
      <c r="F63" s="213"/>
      <c r="G63" s="213" t="n">
        <v>0</v>
      </c>
      <c r="H63" s="213" t="n">
        <v>0.120723236835815</v>
      </c>
      <c r="I63" s="213" t="n">
        <v>0</v>
      </c>
      <c r="J63" s="213" t="n">
        <v>0</v>
      </c>
      <c r="K63" s="213" t="n">
        <v>0</v>
      </c>
      <c r="L63" s="213" t="n">
        <v>0</v>
      </c>
      <c r="M63" s="213" t="n">
        <v>0</v>
      </c>
      <c r="N63" s="213" t="n">
        <v>0</v>
      </c>
      <c r="O63" s="213" t="n">
        <v>0.871113704245312</v>
      </c>
      <c r="P63" s="213" t="n">
        <v>0</v>
      </c>
      <c r="Q63" s="213" t="n">
        <v>0.01</v>
      </c>
      <c r="R63" s="213" t="n">
        <v>0</v>
      </c>
      <c r="S63" s="214" t="n">
        <v>1.00183694108113</v>
      </c>
      <c r="V63" s="211" t="s">
        <v>469</v>
      </c>
      <c r="W63" s="211" t="n">
        <v>2050</v>
      </c>
      <c r="X63" s="212" t="s">
        <v>498</v>
      </c>
      <c r="Y63" s="223" t="n">
        <f aca="false">E63</f>
        <v>0</v>
      </c>
      <c r="Z63" s="223"/>
      <c r="AA63" s="223" t="n">
        <f aca="false">G63</f>
        <v>0</v>
      </c>
      <c r="AB63" s="223" t="n">
        <v>0.12</v>
      </c>
      <c r="AC63" s="223" t="n">
        <f aca="false">I63</f>
        <v>0</v>
      </c>
      <c r="AD63" s="223" t="n">
        <f aca="false">J63</f>
        <v>0</v>
      </c>
      <c r="AE63" s="223" t="n">
        <f aca="false">K63</f>
        <v>0</v>
      </c>
      <c r="AF63" s="223" t="n">
        <f aca="false">L63</f>
        <v>0</v>
      </c>
      <c r="AG63" s="223" t="n">
        <f aca="false">M63</f>
        <v>0</v>
      </c>
      <c r="AH63" s="223" t="n">
        <f aca="false">N63</f>
        <v>0</v>
      </c>
      <c r="AI63" s="223" t="n">
        <v>0.87</v>
      </c>
      <c r="AJ63" s="223" t="n">
        <f aca="false">P63</f>
        <v>0</v>
      </c>
      <c r="AK63" s="223" t="n">
        <f aca="false">Q63</f>
        <v>0.01</v>
      </c>
      <c r="AL63" s="223" t="n">
        <f aca="false">R63</f>
        <v>0</v>
      </c>
      <c r="AM63" s="208" t="n">
        <f aca="false">SUM(Y63:AL63)</f>
        <v>1</v>
      </c>
      <c r="AP63" s="59"/>
    </row>
    <row r="64" customFormat="false" ht="14.5" hidden="false" customHeight="false" outlineLevel="0" collapsed="false">
      <c r="C64" s="217"/>
      <c r="D64" s="218"/>
      <c r="E64" s="219"/>
      <c r="F64" s="219"/>
      <c r="G64" s="219"/>
      <c r="H64" s="219"/>
      <c r="I64" s="219"/>
      <c r="J64" s="219"/>
      <c r="K64" s="219"/>
      <c r="L64" s="219"/>
      <c r="M64" s="219"/>
      <c r="N64" s="219"/>
      <c r="O64" s="219"/>
      <c r="P64" s="219"/>
      <c r="Q64" s="219"/>
      <c r="R64" s="219"/>
      <c r="S64" s="220"/>
      <c r="V64" s="217"/>
      <c r="W64" s="217"/>
      <c r="X64" s="218"/>
      <c r="Y64" s="221"/>
      <c r="Z64" s="221"/>
      <c r="AA64" s="221"/>
      <c r="AB64" s="221"/>
      <c r="AC64" s="221"/>
      <c r="AD64" s="221"/>
      <c r="AE64" s="221"/>
      <c r="AF64" s="221"/>
      <c r="AG64" s="221"/>
      <c r="AH64" s="221"/>
      <c r="AI64" s="221"/>
      <c r="AJ64" s="221"/>
      <c r="AK64" s="221"/>
      <c r="AL64" s="221"/>
      <c r="AM64" s="222"/>
      <c r="AP64" s="59"/>
    </row>
    <row r="65" customFormat="false" ht="14.5" hidden="false" customHeight="false" outlineLevel="0" collapsed="false">
      <c r="B65" s="211" t="n">
        <v>2019</v>
      </c>
      <c r="C65" s="211" t="s">
        <v>471</v>
      </c>
      <c r="D65" s="212" t="s">
        <v>498</v>
      </c>
      <c r="E65" s="213" t="n">
        <v>0</v>
      </c>
      <c r="F65" s="213"/>
      <c r="G65" s="213" t="n">
        <v>0</v>
      </c>
      <c r="H65" s="224" t="n">
        <v>0.9</v>
      </c>
      <c r="I65" s="213" t="n">
        <v>0</v>
      </c>
      <c r="J65" s="213" t="n">
        <v>0</v>
      </c>
      <c r="K65" s="213" t="n">
        <v>0</v>
      </c>
      <c r="L65" s="213" t="n">
        <v>0</v>
      </c>
      <c r="M65" s="213"/>
      <c r="N65" s="213" t="n">
        <v>0</v>
      </c>
      <c r="O65" s="224" t="n">
        <v>0.1</v>
      </c>
      <c r="P65" s="213" t="n">
        <v>0</v>
      </c>
      <c r="Q65" s="213" t="n">
        <v>0</v>
      </c>
      <c r="R65" s="213" t="n">
        <v>0</v>
      </c>
      <c r="S65" s="214" t="n">
        <v>1</v>
      </c>
      <c r="V65" s="211" t="s">
        <v>471</v>
      </c>
      <c r="W65" s="211" t="n">
        <v>2019</v>
      </c>
      <c r="X65" s="212" t="s">
        <v>498</v>
      </c>
      <c r="Y65" s="215" t="n">
        <f aca="false">INDEX(X$11:X$35,MATCH($V65,$V$11:$V$35,0))/INDEX($AL$11:$AL$35,MATCH($V65,$V$11:$V$35,0))</f>
        <v>0</v>
      </c>
      <c r="Z65" s="215" t="n">
        <f aca="false">INDEX(Y$11:Y$35,MATCH($V65,$V$11:$V$35,0))/INDEX($AL$11:$AL$35,MATCH($V65,$V$11:$V$35,0))</f>
        <v>0</v>
      </c>
      <c r="AA65" s="215" t="n">
        <f aca="false">INDEX(Z$11:Z$35,MATCH($V65,$V$11:$V$35,0))/INDEX($AL$11:$AL$35,MATCH($V65,$V$11:$V$35,0))</f>
        <v>0.0246193395293652</v>
      </c>
      <c r="AB65" s="215" t="n">
        <f aca="false">INDEX(AA$11:AA$35,MATCH($V65,$V$11:$V$35,0))/INDEX($AL$11:$AL$35,MATCH($V65,$V$11:$V$35,0))</f>
        <v>0.639905082064465</v>
      </c>
      <c r="AC65" s="215" t="n">
        <f aca="false">INDEX(AB$11:AB$35,MATCH($V65,$V$11:$V$35,0))/INDEX($AL$11:$AL$35,MATCH($V65,$V$11:$V$35,0))</f>
        <v>0</v>
      </c>
      <c r="AD65" s="215" t="n">
        <f aca="false">INDEX(AC$11:AC$35,MATCH($V65,$V$11:$V$35,0))/INDEX($AL$11:$AL$35,MATCH($V65,$V$11:$V$35,0))</f>
        <v>0</v>
      </c>
      <c r="AE65" s="215" t="n">
        <f aca="false">INDEX(AD$11:AD$35,MATCH($V65,$V$11:$V$35,0))/INDEX($AL$11:$AL$35,MATCH($V65,$V$11:$V$35,0))</f>
        <v>0</v>
      </c>
      <c r="AF65" s="215" t="n">
        <f aca="false">INDEX(AE$11:AE$35,MATCH($V65,$V$11:$V$35,0))/INDEX($AL$11:$AL$35,MATCH($V65,$V$11:$V$35,0))</f>
        <v>0</v>
      </c>
      <c r="AG65" s="215" t="n">
        <f aca="false">INDEX(AF$11:AF$35,MATCH($V65,$V$11:$V$35,0))/INDEX($AL$11:$AL$35,MATCH($V65,$V$11:$V$35,0))</f>
        <v>0</v>
      </c>
      <c r="AH65" s="215" t="n">
        <f aca="false">INDEX(AG$11:AG$35,MATCH($V65,$V$11:$V$35,0))/INDEX($AL$11:$AL$35,MATCH($V65,$V$11:$V$35,0))</f>
        <v>0</v>
      </c>
      <c r="AI65" s="215" t="n">
        <f aca="false">INDEX(AH$11:AH$35,MATCH($V65,$V$11:$V$35,0))/INDEX($AL$11:$AL$35,MATCH($V65,$V$11:$V$35,0))</f>
        <v>0.33547557840617</v>
      </c>
      <c r="AJ65" s="215" t="n">
        <f aca="false">INDEX(AI$11:AI$35,MATCH($V65,$V$11:$V$35,0))/INDEX($AL$11:$AL$35,MATCH($V65,$V$11:$V$35,0))</f>
        <v>0</v>
      </c>
      <c r="AK65" s="215" t="n">
        <f aca="false">INDEX(AJ$11:AJ$35,MATCH($V65,$V$11:$V$35,0))/INDEX($AL$11:$AL$35,MATCH($V65,$V$11:$V$35,0))</f>
        <v>0</v>
      </c>
      <c r="AL65" s="215" t="n">
        <f aca="false">INDEX(AK$11:AK$35,MATCH($V65,$V$11:$V$35,0))/INDEX($AL$11:$AL$35,MATCH($V65,$V$11:$V$35,0))</f>
        <v>0</v>
      </c>
      <c r="AM65" s="208" t="n">
        <f aca="false">INDEX(AL$11:AL$35,MATCH($V65,$V$11:$V$35,0))/INDEX($AL$11:$AL$35,MATCH($V65,$V$11:$V$35,0))</f>
        <v>1</v>
      </c>
      <c r="AP65" s="59" t="s">
        <v>507</v>
      </c>
    </row>
    <row r="66" customFormat="false" ht="14.5" hidden="false" customHeight="false" outlineLevel="0" collapsed="false">
      <c r="B66" s="211" t="n">
        <v>2030</v>
      </c>
      <c r="C66" s="211" t="s">
        <v>471</v>
      </c>
      <c r="D66" s="212" t="s">
        <v>498</v>
      </c>
      <c r="E66" s="213" t="n">
        <v>0</v>
      </c>
      <c r="F66" s="213"/>
      <c r="G66" s="213" t="n">
        <v>0</v>
      </c>
      <c r="H66" s="213" t="n">
        <v>0.827842991510062</v>
      </c>
      <c r="I66" s="213" t="n">
        <v>0</v>
      </c>
      <c r="J66" s="213" t="n">
        <v>0</v>
      </c>
      <c r="K66" s="213" t="n">
        <v>0</v>
      </c>
      <c r="L66" s="213" t="n">
        <v>0</v>
      </c>
      <c r="M66" s="213" t="n">
        <v>0</v>
      </c>
      <c r="N66" s="213" t="n">
        <v>0</v>
      </c>
      <c r="O66" s="213" t="n">
        <v>0.172157008489938</v>
      </c>
      <c r="P66" s="213" t="n">
        <v>0</v>
      </c>
      <c r="Q66" s="213" t="n">
        <v>0</v>
      </c>
      <c r="R66" s="213" t="n">
        <v>0</v>
      </c>
      <c r="S66" s="214" t="n">
        <v>1</v>
      </c>
      <c r="V66" s="211" t="s">
        <v>471</v>
      </c>
      <c r="W66" s="211" t="n">
        <v>2030</v>
      </c>
      <c r="X66" s="212" t="s">
        <v>498</v>
      </c>
      <c r="Y66" s="215" t="n">
        <f aca="false">E66</f>
        <v>0</v>
      </c>
      <c r="Z66" s="215"/>
      <c r="AA66" s="215" t="n">
        <f aca="false">G66</f>
        <v>0</v>
      </c>
      <c r="AB66" s="215" t="n">
        <v>0.5</v>
      </c>
      <c r="AC66" s="215" t="n">
        <f aca="false">I66</f>
        <v>0</v>
      </c>
      <c r="AD66" s="215" t="n">
        <f aca="false">J66</f>
        <v>0</v>
      </c>
      <c r="AE66" s="215" t="n">
        <f aca="false">K66</f>
        <v>0</v>
      </c>
      <c r="AF66" s="215" t="n">
        <f aca="false">L66</f>
        <v>0</v>
      </c>
      <c r="AG66" s="215" t="n">
        <f aca="false">M66</f>
        <v>0</v>
      </c>
      <c r="AH66" s="215" t="n">
        <f aca="false">N66</f>
        <v>0</v>
      </c>
      <c r="AI66" s="215" t="n">
        <v>0.5</v>
      </c>
      <c r="AJ66" s="215" t="n">
        <f aca="false">P66</f>
        <v>0</v>
      </c>
      <c r="AK66" s="215" t="n">
        <f aca="false">Q66</f>
        <v>0</v>
      </c>
      <c r="AL66" s="215" t="n">
        <f aca="false">R66</f>
        <v>0</v>
      </c>
      <c r="AM66" s="208" t="n">
        <f aca="false">SUM(Y66:AL66)</f>
        <v>1</v>
      </c>
      <c r="AP66" s="59" t="s">
        <v>508</v>
      </c>
    </row>
    <row r="67" customFormat="false" ht="14.5" hidden="false" customHeight="false" outlineLevel="0" collapsed="false">
      <c r="B67" s="211" t="n">
        <v>2050</v>
      </c>
      <c r="C67" s="211" t="s">
        <v>471</v>
      </c>
      <c r="D67" s="212" t="s">
        <v>498</v>
      </c>
      <c r="E67" s="213" t="n">
        <v>0</v>
      </c>
      <c r="F67" s="213"/>
      <c r="G67" s="213" t="n">
        <v>0</v>
      </c>
      <c r="H67" s="213" t="n">
        <v>0.758566228345877</v>
      </c>
      <c r="I67" s="213" t="n">
        <v>0</v>
      </c>
      <c r="J67" s="213" t="n">
        <v>0</v>
      </c>
      <c r="K67" s="213" t="n">
        <v>0</v>
      </c>
      <c r="L67" s="213" t="n">
        <v>0</v>
      </c>
      <c r="M67" s="213" t="n">
        <v>0</v>
      </c>
      <c r="N67" s="213" t="n">
        <v>0</v>
      </c>
      <c r="O67" s="213" t="n">
        <v>0.241433771654123</v>
      </c>
      <c r="P67" s="213" t="n">
        <v>0</v>
      </c>
      <c r="Q67" s="213" t="n">
        <v>0</v>
      </c>
      <c r="R67" s="213" t="n">
        <v>0</v>
      </c>
      <c r="S67" s="214" t="n">
        <v>1</v>
      </c>
      <c r="V67" s="211" t="s">
        <v>471</v>
      </c>
      <c r="W67" s="211" t="n">
        <v>2050</v>
      </c>
      <c r="X67" s="212" t="s">
        <v>498</v>
      </c>
      <c r="Y67" s="215" t="n">
        <f aca="false">E67</f>
        <v>0</v>
      </c>
      <c r="Z67" s="215"/>
      <c r="AA67" s="215" t="n">
        <f aca="false">G67</f>
        <v>0</v>
      </c>
      <c r="AB67" s="215" t="n">
        <v>0.25</v>
      </c>
      <c r="AC67" s="215" t="n">
        <f aca="false">I67</f>
        <v>0</v>
      </c>
      <c r="AD67" s="215" t="n">
        <f aca="false">J67</f>
        <v>0</v>
      </c>
      <c r="AE67" s="215" t="n">
        <f aca="false">K67</f>
        <v>0</v>
      </c>
      <c r="AF67" s="215" t="n">
        <f aca="false">L67</f>
        <v>0</v>
      </c>
      <c r="AG67" s="215" t="n">
        <f aca="false">M67</f>
        <v>0</v>
      </c>
      <c r="AH67" s="215" t="n">
        <f aca="false">N67</f>
        <v>0</v>
      </c>
      <c r="AI67" s="215" t="n">
        <f aca="false">75%</f>
        <v>0.75</v>
      </c>
      <c r="AJ67" s="215" t="n">
        <f aca="false">P67</f>
        <v>0</v>
      </c>
      <c r="AK67" s="215" t="n">
        <f aca="false">Q67</f>
        <v>0</v>
      </c>
      <c r="AL67" s="215" t="n">
        <f aca="false">R67</f>
        <v>0</v>
      </c>
      <c r="AM67" s="208" t="n">
        <f aca="false">SUM(Y67:AL67)</f>
        <v>1</v>
      </c>
      <c r="AP67" s="59"/>
    </row>
    <row r="68" customFormat="false" ht="14.5" hidden="false" customHeight="false" outlineLevel="0" collapsed="false">
      <c r="C68" s="217"/>
      <c r="D68" s="218"/>
      <c r="E68" s="219"/>
      <c r="F68" s="219"/>
      <c r="G68" s="219"/>
      <c r="H68" s="219"/>
      <c r="I68" s="219"/>
      <c r="J68" s="219"/>
      <c r="K68" s="219"/>
      <c r="L68" s="219"/>
      <c r="M68" s="219"/>
      <c r="N68" s="219"/>
      <c r="O68" s="219"/>
      <c r="P68" s="219"/>
      <c r="Q68" s="219"/>
      <c r="R68" s="219"/>
      <c r="S68" s="220"/>
      <c r="V68" s="217"/>
      <c r="W68" s="217"/>
      <c r="X68" s="218"/>
      <c r="Y68" s="221"/>
      <c r="Z68" s="221"/>
      <c r="AA68" s="221"/>
      <c r="AB68" s="221"/>
      <c r="AC68" s="221"/>
      <c r="AD68" s="221"/>
      <c r="AE68" s="221"/>
      <c r="AF68" s="221"/>
      <c r="AG68" s="221"/>
      <c r="AH68" s="221"/>
      <c r="AI68" s="221"/>
      <c r="AJ68" s="221"/>
      <c r="AK68" s="221"/>
      <c r="AL68" s="221"/>
      <c r="AM68" s="222"/>
      <c r="AP68" s="59"/>
    </row>
    <row r="69" customFormat="false" ht="14.5" hidden="false" customHeight="false" outlineLevel="0" collapsed="false">
      <c r="B69" s="211" t="n">
        <v>2019</v>
      </c>
      <c r="C69" s="211" t="s">
        <v>473</v>
      </c>
      <c r="D69" s="212" t="s">
        <v>498</v>
      </c>
      <c r="E69" s="213" t="n">
        <v>0.000220389913911493</v>
      </c>
      <c r="F69" s="213"/>
      <c r="G69" s="213" t="n">
        <v>0.166835456962417</v>
      </c>
      <c r="H69" s="213" t="n">
        <v>0.157128528851314</v>
      </c>
      <c r="I69" s="213" t="n">
        <v>0.000220389913911493</v>
      </c>
      <c r="J69" s="213" t="n">
        <v>0</v>
      </c>
      <c r="K69" s="213" t="n">
        <v>0</v>
      </c>
      <c r="L69" s="213" t="n">
        <v>0</v>
      </c>
      <c r="M69" s="213"/>
      <c r="N69" s="213" t="n">
        <v>0</v>
      </c>
      <c r="O69" s="213" t="n">
        <v>0.675599380753927</v>
      </c>
      <c r="P69" s="213" t="n">
        <v>0</v>
      </c>
      <c r="Q69" s="213" t="n">
        <v>0</v>
      </c>
      <c r="R69" s="213" t="n">
        <v>0</v>
      </c>
      <c r="S69" s="214" t="n">
        <v>1.00000414639548</v>
      </c>
      <c r="V69" s="211" t="s">
        <v>473</v>
      </c>
      <c r="W69" s="211" t="n">
        <v>2019</v>
      </c>
      <c r="X69" s="212" t="s">
        <v>498</v>
      </c>
      <c r="Y69" s="215" t="n">
        <f aca="false">INDEX(X$11:X$35,MATCH($V69,$V$11:$V$35,0))/INDEX($AL$11:$AL$35,MATCH($V69,$V$11:$V$35,0))</f>
        <v>0.000265209318614752</v>
      </c>
      <c r="Z69" s="215" t="n">
        <f aca="false">INDEX(Y$11:Y$35,MATCH($V69,$V$11:$V$35,0))/INDEX($AL$11:$AL$35,MATCH($V69,$V$11:$V$35,0))</f>
        <v>0</v>
      </c>
      <c r="AA69" s="215" t="n">
        <f aca="false">INDEX(Z$11:Z$35,MATCH($V69,$V$11:$V$35,0))/INDEX($AL$11:$AL$35,MATCH($V69,$V$11:$V$35,0))</f>
        <v>0.195162513110024</v>
      </c>
      <c r="AB69" s="215" t="n">
        <f aca="false">INDEX(AA$11:AA$35,MATCH($V69,$V$11:$V$35,0))/INDEX($AL$11:$AL$35,MATCH($V69,$V$11:$V$35,0))</f>
        <v>0.0871680724973376</v>
      </c>
      <c r="AC69" s="215" t="n">
        <f aca="false">INDEX(AB$11:AB$35,MATCH($V69,$V$11:$V$35,0))/INDEX($AL$11:$AL$35,MATCH($V69,$V$11:$V$35,0))</f>
        <v>0.000265209318614752</v>
      </c>
      <c r="AD69" s="215" t="n">
        <f aca="false">INDEX(AC$11:AC$35,MATCH($V69,$V$11:$V$35,0))/INDEX($AL$11:$AL$35,MATCH($V69,$V$11:$V$35,0))</f>
        <v>0</v>
      </c>
      <c r="AE69" s="215" t="n">
        <f aca="false">INDEX(AD$11:AD$35,MATCH($V69,$V$11:$V$35,0))/INDEX($AL$11:$AL$35,MATCH($V69,$V$11:$V$35,0))</f>
        <v>0</v>
      </c>
      <c r="AF69" s="215" t="n">
        <f aca="false">INDEX(AE$11:AE$35,MATCH($V69,$V$11:$V$35,0))/INDEX($AL$11:$AL$35,MATCH($V69,$V$11:$V$35,0))</f>
        <v>0</v>
      </c>
      <c r="AG69" s="215" t="n">
        <f aca="false">INDEX(AF$11:AF$35,MATCH($V69,$V$11:$V$35,0))/INDEX($AL$11:$AL$35,MATCH($V69,$V$11:$V$35,0))</f>
        <v>0</v>
      </c>
      <c r="AH69" s="215" t="n">
        <f aca="false">INDEX(AG$11:AG$35,MATCH($V69,$V$11:$V$35,0))/INDEX($AL$11:$AL$35,MATCH($V69,$V$11:$V$35,0))</f>
        <v>0</v>
      </c>
      <c r="AI69" s="215" t="n">
        <f aca="false">INDEX(AH$11:AH$35,MATCH($V69,$V$11:$V$35,0))/INDEX($AL$11:$AL$35,MATCH($V69,$V$11:$V$35,0))</f>
        <v>0.728566484469445</v>
      </c>
      <c r="AJ69" s="215" t="n">
        <f aca="false">INDEX(AI$11:AI$35,MATCH($V69,$V$11:$V$35,0))/INDEX($AL$11:$AL$35,MATCH($V69,$V$11:$V$35,0))</f>
        <v>0</v>
      </c>
      <c r="AK69" s="215" t="n">
        <f aca="false">INDEX(AJ$11:AJ$35,MATCH($V69,$V$11:$V$35,0))/INDEX($AL$11:$AL$35,MATCH($V69,$V$11:$V$35,0))</f>
        <v>0</v>
      </c>
      <c r="AL69" s="215" t="n">
        <f aca="false">INDEX(AK$11:AK$35,MATCH($V69,$V$11:$V$35,0))/INDEX($AL$11:$AL$35,MATCH($V69,$V$11:$V$35,0))</f>
        <v>0</v>
      </c>
      <c r="AM69" s="208" t="n">
        <f aca="false">INDEX(AL$11:AL$35,MATCH($V69,$V$11:$V$35,0))/INDEX($AL$11:$AL$35,MATCH($V69,$V$11:$V$35,0))</f>
        <v>1</v>
      </c>
      <c r="AP69" s="59" t="s">
        <v>509</v>
      </c>
    </row>
    <row r="70" customFormat="false" ht="14.5" hidden="false" customHeight="false" outlineLevel="0" collapsed="false">
      <c r="B70" s="211" t="n">
        <v>2030</v>
      </c>
      <c r="C70" s="211" t="s">
        <v>473</v>
      </c>
      <c r="D70" s="212" t="s">
        <v>498</v>
      </c>
      <c r="E70" s="213" t="n">
        <v>0</v>
      </c>
      <c r="F70" s="213"/>
      <c r="G70" s="213" t="n">
        <v>0.08</v>
      </c>
      <c r="H70" s="213" t="n">
        <v>0.1</v>
      </c>
      <c r="I70" s="213" t="n">
        <v>0</v>
      </c>
      <c r="J70" s="213" t="n">
        <v>0</v>
      </c>
      <c r="K70" s="213" t="n">
        <v>0</v>
      </c>
      <c r="L70" s="213" t="n">
        <v>0</v>
      </c>
      <c r="M70" s="213" t="n">
        <v>0</v>
      </c>
      <c r="N70" s="213" t="n">
        <v>0</v>
      </c>
      <c r="O70" s="213" t="n">
        <v>0.69</v>
      </c>
      <c r="P70" s="213" t="n">
        <v>0</v>
      </c>
      <c r="Q70" s="213" t="n">
        <v>0</v>
      </c>
      <c r="R70" s="213" t="n">
        <v>0.13</v>
      </c>
      <c r="S70" s="214" t="n">
        <v>1</v>
      </c>
      <c r="V70" s="211" t="s">
        <v>473</v>
      </c>
      <c r="W70" s="211" t="n">
        <v>2030</v>
      </c>
      <c r="X70" s="212" t="s">
        <v>498</v>
      </c>
      <c r="Y70" s="215" t="n">
        <f aca="false">E70</f>
        <v>0</v>
      </c>
      <c r="Z70" s="215"/>
      <c r="AA70" s="215" t="n">
        <f aca="false">10%</f>
        <v>0.1</v>
      </c>
      <c r="AB70" s="215" t="n">
        <f aca="false">AB69</f>
        <v>0.0871680724973376</v>
      </c>
      <c r="AC70" s="215" t="n">
        <v>0.03</v>
      </c>
      <c r="AD70" s="215" t="n">
        <f aca="false">J70</f>
        <v>0</v>
      </c>
      <c r="AE70" s="215" t="n">
        <f aca="false">K70</f>
        <v>0</v>
      </c>
      <c r="AF70" s="215" t="n">
        <f aca="false">L70</f>
        <v>0</v>
      </c>
      <c r="AG70" s="215" t="n">
        <f aca="false">M70</f>
        <v>0</v>
      </c>
      <c r="AH70" s="215" t="n">
        <f aca="false">N70</f>
        <v>0</v>
      </c>
      <c r="AI70" s="215" t="n">
        <f aca="false">1-SUM(Y70:AH70,AJ70:AL70)</f>
        <v>0.752831927502662</v>
      </c>
      <c r="AJ70" s="215" t="n">
        <f aca="false">P70</f>
        <v>0</v>
      </c>
      <c r="AK70" s="215" t="n">
        <f aca="false">Q70</f>
        <v>0</v>
      </c>
      <c r="AL70" s="215" t="n">
        <v>0.03</v>
      </c>
      <c r="AM70" s="208" t="n">
        <f aca="false">SUM(Y70:AL70)</f>
        <v>1</v>
      </c>
      <c r="AO70" s="216"/>
      <c r="AP70" s="59" t="s">
        <v>500</v>
      </c>
    </row>
    <row r="71" customFormat="false" ht="14.5" hidden="false" customHeight="false" outlineLevel="0" collapsed="false">
      <c r="B71" s="211" t="n">
        <v>2050</v>
      </c>
      <c r="C71" s="211" t="s">
        <v>473</v>
      </c>
      <c r="D71" s="212" t="s">
        <v>498</v>
      </c>
      <c r="E71" s="213" t="n">
        <v>0</v>
      </c>
      <c r="F71" s="213"/>
      <c r="G71" s="213" t="n">
        <v>0</v>
      </c>
      <c r="H71" s="213" t="n">
        <v>0.05</v>
      </c>
      <c r="I71" s="213" t="n">
        <v>0.02</v>
      </c>
      <c r="J71" s="213" t="n">
        <v>0</v>
      </c>
      <c r="K71" s="213" t="n">
        <v>0</v>
      </c>
      <c r="L71" s="213" t="n">
        <v>0</v>
      </c>
      <c r="M71" s="213" t="n">
        <v>0</v>
      </c>
      <c r="N71" s="213" t="n">
        <v>0</v>
      </c>
      <c r="O71" s="213" t="n">
        <v>0.675092566766244</v>
      </c>
      <c r="P71" s="213" t="n">
        <v>0</v>
      </c>
      <c r="Q71" s="213" t="n">
        <v>0</v>
      </c>
      <c r="R71" s="213" t="n">
        <v>0.254907433233756</v>
      </c>
      <c r="S71" s="214" t="n">
        <v>1</v>
      </c>
      <c r="V71" s="211" t="s">
        <v>473</v>
      </c>
      <c r="W71" s="211" t="n">
        <v>2050</v>
      </c>
      <c r="X71" s="212" t="s">
        <v>498</v>
      </c>
      <c r="Y71" s="215" t="n">
        <f aca="false">E71</f>
        <v>0</v>
      </c>
      <c r="Z71" s="215"/>
      <c r="AA71" s="215" t="n">
        <f aca="false">G71</f>
        <v>0</v>
      </c>
      <c r="AB71" s="215" t="n">
        <f aca="false">8%</f>
        <v>0.08</v>
      </c>
      <c r="AC71" s="215" t="n">
        <v>0.05</v>
      </c>
      <c r="AD71" s="215" t="n">
        <f aca="false">J71</f>
        <v>0</v>
      </c>
      <c r="AE71" s="215" t="n">
        <f aca="false">K71</f>
        <v>0</v>
      </c>
      <c r="AF71" s="215" t="n">
        <f aca="false">L71</f>
        <v>0</v>
      </c>
      <c r="AG71" s="215" t="n">
        <f aca="false">M71</f>
        <v>0</v>
      </c>
      <c r="AH71" s="215" t="n">
        <f aca="false">N71</f>
        <v>0</v>
      </c>
      <c r="AI71" s="215" t="n">
        <f aca="false">1-SUM(Y71:AH71,AJ71:AL71)</f>
        <v>0.79</v>
      </c>
      <c r="AJ71" s="215" t="n">
        <f aca="false">P71</f>
        <v>0</v>
      </c>
      <c r="AK71" s="215" t="n">
        <f aca="false">Q71</f>
        <v>0</v>
      </c>
      <c r="AL71" s="215" t="n">
        <v>0.08</v>
      </c>
      <c r="AM71" s="208" t="n">
        <f aca="false">SUM(Y71:AL71)</f>
        <v>1</v>
      </c>
      <c r="AP71" s="59"/>
    </row>
    <row r="72" customFormat="false" ht="14.5" hidden="false" customHeight="false" outlineLevel="0" collapsed="false">
      <c r="C72" s="217"/>
      <c r="D72" s="218"/>
      <c r="E72" s="219"/>
      <c r="F72" s="219"/>
      <c r="G72" s="219"/>
      <c r="H72" s="219"/>
      <c r="I72" s="219"/>
      <c r="J72" s="219"/>
      <c r="K72" s="219"/>
      <c r="L72" s="219"/>
      <c r="M72" s="219"/>
      <c r="N72" s="219"/>
      <c r="O72" s="219"/>
      <c r="P72" s="219"/>
      <c r="Q72" s="219"/>
      <c r="R72" s="219"/>
      <c r="S72" s="220"/>
      <c r="V72" s="217"/>
      <c r="W72" s="217"/>
      <c r="X72" s="218"/>
      <c r="Y72" s="221"/>
      <c r="Z72" s="221"/>
      <c r="AA72" s="221"/>
      <c r="AB72" s="221"/>
      <c r="AC72" s="221"/>
      <c r="AD72" s="221"/>
      <c r="AE72" s="221"/>
      <c r="AF72" s="221"/>
      <c r="AG72" s="221"/>
      <c r="AH72" s="221"/>
      <c r="AI72" s="221"/>
      <c r="AJ72" s="221"/>
      <c r="AK72" s="221"/>
      <c r="AL72" s="221"/>
      <c r="AM72" s="222"/>
      <c r="AP72" s="59"/>
    </row>
    <row r="73" customFormat="false" ht="14.5" hidden="false" customHeight="false" outlineLevel="0" collapsed="false">
      <c r="C73" s="206" t="s">
        <v>25</v>
      </c>
      <c r="D73" s="206"/>
      <c r="E73" s="225"/>
      <c r="F73" s="225"/>
      <c r="G73" s="225"/>
      <c r="H73" s="225"/>
      <c r="I73" s="225"/>
      <c r="J73" s="225"/>
      <c r="K73" s="225"/>
      <c r="L73" s="225"/>
      <c r="M73" s="225"/>
      <c r="N73" s="225"/>
      <c r="O73" s="225"/>
      <c r="P73" s="225"/>
      <c r="Q73" s="225"/>
      <c r="R73" s="225"/>
      <c r="S73" s="214"/>
      <c r="V73" s="209" t="s">
        <v>25</v>
      </c>
      <c r="W73" s="209"/>
      <c r="X73" s="209"/>
      <c r="Y73" s="207" t="s">
        <v>439</v>
      </c>
      <c r="Z73" s="207" t="s">
        <v>455</v>
      </c>
      <c r="AA73" s="207" t="s">
        <v>441</v>
      </c>
      <c r="AB73" s="207" t="s">
        <v>442</v>
      </c>
      <c r="AC73" s="207" t="s">
        <v>451</v>
      </c>
      <c r="AD73" s="207" t="s">
        <v>452</v>
      </c>
      <c r="AE73" s="207" t="s">
        <v>453</v>
      </c>
      <c r="AF73" s="207" t="s">
        <v>454</v>
      </c>
      <c r="AG73" s="207" t="s">
        <v>444</v>
      </c>
      <c r="AH73" s="207" t="s">
        <v>445</v>
      </c>
      <c r="AI73" s="207" t="s">
        <v>496</v>
      </c>
      <c r="AJ73" s="207" t="s">
        <v>456</v>
      </c>
      <c r="AK73" s="207" t="s">
        <v>447</v>
      </c>
      <c r="AL73" s="207" t="s">
        <v>448</v>
      </c>
      <c r="AM73" s="208" t="s">
        <v>52</v>
      </c>
      <c r="AP73" s="59"/>
    </row>
    <row r="74" customFormat="false" ht="14.5" hidden="false" customHeight="false" outlineLevel="0" collapsed="false">
      <c r="B74" s="211" t="n">
        <v>2019</v>
      </c>
      <c r="C74" s="211" t="s">
        <v>475</v>
      </c>
      <c r="D74" s="212" t="s">
        <v>498</v>
      </c>
      <c r="E74" s="213" t="n">
        <v>0</v>
      </c>
      <c r="F74" s="213"/>
      <c r="G74" s="213" t="n">
        <v>0.005</v>
      </c>
      <c r="H74" s="213" t="n">
        <v>0.93</v>
      </c>
      <c r="I74" s="213" t="n">
        <v>0.005</v>
      </c>
      <c r="J74" s="213" t="n">
        <v>0</v>
      </c>
      <c r="K74" s="213" t="n">
        <v>0</v>
      </c>
      <c r="L74" s="213" t="n">
        <v>0</v>
      </c>
      <c r="M74" s="213"/>
      <c r="N74" s="213" t="n">
        <v>0</v>
      </c>
      <c r="O74" s="213" t="n">
        <v>0.06</v>
      </c>
      <c r="P74" s="213" t="n">
        <v>0</v>
      </c>
      <c r="Q74" s="213" t="n">
        <v>0</v>
      </c>
      <c r="R74" s="213" t="n">
        <v>0</v>
      </c>
      <c r="S74" s="214" t="n">
        <v>1</v>
      </c>
      <c r="V74" s="211" t="s">
        <v>475</v>
      </c>
      <c r="W74" s="211" t="n">
        <v>2019</v>
      </c>
      <c r="X74" s="212" t="s">
        <v>498</v>
      </c>
      <c r="Y74" s="223" t="n">
        <f aca="false">INDEX(X$11:X$35,MATCH($V74,$V$11:$V$35,0))/INDEX($AL$11:$AL$35,MATCH($V74,$V$11:$V$35,0))</f>
        <v>0</v>
      </c>
      <c r="Z74" s="223" t="n">
        <f aca="false">INDEX(Y$11:Y$35,MATCH($V74,$V$11:$V$35,0))/INDEX($AL$11:$AL$35,MATCH($V74,$V$11:$V$35,0))</f>
        <v>0</v>
      </c>
      <c r="AA74" s="223" t="n">
        <f aca="false">INDEX(Z$11:Z$35,MATCH($V74,$V$11:$V$35,0))/INDEX($AL$11:$AL$35,MATCH($V74,$V$11:$V$35,0))</f>
        <v>0.005</v>
      </c>
      <c r="AB74" s="223" t="n">
        <f aca="false">INDEX(AA$11:AA$35,MATCH($V74,$V$11:$V$35,0))/INDEX($AL$11:$AL$35,MATCH($V74,$V$11:$V$35,0))</f>
        <v>0.93</v>
      </c>
      <c r="AC74" s="223" t="n">
        <f aca="false">INDEX(AB$11:AB$35,MATCH($V74,$V$11:$V$35,0))/INDEX($AL$11:$AL$35,MATCH($V74,$V$11:$V$35,0))</f>
        <v>0.005</v>
      </c>
      <c r="AD74" s="223" t="n">
        <f aca="false">INDEX(AC$11:AC$35,MATCH($V74,$V$11:$V$35,0))/INDEX($AL$11:$AL$35,MATCH($V74,$V$11:$V$35,0))</f>
        <v>0</v>
      </c>
      <c r="AE74" s="223" t="n">
        <f aca="false">INDEX(AD$11:AD$35,MATCH($V74,$V$11:$V$35,0))/INDEX($AL$11:$AL$35,MATCH($V74,$V$11:$V$35,0))</f>
        <v>0</v>
      </c>
      <c r="AF74" s="223" t="n">
        <f aca="false">INDEX(AE$11:AE$35,MATCH($V74,$V$11:$V$35,0))/INDEX($AL$11:$AL$35,MATCH($V74,$V$11:$V$35,0))</f>
        <v>0</v>
      </c>
      <c r="AG74" s="223" t="n">
        <f aca="false">INDEX(AF$11:AF$35,MATCH($V74,$V$11:$V$35,0))/INDEX($AL$11:$AL$35,MATCH($V74,$V$11:$V$35,0))</f>
        <v>0</v>
      </c>
      <c r="AH74" s="223" t="n">
        <f aca="false">INDEX(AG$11:AG$35,MATCH($V74,$V$11:$V$35,0))/INDEX($AL$11:$AL$35,MATCH($V74,$V$11:$V$35,0))</f>
        <v>0</v>
      </c>
      <c r="AI74" s="223" t="n">
        <f aca="false">INDEX(AH$11:AH$35,MATCH($V74,$V$11:$V$35,0))/INDEX($AL$11:$AL$35,MATCH($V74,$V$11:$V$35,0))</f>
        <v>0.06</v>
      </c>
      <c r="AJ74" s="223" t="n">
        <f aca="false">INDEX(AI$11:AI$35,MATCH($V74,$V$11:$V$35,0))/INDEX($AL$11:$AL$35,MATCH($V74,$V$11:$V$35,0))</f>
        <v>0</v>
      </c>
      <c r="AK74" s="223" t="n">
        <f aca="false">INDEX(AJ$11:AJ$35,MATCH($V74,$V$11:$V$35,0))/INDEX($AL$11:$AL$35,MATCH($V74,$V$11:$V$35,0))</f>
        <v>0</v>
      </c>
      <c r="AL74" s="223" t="n">
        <f aca="false">INDEX(AK$11:AK$35,MATCH($V74,$V$11:$V$35,0))/INDEX($AL$11:$AL$35,MATCH($V74,$V$11:$V$35,0))</f>
        <v>0</v>
      </c>
      <c r="AM74" s="208" t="n">
        <f aca="false">INDEX(AL$11:AL$35,MATCH($V74,$V$11:$V$35,0))/INDEX($AL$11:$AL$35,MATCH($V74,$V$11:$V$35,0))</f>
        <v>1</v>
      </c>
      <c r="AP74" s="59" t="s">
        <v>510</v>
      </c>
    </row>
    <row r="75" customFormat="false" ht="14.5" hidden="false" customHeight="false" outlineLevel="0" collapsed="false">
      <c r="B75" s="211" t="n">
        <v>2030</v>
      </c>
      <c r="C75" s="211" t="s">
        <v>475</v>
      </c>
      <c r="D75" s="212" t="s">
        <v>498</v>
      </c>
      <c r="E75" s="213" t="n">
        <v>0</v>
      </c>
      <c r="F75" s="213"/>
      <c r="G75" s="213" t="n">
        <v>0</v>
      </c>
      <c r="H75" s="213" t="n">
        <v>0.21</v>
      </c>
      <c r="I75" s="213" t="n">
        <v>0</v>
      </c>
      <c r="J75" s="213" t="n">
        <v>0</v>
      </c>
      <c r="K75" s="213" t="n">
        <v>0</v>
      </c>
      <c r="L75" s="213" t="n">
        <v>0</v>
      </c>
      <c r="M75" s="213" t="n">
        <v>0</v>
      </c>
      <c r="N75" s="213" t="n">
        <v>0</v>
      </c>
      <c r="O75" s="213" t="n">
        <v>0.79</v>
      </c>
      <c r="P75" s="213" t="n">
        <v>0</v>
      </c>
      <c r="Q75" s="213" t="n">
        <v>0</v>
      </c>
      <c r="R75" s="213" t="n">
        <v>0</v>
      </c>
      <c r="S75" s="214" t="n">
        <v>1</v>
      </c>
      <c r="V75" s="211" t="s">
        <v>475</v>
      </c>
      <c r="W75" s="211" t="n">
        <v>2030</v>
      </c>
      <c r="X75" s="212" t="s">
        <v>498</v>
      </c>
      <c r="Y75" s="215" t="n">
        <f aca="false">E75</f>
        <v>0</v>
      </c>
      <c r="Z75" s="215"/>
      <c r="AA75" s="215" t="n">
        <f aca="false">G75</f>
        <v>0</v>
      </c>
      <c r="AB75" s="215" t="n">
        <f aca="false">1-SUM(Y75:AA75,AC75:AL75)</f>
        <v>0.65</v>
      </c>
      <c r="AC75" s="215" t="n">
        <f aca="false">I75</f>
        <v>0</v>
      </c>
      <c r="AD75" s="215" t="n">
        <f aca="false">J75</f>
        <v>0</v>
      </c>
      <c r="AE75" s="215" t="n">
        <f aca="false">K75</f>
        <v>0</v>
      </c>
      <c r="AF75" s="215" t="n">
        <f aca="false">L75</f>
        <v>0</v>
      </c>
      <c r="AG75" s="215" t="n">
        <f aca="false">M75</f>
        <v>0</v>
      </c>
      <c r="AH75" s="215" t="n">
        <f aca="false">N75</f>
        <v>0</v>
      </c>
      <c r="AI75" s="215" t="n">
        <v>0.35</v>
      </c>
      <c r="AJ75" s="215" t="n">
        <f aca="false">P75</f>
        <v>0</v>
      </c>
      <c r="AK75" s="215" t="n">
        <f aca="false">Q75</f>
        <v>0</v>
      </c>
      <c r="AL75" s="215" t="n">
        <f aca="false">R75</f>
        <v>0</v>
      </c>
      <c r="AM75" s="208" t="n">
        <f aca="false">SUM(Y75:AL75)</f>
        <v>1</v>
      </c>
      <c r="AP75" s="59"/>
    </row>
    <row r="76" customFormat="false" ht="14.5" hidden="false" customHeight="false" outlineLevel="0" collapsed="false">
      <c r="B76" s="211" t="n">
        <v>2050</v>
      </c>
      <c r="C76" s="211" t="s">
        <v>475</v>
      </c>
      <c r="D76" s="212" t="s">
        <v>498</v>
      </c>
      <c r="E76" s="213" t="n">
        <v>0</v>
      </c>
      <c r="F76" s="213"/>
      <c r="G76" s="213" t="n">
        <v>0</v>
      </c>
      <c r="H76" s="213" t="n">
        <v>0.18437935446393</v>
      </c>
      <c r="I76" s="213" t="n">
        <v>0</v>
      </c>
      <c r="J76" s="213" t="n">
        <v>0</v>
      </c>
      <c r="K76" s="213" t="n">
        <v>0</v>
      </c>
      <c r="L76" s="213" t="n">
        <v>0</v>
      </c>
      <c r="M76" s="213" t="n">
        <v>0</v>
      </c>
      <c r="N76" s="213" t="n">
        <v>0</v>
      </c>
      <c r="O76" s="213" t="n">
        <v>0.81562064553607</v>
      </c>
      <c r="P76" s="213" t="n">
        <v>0</v>
      </c>
      <c r="Q76" s="213" t="n">
        <v>0</v>
      </c>
      <c r="R76" s="213" t="n">
        <v>0</v>
      </c>
      <c r="S76" s="214" t="n">
        <v>1</v>
      </c>
      <c r="V76" s="211" t="s">
        <v>475</v>
      </c>
      <c r="W76" s="211" t="n">
        <v>2050</v>
      </c>
      <c r="X76" s="212" t="s">
        <v>498</v>
      </c>
      <c r="Y76" s="215" t="n">
        <f aca="false">E76</f>
        <v>0</v>
      </c>
      <c r="Z76" s="215"/>
      <c r="AA76" s="215" t="n">
        <f aca="false">G76</f>
        <v>0</v>
      </c>
      <c r="AB76" s="215" t="n">
        <f aca="false">1-SUM(Y76:AA76,AC76:AL76)</f>
        <v>0.25</v>
      </c>
      <c r="AC76" s="215" t="n">
        <f aca="false">I76</f>
        <v>0</v>
      </c>
      <c r="AD76" s="215" t="n">
        <f aca="false">J76</f>
        <v>0</v>
      </c>
      <c r="AE76" s="215" t="n">
        <f aca="false">K76</f>
        <v>0</v>
      </c>
      <c r="AF76" s="215" t="n">
        <f aca="false">L76</f>
        <v>0</v>
      </c>
      <c r="AG76" s="215" t="n">
        <f aca="false">M76</f>
        <v>0</v>
      </c>
      <c r="AH76" s="215" t="n">
        <f aca="false">N76</f>
        <v>0</v>
      </c>
      <c r="AI76" s="215" t="n">
        <v>0.75</v>
      </c>
      <c r="AJ76" s="215" t="n">
        <f aca="false">P76</f>
        <v>0</v>
      </c>
      <c r="AK76" s="215" t="n">
        <f aca="false">Q76</f>
        <v>0</v>
      </c>
      <c r="AL76" s="215" t="n">
        <f aca="false">R76</f>
        <v>0</v>
      </c>
      <c r="AM76" s="208" t="n">
        <f aca="false">SUM(Y76:AL76)</f>
        <v>1</v>
      </c>
      <c r="AP76" s="59"/>
    </row>
    <row r="77" customFormat="false" ht="14.5" hidden="false" customHeight="false" outlineLevel="0" collapsed="false">
      <c r="C77" s="217"/>
      <c r="D77" s="218"/>
      <c r="E77" s="219"/>
      <c r="F77" s="219"/>
      <c r="G77" s="219"/>
      <c r="H77" s="219"/>
      <c r="I77" s="219"/>
      <c r="J77" s="219"/>
      <c r="K77" s="219"/>
      <c r="L77" s="219"/>
      <c r="M77" s="219"/>
      <c r="N77" s="219"/>
      <c r="O77" s="219"/>
      <c r="P77" s="219"/>
      <c r="Q77" s="219"/>
      <c r="R77" s="219"/>
      <c r="S77" s="220"/>
      <c r="V77" s="217"/>
      <c r="W77" s="217"/>
      <c r="X77" s="218"/>
      <c r="Y77" s="221"/>
      <c r="Z77" s="221"/>
      <c r="AA77" s="221"/>
      <c r="AB77" s="221"/>
      <c r="AC77" s="221"/>
      <c r="AD77" s="221"/>
      <c r="AE77" s="221"/>
      <c r="AF77" s="221"/>
      <c r="AG77" s="221"/>
      <c r="AH77" s="221"/>
      <c r="AI77" s="221"/>
      <c r="AJ77" s="221"/>
      <c r="AK77" s="221"/>
      <c r="AL77" s="221"/>
      <c r="AM77" s="222"/>
      <c r="AP77" s="59"/>
    </row>
    <row r="78" customFormat="false" ht="14.5" hidden="false" customHeight="false" outlineLevel="0" collapsed="false">
      <c r="B78" s="211" t="n">
        <v>2019</v>
      </c>
      <c r="C78" s="211" t="s">
        <v>476</v>
      </c>
      <c r="D78" s="212" t="s">
        <v>498</v>
      </c>
      <c r="E78" s="213" t="n">
        <v>0</v>
      </c>
      <c r="F78" s="213"/>
      <c r="G78" s="213" t="n">
        <v>0.0684032934311778</v>
      </c>
      <c r="H78" s="213" t="n">
        <v>0.494979970656034</v>
      </c>
      <c r="I78" s="213" t="n">
        <v>0.030411115934224</v>
      </c>
      <c r="J78" s="213" t="n">
        <v>0</v>
      </c>
      <c r="K78" s="213" t="n">
        <v>0</v>
      </c>
      <c r="L78" s="213" t="n">
        <v>0</v>
      </c>
      <c r="M78" s="213"/>
      <c r="N78" s="213" t="n">
        <v>0</v>
      </c>
      <c r="O78" s="213" t="n">
        <v>0.22808336950668</v>
      </c>
      <c r="P78" s="213" t="n">
        <v>0</v>
      </c>
      <c r="Q78" s="213" t="n">
        <v>0.178122250471884</v>
      </c>
      <c r="R78" s="213" t="n">
        <v>0</v>
      </c>
      <c r="S78" s="214" t="n">
        <v>1</v>
      </c>
      <c r="V78" s="211" t="s">
        <v>476</v>
      </c>
      <c r="W78" s="211" t="n">
        <v>2019</v>
      </c>
      <c r="X78" s="212" t="s">
        <v>498</v>
      </c>
      <c r="Y78" s="223" t="n">
        <f aca="false">INDEX(X$11:X$35,MATCH($V78,$V$11:$V$35,0))/INDEX($AL$11:$AL$35,MATCH($V78,$V$11:$V$35,0))</f>
        <v>0</v>
      </c>
      <c r="Z78" s="223" t="n">
        <f aca="false">INDEX(Y$11:Y$35,MATCH($V78,$V$11:$V$35,0))/INDEX($AL$11:$AL$35,MATCH($V78,$V$11:$V$35,0))</f>
        <v>0</v>
      </c>
      <c r="AA78" s="223" t="n">
        <f aca="false">INDEX(Z$11:Z$35,MATCH($V78,$V$11:$V$35,0))/INDEX($AL$11:$AL$35,MATCH($V78,$V$11:$V$35,0))</f>
        <v>0.0365253854101824</v>
      </c>
      <c r="AB78" s="223" t="n">
        <f aca="false">INDEX(AA$11:AA$35,MATCH($V78,$V$11:$V$35,0))/INDEX($AL$11:$AL$35,MATCH($V78,$V$11:$V$35,0))</f>
        <v>0.657456937383284</v>
      </c>
      <c r="AC78" s="223" t="n">
        <f aca="false">INDEX(AB$11:AB$35,MATCH($V78,$V$11:$V$35,0))/INDEX($AL$11:$AL$35,MATCH($V78,$V$11:$V$35,0))</f>
        <v>0.0132846371353045</v>
      </c>
      <c r="AD78" s="223" t="n">
        <f aca="false">INDEX(AC$11:AC$35,MATCH($V78,$V$11:$V$35,0))/INDEX($AL$11:$AL$35,MATCH($V78,$V$11:$V$35,0))</f>
        <v>0</v>
      </c>
      <c r="AE78" s="223" t="n">
        <f aca="false">INDEX(AD$11:AD$35,MATCH($V78,$V$11:$V$35,0))/INDEX($AL$11:$AL$35,MATCH($V78,$V$11:$V$35,0))</f>
        <v>0</v>
      </c>
      <c r="AF78" s="223" t="n">
        <f aca="false">INDEX(AE$11:AE$35,MATCH($V78,$V$11:$V$35,0))/INDEX($AL$11:$AL$35,MATCH($V78,$V$11:$V$35,0))</f>
        <v>0</v>
      </c>
      <c r="AG78" s="223" t="n">
        <f aca="false">INDEX(AF$11:AF$35,MATCH($V78,$V$11:$V$35,0))/INDEX($AL$11:$AL$35,MATCH($V78,$V$11:$V$35,0))</f>
        <v>0</v>
      </c>
      <c r="AH78" s="223" t="n">
        <f aca="false">INDEX(AG$11:AG$35,MATCH($V78,$V$11:$V$35,0))/INDEX($AL$11:$AL$35,MATCH($V78,$V$11:$V$35,0))</f>
        <v>0</v>
      </c>
      <c r="AI78" s="223" t="n">
        <f aca="false">INDEX(AH$11:AH$35,MATCH($V78,$V$11:$V$35,0))/INDEX($AL$11:$AL$35,MATCH($V78,$V$11:$V$35,0))</f>
        <v>0.160438055942587</v>
      </c>
      <c r="AJ78" s="223" t="n">
        <f aca="false">INDEX(AI$11:AI$35,MATCH($V78,$V$11:$V$35,0))/INDEX($AL$11:$AL$35,MATCH($V78,$V$11:$V$35,0))</f>
        <v>0</v>
      </c>
      <c r="AK78" s="223" t="n">
        <f aca="false">INDEX(AJ$11:AJ$35,MATCH($V78,$V$11:$V$35,0))/INDEX($AL$11:$AL$35,MATCH($V78,$V$11:$V$35,0))</f>
        <v>0.132294984128642</v>
      </c>
      <c r="AL78" s="223" t="n">
        <f aca="false">INDEX(AK$11:AK$35,MATCH($V78,$V$11:$V$35,0))/INDEX($AL$11:$AL$35,MATCH($V78,$V$11:$V$35,0))</f>
        <v>0</v>
      </c>
      <c r="AM78" s="208" t="n">
        <f aca="false">INDEX(AL$11:AL$35,MATCH($V78,$V$11:$V$35,0))/INDEX($AL$11:$AL$35,MATCH($V78,$V$11:$V$35,0))</f>
        <v>1</v>
      </c>
      <c r="AP78" s="59" t="s">
        <v>511</v>
      </c>
    </row>
    <row r="79" customFormat="false" ht="14.5" hidden="false" customHeight="false" outlineLevel="0" collapsed="false">
      <c r="B79" s="211" t="n">
        <v>2030</v>
      </c>
      <c r="C79" s="211" t="s">
        <v>476</v>
      </c>
      <c r="D79" s="212" t="s">
        <v>498</v>
      </c>
      <c r="E79" s="213" t="n">
        <v>0</v>
      </c>
      <c r="F79" s="213"/>
      <c r="G79" s="213" t="n">
        <v>0.05</v>
      </c>
      <c r="H79" s="213" t="n">
        <v>0.387738605797961</v>
      </c>
      <c r="I79" s="213" t="n">
        <v>0.030411115934224</v>
      </c>
      <c r="J79" s="213" t="n">
        <v>0</v>
      </c>
      <c r="K79" s="213" t="n">
        <v>0</v>
      </c>
      <c r="L79" s="213" t="n">
        <v>0</v>
      </c>
      <c r="M79" s="213" t="n">
        <v>0</v>
      </c>
      <c r="N79" s="213" t="n">
        <v>0</v>
      </c>
      <c r="O79" s="213" t="n">
        <v>0.351850278267815</v>
      </c>
      <c r="P79" s="213" t="n">
        <v>0</v>
      </c>
      <c r="Q79" s="213" t="n">
        <v>0.18</v>
      </c>
      <c r="R79" s="213" t="n">
        <v>0</v>
      </c>
      <c r="S79" s="214" t="n">
        <v>1</v>
      </c>
      <c r="V79" s="211" t="s">
        <v>476</v>
      </c>
      <c r="W79" s="211" t="n">
        <v>2030</v>
      </c>
      <c r="X79" s="212" t="s">
        <v>498</v>
      </c>
      <c r="Y79" s="215" t="n">
        <f aca="false">(Y80-Y78)/3+Y78</f>
        <v>0</v>
      </c>
      <c r="Z79" s="215" t="n">
        <f aca="false">(Z80-Z78)/3+Z78</f>
        <v>0</v>
      </c>
      <c r="AA79" s="215" t="n">
        <v>0.02</v>
      </c>
      <c r="AB79" s="215" t="n">
        <v>0.542</v>
      </c>
      <c r="AC79" s="215" t="n">
        <v>0.08</v>
      </c>
      <c r="AD79" s="215" t="n">
        <f aca="false">(AD80-AD78)/3+AD78</f>
        <v>0</v>
      </c>
      <c r="AE79" s="215" t="n">
        <f aca="false">(AE80-AE78)/3+AE78</f>
        <v>0</v>
      </c>
      <c r="AF79" s="215" t="n">
        <f aca="false">(AF80-AF78)/3+AF78</f>
        <v>0</v>
      </c>
      <c r="AG79" s="215" t="n">
        <f aca="false">(AG80-AG78)/3+AG78</f>
        <v>0</v>
      </c>
      <c r="AH79" s="215" t="n">
        <f aca="false">(AH80-AH78)/3+AH78</f>
        <v>0</v>
      </c>
      <c r="AI79" s="215" t="n">
        <v>0.22</v>
      </c>
      <c r="AJ79" s="215" t="n">
        <f aca="false">(AJ80-AJ78)/3+AJ78</f>
        <v>0</v>
      </c>
      <c r="AK79" s="215" t="n">
        <f aca="false">(AK80-AK78)/3+AK78</f>
        <v>0.138196656085762</v>
      </c>
      <c r="AL79" s="215" t="n">
        <f aca="false">(AL80-AL78)/3+AL78</f>
        <v>0</v>
      </c>
      <c r="AM79" s="208" t="n">
        <f aca="false">SUM(Y79:AL79)</f>
        <v>1.00019665608576</v>
      </c>
      <c r="AP79" s="59" t="s">
        <v>500</v>
      </c>
      <c r="AR79" s="216"/>
    </row>
    <row r="80" customFormat="false" ht="14.5" hidden="false" customHeight="false" outlineLevel="0" collapsed="false">
      <c r="B80" s="211" t="n">
        <v>2050</v>
      </c>
      <c r="C80" s="211" t="s">
        <v>476</v>
      </c>
      <c r="D80" s="212" t="s">
        <v>498</v>
      </c>
      <c r="E80" s="213" t="n">
        <v>0</v>
      </c>
      <c r="F80" s="213"/>
      <c r="G80" s="213" t="n">
        <v>0</v>
      </c>
      <c r="H80" s="213" t="n">
        <v>0.300177840152946</v>
      </c>
      <c r="I80" s="213" t="n">
        <v>0.030411115934224</v>
      </c>
      <c r="J80" s="213" t="n">
        <v>0</v>
      </c>
      <c r="K80" s="213" t="n">
        <v>0</v>
      </c>
      <c r="L80" s="213" t="n">
        <v>0</v>
      </c>
      <c r="M80" s="213" t="n">
        <v>0</v>
      </c>
      <c r="N80" s="213" t="n">
        <v>0</v>
      </c>
      <c r="O80" s="213" t="n">
        <v>0.491288793440946</v>
      </c>
      <c r="P80" s="213" t="n">
        <v>0</v>
      </c>
      <c r="Q80" s="213" t="n">
        <v>0.178122250471884</v>
      </c>
      <c r="R80" s="213" t="n">
        <v>0</v>
      </c>
      <c r="S80" s="214" t="n">
        <v>1</v>
      </c>
      <c r="V80" s="211" t="s">
        <v>476</v>
      </c>
      <c r="W80" s="211" t="n">
        <v>2050</v>
      </c>
      <c r="X80" s="212" t="s">
        <v>498</v>
      </c>
      <c r="Y80" s="215" t="n">
        <f aca="false">E80</f>
        <v>0</v>
      </c>
      <c r="Z80" s="215"/>
      <c r="AA80" s="215" t="n">
        <v>0</v>
      </c>
      <c r="AB80" s="215" t="n">
        <f aca="false">1-SUM(AC80:AL80,Y80:AA80)</f>
        <v>0.41</v>
      </c>
      <c r="AC80" s="215" t="n">
        <v>0.12</v>
      </c>
      <c r="AD80" s="215" t="n">
        <f aca="false">J80</f>
        <v>0</v>
      </c>
      <c r="AE80" s="215" t="n">
        <f aca="false">K80</f>
        <v>0</v>
      </c>
      <c r="AF80" s="215" t="n">
        <f aca="false">L80</f>
        <v>0</v>
      </c>
      <c r="AG80" s="215" t="n">
        <f aca="false">M80</f>
        <v>0</v>
      </c>
      <c r="AH80" s="215" t="n">
        <f aca="false">N80</f>
        <v>0</v>
      </c>
      <c r="AI80" s="215" t="n">
        <v>0.32</v>
      </c>
      <c r="AJ80" s="215" t="n">
        <f aca="false">P80</f>
        <v>0</v>
      </c>
      <c r="AK80" s="215" t="n">
        <v>0.15</v>
      </c>
      <c r="AL80" s="215" t="n">
        <f aca="false">R80</f>
        <v>0</v>
      </c>
      <c r="AM80" s="208" t="n">
        <f aca="false">SUM(Y80:AL80)</f>
        <v>1</v>
      </c>
      <c r="AP80" s="59"/>
    </row>
    <row r="81" customFormat="false" ht="14.5" hidden="false" customHeight="false" outlineLevel="0" collapsed="false">
      <c r="C81" s="217"/>
      <c r="D81" s="218"/>
      <c r="E81" s="219"/>
      <c r="F81" s="219"/>
      <c r="G81" s="219"/>
      <c r="H81" s="219"/>
      <c r="I81" s="219"/>
      <c r="J81" s="219"/>
      <c r="K81" s="219"/>
      <c r="L81" s="219"/>
      <c r="M81" s="219"/>
      <c r="N81" s="219"/>
      <c r="O81" s="219"/>
      <c r="P81" s="219"/>
      <c r="Q81" s="219"/>
      <c r="R81" s="219"/>
      <c r="S81" s="220"/>
      <c r="V81" s="217"/>
      <c r="W81" s="217"/>
      <c r="X81" s="218"/>
      <c r="Y81" s="221"/>
      <c r="Z81" s="221"/>
      <c r="AA81" s="221"/>
      <c r="AB81" s="221"/>
      <c r="AC81" s="221"/>
      <c r="AD81" s="221"/>
      <c r="AE81" s="221"/>
      <c r="AF81" s="221"/>
      <c r="AG81" s="221"/>
      <c r="AH81" s="221"/>
      <c r="AI81" s="221"/>
      <c r="AJ81" s="221"/>
      <c r="AK81" s="221"/>
      <c r="AL81" s="221"/>
      <c r="AM81" s="222"/>
      <c r="AP81" s="59"/>
    </row>
    <row r="82" customFormat="false" ht="14.5" hidden="false" customHeight="false" outlineLevel="0" collapsed="false">
      <c r="B82" s="211" t="n">
        <v>2019</v>
      </c>
      <c r="C82" s="211" t="s">
        <v>479</v>
      </c>
      <c r="D82" s="212" t="s">
        <v>498</v>
      </c>
      <c r="E82" s="213" t="n">
        <v>0.0817901031588238</v>
      </c>
      <c r="F82" s="213"/>
      <c r="G82" s="213" t="n">
        <v>0.0585958942995415</v>
      </c>
      <c r="H82" s="213" t="n">
        <v>0.402131720179468</v>
      </c>
      <c r="I82" s="213" t="n">
        <v>0.00649716478233428</v>
      </c>
      <c r="J82" s="213" t="n">
        <v>0</v>
      </c>
      <c r="K82" s="213" t="n">
        <v>0</v>
      </c>
      <c r="L82" s="213" t="n">
        <v>0</v>
      </c>
      <c r="M82" s="213"/>
      <c r="N82" s="213" t="n">
        <v>0</v>
      </c>
      <c r="O82" s="213" t="n">
        <v>0.299028350919066</v>
      </c>
      <c r="P82" s="213" t="n">
        <v>0</v>
      </c>
      <c r="Q82" s="213" t="n">
        <v>0.151945108379177</v>
      </c>
      <c r="R82" s="213" t="n">
        <v>0</v>
      </c>
      <c r="S82" s="214" t="n">
        <v>0.999988341718411</v>
      </c>
      <c r="U82" s="1" t="s">
        <v>512</v>
      </c>
      <c r="V82" s="211" t="s">
        <v>479</v>
      </c>
      <c r="W82" s="211" t="n">
        <v>2019</v>
      </c>
      <c r="X82" s="212" t="s">
        <v>498</v>
      </c>
      <c r="Y82" s="215" t="n">
        <f aca="false">INDEX(X$11:X$35,MATCH($V82,$V$11:$V$35,0))/INDEX($AL$11:$AL$35,MATCH($V82,$V$11:$V$35,0))</f>
        <v>0.139793762938352</v>
      </c>
      <c r="Z82" s="215" t="n">
        <f aca="false">INDEX(Y$11:Y$35,MATCH($V82,$V$11:$V$35,0))/INDEX($AL$11:$AL$35,MATCH($V82,$V$11:$V$35,0))</f>
        <v>0.00263196074168966</v>
      </c>
      <c r="AA82" s="215" t="n">
        <f aca="false">INDEX(Z$11:Z$35,MATCH($V82,$V$11:$V$35,0))/INDEX($AL$11:$AL$35,MATCH($V82,$V$11:$V$35,0))</f>
        <v>0.105278099071273</v>
      </c>
      <c r="AB82" s="215" t="n">
        <f aca="false">INDEX(AA$11:AA$35,MATCH($V82,$V$11:$V$35,0))/INDEX($AL$11:$AL$35,MATCH($V82,$V$11:$V$35,0))</f>
        <v>0.0583431690234113</v>
      </c>
      <c r="AC82" s="215" t="n">
        <f aca="false">INDEX(AB$11:AB$35,MATCH($V82,$V$11:$V$35,0))/INDEX($AL$11:$AL$35,MATCH($V82,$V$11:$V$35,0))</f>
        <v>0.0177593934538462</v>
      </c>
      <c r="AD82" s="215" t="n">
        <f aca="false">INDEX(AC$11:AC$35,MATCH($V82,$V$11:$V$35,0))/INDEX($AL$11:$AL$35,MATCH($V82,$V$11:$V$35,0))</f>
        <v>0</v>
      </c>
      <c r="AE82" s="215" t="n">
        <f aca="false">INDEX(AD$11:AD$35,MATCH($V82,$V$11:$V$35,0))/INDEX($AL$11:$AL$35,MATCH($V82,$V$11:$V$35,0))</f>
        <v>0</v>
      </c>
      <c r="AF82" s="215" t="n">
        <f aca="false">INDEX(AE$11:AE$35,MATCH($V82,$V$11:$V$35,0))/INDEX($AL$11:$AL$35,MATCH($V82,$V$11:$V$35,0))</f>
        <v>0</v>
      </c>
      <c r="AG82" s="215" t="n">
        <f aca="false">INDEX(AF$11:AF$35,MATCH($V82,$V$11:$V$35,0))/INDEX($AL$11:$AL$35,MATCH($V82,$V$11:$V$35,0))</f>
        <v>0</v>
      </c>
      <c r="AH82" s="215" t="n">
        <f aca="false">INDEX(AG$11:AG$35,MATCH($V82,$V$11:$V$35,0))/INDEX($AL$11:$AL$35,MATCH($V82,$V$11:$V$35,0))</f>
        <v>0</v>
      </c>
      <c r="AI82" s="215" t="n">
        <f aca="false">INDEX(AH$11:AH$35,MATCH($V82,$V$11:$V$35,0))/INDEX($AL$11:$AL$35,MATCH($V82,$V$11:$V$35,0))</f>
        <v>0.466089994193565</v>
      </c>
      <c r="AJ82" s="215" t="n">
        <f aca="false">INDEX(AI$11:AI$35,MATCH($V82,$V$11:$V$35,0))/INDEX($AL$11:$AL$35,MATCH($V82,$V$11:$V$35,0))</f>
        <v>0</v>
      </c>
      <c r="AK82" s="215" t="n">
        <f aca="false">INDEX(AJ$11:AJ$35,MATCH($V82,$V$11:$V$35,0))/INDEX($AL$11:$AL$35,MATCH($V82,$V$11:$V$35,0))</f>
        <v>0.210103620577863</v>
      </c>
      <c r="AL82" s="215" t="n">
        <f aca="false">INDEX(AK$11:AK$35,MATCH($V82,$V$11:$V$35,0))/INDEX($AL$11:$AL$35,MATCH($V82,$V$11:$V$35,0))</f>
        <v>0</v>
      </c>
      <c r="AM82" s="208" t="n">
        <f aca="false">INDEX(AL$11:AL$35,MATCH($V82,$V$11:$V$35,0))/INDEX($AL$11:$AL$35,MATCH($V82,$V$11:$V$35,0))</f>
        <v>1</v>
      </c>
      <c r="AN82" s="4"/>
      <c r="AP82" s="59" t="s">
        <v>513</v>
      </c>
    </row>
    <row r="83" customFormat="false" ht="14.5" hidden="false" customHeight="false" outlineLevel="0" collapsed="false">
      <c r="B83" s="211" t="n">
        <v>2030</v>
      </c>
      <c r="C83" s="211" t="s">
        <v>479</v>
      </c>
      <c r="D83" s="212" t="s">
        <v>498</v>
      </c>
      <c r="E83" s="213" t="n">
        <v>0</v>
      </c>
      <c r="F83" s="213"/>
      <c r="G83" s="213" t="n">
        <v>0.02</v>
      </c>
      <c r="H83" s="213" t="n">
        <v>0.380173034900059</v>
      </c>
      <c r="I83" s="213" t="n">
        <v>0.01</v>
      </c>
      <c r="J83" s="213" t="n">
        <v>0</v>
      </c>
      <c r="K83" s="213" t="n">
        <v>0</v>
      </c>
      <c r="L83" s="213" t="n">
        <v>0</v>
      </c>
      <c r="M83" s="213" t="n">
        <v>0</v>
      </c>
      <c r="N83" s="213" t="n">
        <v>0</v>
      </c>
      <c r="O83" s="213" t="n">
        <v>0.35</v>
      </c>
      <c r="P83" s="213" t="n">
        <v>0</v>
      </c>
      <c r="Q83" s="213" t="n">
        <v>0.239826965099941</v>
      </c>
      <c r="R83" s="213" t="n">
        <v>0</v>
      </c>
      <c r="S83" s="214" t="n">
        <v>1</v>
      </c>
      <c r="V83" s="211" t="s">
        <v>479</v>
      </c>
      <c r="W83" s="211" t="n">
        <v>2030</v>
      </c>
      <c r="X83" s="212" t="s">
        <v>498</v>
      </c>
      <c r="Y83" s="215" t="n">
        <v>0</v>
      </c>
      <c r="Z83" s="215"/>
      <c r="AA83" s="215" t="n">
        <v>0.09</v>
      </c>
      <c r="AB83" s="215" t="n">
        <v>0.06</v>
      </c>
      <c r="AC83" s="215" t="n">
        <v>0.04</v>
      </c>
      <c r="AD83" s="215" t="n">
        <f aca="false">J83</f>
        <v>0</v>
      </c>
      <c r="AE83" s="215" t="n">
        <f aca="false">K83</f>
        <v>0</v>
      </c>
      <c r="AF83" s="215" t="n">
        <f aca="false">L83</f>
        <v>0</v>
      </c>
      <c r="AG83" s="215" t="n">
        <f aca="false">AJ83*2</f>
        <v>0.04</v>
      </c>
      <c r="AH83" s="215" t="n">
        <f aca="false">N83</f>
        <v>0</v>
      </c>
      <c r="AI83" s="215" t="n">
        <v>0.5</v>
      </c>
      <c r="AJ83" s="215" t="n">
        <v>0.02</v>
      </c>
      <c r="AK83" s="215" t="n">
        <v>0.25</v>
      </c>
      <c r="AL83" s="215" t="n">
        <f aca="false">R83</f>
        <v>0</v>
      </c>
      <c r="AM83" s="208" t="n">
        <f aca="false">SUM(Y83:AL83)</f>
        <v>1</v>
      </c>
      <c r="AO83" s="216"/>
      <c r="AP83" s="59" t="s">
        <v>514</v>
      </c>
    </row>
    <row r="84" customFormat="false" ht="14.5" hidden="false" customHeight="false" outlineLevel="0" collapsed="false">
      <c r="B84" s="211" t="n">
        <v>2050</v>
      </c>
      <c r="C84" s="211" t="s">
        <v>479</v>
      </c>
      <c r="D84" s="212" t="s">
        <v>498</v>
      </c>
      <c r="E84" s="213" t="n">
        <v>0</v>
      </c>
      <c r="F84" s="213"/>
      <c r="G84" s="213" t="n">
        <v>0</v>
      </c>
      <c r="H84" s="213" t="n">
        <v>0.2</v>
      </c>
      <c r="I84" s="213" t="n">
        <v>0.01</v>
      </c>
      <c r="J84" s="213" t="n">
        <v>0</v>
      </c>
      <c r="K84" s="213" t="n">
        <v>0</v>
      </c>
      <c r="L84" s="213" t="n">
        <v>0</v>
      </c>
      <c r="M84" s="213" t="n">
        <v>0</v>
      </c>
      <c r="N84" s="213" t="n">
        <v>0</v>
      </c>
      <c r="O84" s="213" t="n">
        <v>0.384533724435848</v>
      </c>
      <c r="P84" s="213" t="n">
        <v>0</v>
      </c>
      <c r="Q84" s="213" t="n">
        <v>0.405466275564152</v>
      </c>
      <c r="R84" s="213" t="n">
        <v>0</v>
      </c>
      <c r="S84" s="214" t="n">
        <v>1</v>
      </c>
      <c r="V84" s="211" t="s">
        <v>479</v>
      </c>
      <c r="W84" s="211" t="n">
        <v>2050</v>
      </c>
      <c r="X84" s="212" t="s">
        <v>498</v>
      </c>
      <c r="Y84" s="215" t="n">
        <f aca="false">E84</f>
        <v>0</v>
      </c>
      <c r="Z84" s="215"/>
      <c r="AA84" s="215" t="n">
        <f aca="false">G84</f>
        <v>0</v>
      </c>
      <c r="AB84" s="215" t="n">
        <v>0.02</v>
      </c>
      <c r="AC84" s="215" t="n">
        <v>0.05</v>
      </c>
      <c r="AD84" s="215" t="n">
        <f aca="false">J84</f>
        <v>0</v>
      </c>
      <c r="AE84" s="215" t="n">
        <f aca="false">K84</f>
        <v>0</v>
      </c>
      <c r="AF84" s="215" t="n">
        <f aca="false">L84</f>
        <v>0</v>
      </c>
      <c r="AG84" s="215" t="n">
        <v>0.1</v>
      </c>
      <c r="AH84" s="215" t="n">
        <v>0.01</v>
      </c>
      <c r="AI84" s="215" t="n">
        <f aca="false">AI83+2%</f>
        <v>0.52</v>
      </c>
      <c r="AJ84" s="215" t="n">
        <f aca="false">AG84/2</f>
        <v>0.05</v>
      </c>
      <c r="AK84" s="215" t="n">
        <v>0.25</v>
      </c>
      <c r="AL84" s="215" t="n">
        <f aca="false">R84</f>
        <v>0</v>
      </c>
      <c r="AM84" s="208" t="n">
        <f aca="false">SUM(Y84:AL84)</f>
        <v>1</v>
      </c>
      <c r="AP84" s="59"/>
    </row>
    <row r="85" customFormat="false" ht="14.5" hidden="false" customHeight="false" outlineLevel="0" collapsed="false">
      <c r="C85" s="217"/>
      <c r="D85" s="218"/>
      <c r="E85" s="219"/>
      <c r="F85" s="219"/>
      <c r="G85" s="219"/>
      <c r="H85" s="219"/>
      <c r="I85" s="219"/>
      <c r="J85" s="219"/>
      <c r="K85" s="219"/>
      <c r="L85" s="219"/>
      <c r="M85" s="219"/>
      <c r="N85" s="219"/>
      <c r="O85" s="219"/>
      <c r="P85" s="219"/>
      <c r="Q85" s="219"/>
      <c r="R85" s="219"/>
      <c r="S85" s="220"/>
      <c r="V85" s="217"/>
      <c r="W85" s="217"/>
      <c r="X85" s="218"/>
      <c r="Y85" s="221"/>
      <c r="Z85" s="221"/>
      <c r="AA85" s="221"/>
      <c r="AB85" s="221"/>
      <c r="AC85" s="221"/>
      <c r="AD85" s="221"/>
      <c r="AE85" s="221"/>
      <c r="AF85" s="221"/>
      <c r="AG85" s="221"/>
      <c r="AH85" s="221"/>
      <c r="AI85" s="221"/>
      <c r="AJ85" s="221"/>
      <c r="AK85" s="221"/>
      <c r="AL85" s="221"/>
      <c r="AM85" s="222"/>
      <c r="AP85" s="59"/>
    </row>
    <row r="86" customFormat="false" ht="14.5" hidden="false" customHeight="false" outlineLevel="0" collapsed="false">
      <c r="C86" s="206" t="s">
        <v>480</v>
      </c>
      <c r="D86" s="206"/>
      <c r="E86" s="225"/>
      <c r="F86" s="225"/>
      <c r="G86" s="225"/>
      <c r="H86" s="225"/>
      <c r="I86" s="225"/>
      <c r="J86" s="225"/>
      <c r="K86" s="225"/>
      <c r="L86" s="225"/>
      <c r="M86" s="225"/>
      <c r="N86" s="225"/>
      <c r="O86" s="225"/>
      <c r="P86" s="225"/>
      <c r="Q86" s="225"/>
      <c r="R86" s="225"/>
      <c r="S86" s="214"/>
      <c r="V86" s="209" t="s">
        <v>480</v>
      </c>
      <c r="W86" s="209"/>
      <c r="X86" s="209"/>
      <c r="Y86" s="207" t="s">
        <v>439</v>
      </c>
      <c r="Z86" s="207" t="s">
        <v>455</v>
      </c>
      <c r="AA86" s="207" t="s">
        <v>441</v>
      </c>
      <c r="AB86" s="207" t="s">
        <v>442</v>
      </c>
      <c r="AC86" s="207" t="s">
        <v>451</v>
      </c>
      <c r="AD86" s="207" t="s">
        <v>452</v>
      </c>
      <c r="AE86" s="207" t="s">
        <v>453</v>
      </c>
      <c r="AF86" s="207" t="s">
        <v>454</v>
      </c>
      <c r="AG86" s="207" t="s">
        <v>444</v>
      </c>
      <c r="AH86" s="207" t="s">
        <v>445</v>
      </c>
      <c r="AI86" s="207" t="s">
        <v>496</v>
      </c>
      <c r="AJ86" s="207" t="s">
        <v>456</v>
      </c>
      <c r="AK86" s="207" t="s">
        <v>447</v>
      </c>
      <c r="AL86" s="207" t="s">
        <v>448</v>
      </c>
      <c r="AM86" s="208" t="s">
        <v>52</v>
      </c>
      <c r="AP86" s="59" t="s">
        <v>515</v>
      </c>
    </row>
    <row r="87" customFormat="false" ht="14.5" hidden="false" customHeight="false" outlineLevel="0" collapsed="false">
      <c r="B87" s="211" t="n">
        <v>2019</v>
      </c>
      <c r="C87" s="211" t="s">
        <v>481</v>
      </c>
      <c r="D87" s="212" t="s">
        <v>498</v>
      </c>
      <c r="E87" s="213" t="n">
        <v>0.14</v>
      </c>
      <c r="F87" s="213"/>
      <c r="G87" s="213" t="n">
        <v>0.385</v>
      </c>
      <c r="H87" s="213" t="n">
        <v>0.02</v>
      </c>
      <c r="I87" s="213" t="n">
        <v>0.425</v>
      </c>
      <c r="J87" s="213" t="n">
        <v>0</v>
      </c>
      <c r="K87" s="213" t="n">
        <v>0</v>
      </c>
      <c r="L87" s="213" t="n">
        <v>0</v>
      </c>
      <c r="M87" s="213"/>
      <c r="N87" s="213" t="n">
        <v>0</v>
      </c>
      <c r="O87" s="213" t="n">
        <v>0.03</v>
      </c>
      <c r="P87" s="213" t="n">
        <v>0</v>
      </c>
      <c r="Q87" s="213" t="n">
        <v>0</v>
      </c>
      <c r="R87" s="213" t="n">
        <v>0</v>
      </c>
      <c r="S87" s="214" t="n">
        <v>1</v>
      </c>
      <c r="V87" s="211" t="s">
        <v>481</v>
      </c>
      <c r="W87" s="211" t="n">
        <v>2019</v>
      </c>
      <c r="X87" s="212" t="s">
        <v>498</v>
      </c>
      <c r="Y87" s="215" t="n">
        <f aca="false">INDEX(X$11:X$35,MATCH($V87,$V$11:$V$35,0))/INDEX($AL$11:$AL$35,MATCH($V87,$V$11:$V$35,0))</f>
        <v>0.126163525772835</v>
      </c>
      <c r="Z87" s="215" t="n">
        <f aca="false">INDEX(Y$11:Y$35,MATCH($V87,$V$11:$V$35,0))/INDEX($AL$11:$AL$35,MATCH($V87,$V$11:$V$35,0))</f>
        <v>0</v>
      </c>
      <c r="AA87" s="215" t="n">
        <f aca="false">INDEX(Z$11:Z$35,MATCH($V87,$V$11:$V$35,0))/INDEX($AL$11:$AL$35,MATCH($V87,$V$11:$V$35,0))</f>
        <v>0.346949695875296</v>
      </c>
      <c r="AB87" s="215" t="n">
        <f aca="false">INDEX(AA$11:AA$35,MATCH($V87,$V$11:$V$35,0))/INDEX($AL$11:$AL$35,MATCH($V87,$V$11:$V$35,0))</f>
        <v>0.0180233608246907</v>
      </c>
      <c r="AC87" s="215" t="n">
        <f aca="false">INDEX(AB$11:AB$35,MATCH($V87,$V$11:$V$35,0))/INDEX($AL$11:$AL$35,MATCH($V87,$V$11:$V$35,0))</f>
        <v>0.153198567009871</v>
      </c>
      <c r="AD87" s="215" t="n">
        <f aca="false">INDEX(AC$11:AC$35,MATCH($V87,$V$11:$V$35,0))/INDEX($AL$11:$AL$35,MATCH($V87,$V$11:$V$35,0))</f>
        <v>0.229797850514806</v>
      </c>
      <c r="AE87" s="215" t="n">
        <f aca="false">INDEX(AD$11:AD$35,MATCH($V87,$V$11:$V$35,0))/INDEX($AL$11:$AL$35,MATCH($V87,$V$11:$V$35,0))</f>
        <v>0</v>
      </c>
      <c r="AF87" s="215" t="n">
        <f aca="false">INDEX(AE$11:AE$35,MATCH($V87,$V$11:$V$35,0))/INDEX($AL$11:$AL$35,MATCH($V87,$V$11:$V$35,0))</f>
        <v>0</v>
      </c>
      <c r="AG87" s="215" t="n">
        <f aca="false">INDEX(AF$11:AF$35,MATCH($V87,$V$11:$V$35,0))/INDEX($AL$11:$AL$35,MATCH($V87,$V$11:$V$35,0))</f>
        <v>0</v>
      </c>
      <c r="AH87" s="215" t="n">
        <f aca="false">INDEX(AG$11:AG$35,MATCH($V87,$V$11:$V$35,0))/INDEX($AL$11:$AL$35,MATCH($V87,$V$11:$V$35,0))</f>
        <v>0</v>
      </c>
      <c r="AI87" s="215" t="n">
        <f aca="false">INDEX(AH$11:AH$35,MATCH($V87,$V$11:$V$35,0))/INDEX($AL$11:$AL$35,MATCH($V87,$V$11:$V$35,0))</f>
        <v>0.125867000002501</v>
      </c>
      <c r="AJ87" s="215" t="n">
        <f aca="false">INDEX(AI$11:AI$35,MATCH($V87,$V$11:$V$35,0))/INDEX($AL$11:$AL$35,MATCH($V87,$V$11:$V$35,0))</f>
        <v>0</v>
      </c>
      <c r="AK87" s="215" t="n">
        <f aca="false">INDEX(AJ$11:AJ$35,MATCH($V87,$V$11:$V$35,0))/INDEX($AL$11:$AL$35,MATCH($V87,$V$11:$V$35,0))</f>
        <v>0</v>
      </c>
      <c r="AL87" s="215" t="n">
        <f aca="false">INDEX(AK$11:AK$35,MATCH($V87,$V$11:$V$35,0))/INDEX($AL$11:$AL$35,MATCH($V87,$V$11:$V$35,0))</f>
        <v>0</v>
      </c>
      <c r="AM87" s="208" t="n">
        <f aca="false">INDEX(AL$11:AL$35,MATCH($V87,$V$11:$V$35,0))/INDEX($AL$11:$AL$35,MATCH($V87,$V$11:$V$35,0))</f>
        <v>1</v>
      </c>
      <c r="AO87" s="200"/>
      <c r="AP87" s="59"/>
    </row>
    <row r="88" customFormat="false" ht="14.5" hidden="false" customHeight="false" outlineLevel="0" collapsed="false">
      <c r="B88" s="211" t="n">
        <v>2030</v>
      </c>
      <c r="C88" s="211" t="s">
        <v>481</v>
      </c>
      <c r="D88" s="212" t="s">
        <v>498</v>
      </c>
      <c r="E88" s="213" t="n">
        <v>0</v>
      </c>
      <c r="F88" s="213"/>
      <c r="G88" s="213" t="n">
        <v>0.23</v>
      </c>
      <c r="H88" s="213" t="n">
        <v>0.02</v>
      </c>
      <c r="I88" s="213" t="n">
        <v>0.6</v>
      </c>
      <c r="J88" s="213" t="n">
        <v>0</v>
      </c>
      <c r="K88" s="213" t="n">
        <v>0</v>
      </c>
      <c r="L88" s="213" t="n">
        <v>0</v>
      </c>
      <c r="M88" s="213" t="n">
        <v>0</v>
      </c>
      <c r="N88" s="213" t="n">
        <v>0</v>
      </c>
      <c r="O88" s="213" t="n">
        <v>0.15</v>
      </c>
      <c r="P88" s="213" t="n">
        <v>0</v>
      </c>
      <c r="Q88" s="213" t="n">
        <v>0</v>
      </c>
      <c r="R88" s="213" t="n">
        <v>0</v>
      </c>
      <c r="S88" s="214" t="n">
        <v>1</v>
      </c>
      <c r="V88" s="211" t="s">
        <v>481</v>
      </c>
      <c r="W88" s="211" t="n">
        <v>2030</v>
      </c>
      <c r="X88" s="212" t="s">
        <v>498</v>
      </c>
      <c r="Y88" s="215" t="n">
        <v>0.04</v>
      </c>
      <c r="Z88" s="215"/>
      <c r="AA88" s="215" t="n">
        <v>0.15</v>
      </c>
      <c r="AB88" s="215" t="n">
        <v>0.01</v>
      </c>
      <c r="AC88" s="215" t="n">
        <v>0.2925</v>
      </c>
      <c r="AD88" s="215" t="n">
        <v>0.3575</v>
      </c>
      <c r="AE88" s="215" t="n">
        <f aca="false">K88</f>
        <v>0</v>
      </c>
      <c r="AF88" s="215" t="n">
        <f aca="false">L88</f>
        <v>0</v>
      </c>
      <c r="AG88" s="215" t="n">
        <f aca="false">M88</f>
        <v>0</v>
      </c>
      <c r="AH88" s="215" t="n">
        <f aca="false">N88</f>
        <v>0</v>
      </c>
      <c r="AI88" s="215" t="n">
        <v>0.14</v>
      </c>
      <c r="AJ88" s="215" t="n">
        <f aca="false">P88</f>
        <v>0</v>
      </c>
      <c r="AK88" s="215" t="n">
        <v>0.01</v>
      </c>
      <c r="AL88" s="215" t="n">
        <f aca="false">R88</f>
        <v>0</v>
      </c>
      <c r="AM88" s="208" t="n">
        <f aca="false">SUM(Y88:AL88)</f>
        <v>1</v>
      </c>
      <c r="AO88" s="200"/>
      <c r="AP88" s="59"/>
    </row>
    <row r="89" customFormat="false" ht="14.5" hidden="false" customHeight="false" outlineLevel="0" collapsed="false">
      <c r="B89" s="211" t="n">
        <v>2050</v>
      </c>
      <c r="C89" s="211" t="s">
        <v>481</v>
      </c>
      <c r="D89" s="212" t="s">
        <v>498</v>
      </c>
      <c r="E89" s="213" t="n">
        <v>0</v>
      </c>
      <c r="F89" s="213"/>
      <c r="G89" s="213" t="n">
        <v>0</v>
      </c>
      <c r="H89" s="213" t="n">
        <v>0.02</v>
      </c>
      <c r="I89" s="213" t="n">
        <v>0.773764338983087</v>
      </c>
      <c r="J89" s="213" t="n">
        <v>0</v>
      </c>
      <c r="K89" s="213" t="n">
        <v>0</v>
      </c>
      <c r="L89" s="213" t="n">
        <v>0</v>
      </c>
      <c r="M89" s="213" t="n">
        <v>0</v>
      </c>
      <c r="N89" s="213" t="n">
        <v>0</v>
      </c>
      <c r="O89" s="213" t="n">
        <v>0.2</v>
      </c>
      <c r="P89" s="213" t="n">
        <v>0</v>
      </c>
      <c r="Q89" s="213" t="n">
        <v>0.00623566101691358</v>
      </c>
      <c r="R89" s="213" t="n">
        <v>0</v>
      </c>
      <c r="S89" s="214" t="n">
        <v>1</v>
      </c>
      <c r="V89" s="211" t="s">
        <v>481</v>
      </c>
      <c r="W89" s="211" t="n">
        <v>2050</v>
      </c>
      <c r="X89" s="212" t="s">
        <v>498</v>
      </c>
      <c r="Y89" s="215" t="n">
        <f aca="false">E89</f>
        <v>0</v>
      </c>
      <c r="Z89" s="215"/>
      <c r="AA89" s="215" t="n">
        <v>0.07</v>
      </c>
      <c r="AB89" s="215" t="n">
        <v>0.01</v>
      </c>
      <c r="AC89" s="215" t="n">
        <v>0.36</v>
      </c>
      <c r="AD89" s="215" t="n">
        <v>0.36</v>
      </c>
      <c r="AE89" s="215" t="n">
        <f aca="false">K89</f>
        <v>0</v>
      </c>
      <c r="AF89" s="215" t="n">
        <f aca="false">L89</f>
        <v>0</v>
      </c>
      <c r="AG89" s="215" t="n">
        <f aca="false">M89</f>
        <v>0</v>
      </c>
      <c r="AH89" s="215" t="n">
        <f aca="false">N89</f>
        <v>0</v>
      </c>
      <c r="AI89" s="215" t="n">
        <v>0.18</v>
      </c>
      <c r="AJ89" s="215" t="n">
        <f aca="false">P89</f>
        <v>0</v>
      </c>
      <c r="AK89" s="215" t="n">
        <v>0.02</v>
      </c>
      <c r="AL89" s="215" t="n">
        <f aca="false">R89</f>
        <v>0</v>
      </c>
      <c r="AM89" s="208" t="n">
        <f aca="false">SUM(Y89:AL89)</f>
        <v>1</v>
      </c>
      <c r="AO89" s="200"/>
      <c r="AP89" s="59"/>
    </row>
    <row r="90" customFormat="false" ht="14.5" hidden="false" customHeight="false" outlineLevel="0" collapsed="false">
      <c r="C90" s="217"/>
      <c r="D90" s="218"/>
      <c r="E90" s="219"/>
      <c r="F90" s="219"/>
      <c r="G90" s="219"/>
      <c r="H90" s="219"/>
      <c r="I90" s="219"/>
      <c r="J90" s="219"/>
      <c r="K90" s="219"/>
      <c r="L90" s="219"/>
      <c r="M90" s="219"/>
      <c r="N90" s="219"/>
      <c r="O90" s="219"/>
      <c r="P90" s="219"/>
      <c r="Q90" s="219"/>
      <c r="R90" s="219"/>
      <c r="S90" s="220"/>
      <c r="V90" s="217"/>
      <c r="W90" s="217"/>
      <c r="X90" s="218"/>
      <c r="Y90" s="221"/>
      <c r="Z90" s="221"/>
      <c r="AA90" s="221"/>
      <c r="AB90" s="221"/>
      <c r="AC90" s="221"/>
      <c r="AD90" s="221"/>
      <c r="AE90" s="221"/>
      <c r="AF90" s="221"/>
      <c r="AG90" s="221"/>
      <c r="AH90" s="221"/>
      <c r="AI90" s="221"/>
      <c r="AJ90" s="221"/>
      <c r="AK90" s="221"/>
      <c r="AL90" s="221"/>
      <c r="AM90" s="222"/>
      <c r="AP90" s="59"/>
    </row>
    <row r="91" customFormat="false" ht="14.5" hidden="false" customHeight="false" outlineLevel="0" collapsed="false">
      <c r="B91" s="211" t="n">
        <v>2019</v>
      </c>
      <c r="C91" s="211" t="s">
        <v>482</v>
      </c>
      <c r="D91" s="212" t="s">
        <v>498</v>
      </c>
      <c r="E91" s="213" t="n">
        <v>0</v>
      </c>
      <c r="F91" s="213"/>
      <c r="G91" s="213" t="n">
        <v>0.09</v>
      </c>
      <c r="H91" s="213" t="n">
        <v>0.67</v>
      </c>
      <c r="I91" s="213" t="n">
        <v>0</v>
      </c>
      <c r="J91" s="213" t="n">
        <v>0</v>
      </c>
      <c r="K91" s="213" t="n">
        <v>0</v>
      </c>
      <c r="L91" s="213" t="n">
        <v>0</v>
      </c>
      <c r="M91" s="213"/>
      <c r="N91" s="213" t="n">
        <v>0</v>
      </c>
      <c r="O91" s="213" t="n">
        <v>0.24</v>
      </c>
      <c r="P91" s="213" t="n">
        <v>0</v>
      </c>
      <c r="Q91" s="213" t="n">
        <v>0</v>
      </c>
      <c r="R91" s="213" t="n">
        <v>0</v>
      </c>
      <c r="S91" s="214" t="n">
        <v>1</v>
      </c>
      <c r="V91" s="211" t="s">
        <v>482</v>
      </c>
      <c r="W91" s="211" t="n">
        <v>2019</v>
      </c>
      <c r="X91" s="212" t="s">
        <v>498</v>
      </c>
      <c r="Y91" s="223" t="n">
        <f aca="false">INDEX(X$11:X$35,MATCH($V91,$V$11:$V$35,0))/INDEX($AL$11:$AL$35,MATCH($V91,$V$11:$V$35,0))</f>
        <v>0</v>
      </c>
      <c r="Z91" s="223" t="n">
        <f aca="false">INDEX(Y$11:Y$35,MATCH($V91,$V$11:$V$35,0))/INDEX($AL$11:$AL$35,MATCH($V91,$V$11:$V$35,0))</f>
        <v>0</v>
      </c>
      <c r="AA91" s="223" t="n">
        <f aca="false">INDEX(Z$11:Z$35,MATCH($V91,$V$11:$V$35,0))/INDEX($AL$11:$AL$35,MATCH($V91,$V$11:$V$35,0))</f>
        <v>0.09</v>
      </c>
      <c r="AB91" s="223" t="n">
        <f aca="false">INDEX(AA$11:AA$35,MATCH($V91,$V$11:$V$35,0))/INDEX($AL$11:$AL$35,MATCH($V91,$V$11:$V$35,0))</f>
        <v>0.67</v>
      </c>
      <c r="AC91" s="223" t="n">
        <f aca="false">INDEX(AB$11:AB$35,MATCH($V91,$V$11:$V$35,0))/INDEX($AL$11:$AL$35,MATCH($V91,$V$11:$V$35,0))</f>
        <v>0</v>
      </c>
      <c r="AD91" s="223" t="n">
        <f aca="false">INDEX(AC$11:AC$35,MATCH($V91,$V$11:$V$35,0))/INDEX($AL$11:$AL$35,MATCH($V91,$V$11:$V$35,0))</f>
        <v>0</v>
      </c>
      <c r="AE91" s="223" t="n">
        <f aca="false">INDEX(AD$11:AD$35,MATCH($V91,$V$11:$V$35,0))/INDEX($AL$11:$AL$35,MATCH($V91,$V$11:$V$35,0))</f>
        <v>0</v>
      </c>
      <c r="AF91" s="223" t="n">
        <f aca="false">INDEX(AE$11:AE$35,MATCH($V91,$V$11:$V$35,0))/INDEX($AL$11:$AL$35,MATCH($V91,$V$11:$V$35,0))</f>
        <v>0</v>
      </c>
      <c r="AG91" s="223" t="n">
        <f aca="false">INDEX(AF$11:AF$35,MATCH($V91,$V$11:$V$35,0))/INDEX($AL$11:$AL$35,MATCH($V91,$V$11:$V$35,0))</f>
        <v>0</v>
      </c>
      <c r="AH91" s="223" t="n">
        <f aca="false">INDEX(AG$11:AG$35,MATCH($V91,$V$11:$V$35,0))/INDEX($AL$11:$AL$35,MATCH($V91,$V$11:$V$35,0))</f>
        <v>0</v>
      </c>
      <c r="AI91" s="223" t="n">
        <f aca="false">INDEX(AH$11:AH$35,MATCH($V91,$V$11:$V$35,0))/INDEX($AL$11:$AL$35,MATCH($V91,$V$11:$V$35,0))</f>
        <v>0.24</v>
      </c>
      <c r="AJ91" s="223" t="n">
        <f aca="false">INDEX(AI$11:AI$35,MATCH($V91,$V$11:$V$35,0))/INDEX($AL$11:$AL$35,MATCH($V91,$V$11:$V$35,0))</f>
        <v>0</v>
      </c>
      <c r="AK91" s="223" t="n">
        <f aca="false">INDEX(AJ$11:AJ$35,MATCH($V91,$V$11:$V$35,0))/INDEX($AL$11:$AL$35,MATCH($V91,$V$11:$V$35,0))</f>
        <v>0</v>
      </c>
      <c r="AL91" s="223" t="n">
        <f aca="false">INDEX(AK$11:AK$35,MATCH($V91,$V$11:$V$35,0))/INDEX($AL$11:$AL$35,MATCH($V91,$V$11:$V$35,0))</f>
        <v>0</v>
      </c>
      <c r="AM91" s="208" t="n">
        <f aca="false">INDEX(AL$11:AL$35,MATCH($V91,$V$11:$V$35,0))/INDEX($AL$11:$AL$35,MATCH($V91,$V$11:$V$35,0))</f>
        <v>1</v>
      </c>
      <c r="AP91" s="59" t="s">
        <v>506</v>
      </c>
    </row>
    <row r="92" customFormat="false" ht="14.5" hidden="false" customHeight="false" outlineLevel="0" collapsed="false">
      <c r="B92" s="211" t="n">
        <v>2030</v>
      </c>
      <c r="C92" s="211" t="s">
        <v>482</v>
      </c>
      <c r="D92" s="212" t="s">
        <v>498</v>
      </c>
      <c r="E92" s="213" t="n">
        <v>0</v>
      </c>
      <c r="F92" s="213"/>
      <c r="G92" s="213" t="n">
        <v>0.03</v>
      </c>
      <c r="H92" s="213" t="n">
        <v>0.50119397890569</v>
      </c>
      <c r="I92" s="213" t="n">
        <v>0</v>
      </c>
      <c r="J92" s="213" t="n">
        <v>0</v>
      </c>
      <c r="K92" s="213" t="n">
        <v>0</v>
      </c>
      <c r="L92" s="213" t="n">
        <v>0</v>
      </c>
      <c r="M92" s="213" t="n">
        <v>0</v>
      </c>
      <c r="N92" s="213" t="n">
        <v>0</v>
      </c>
      <c r="O92" s="213" t="n">
        <v>0.46880602109431</v>
      </c>
      <c r="P92" s="213" t="n">
        <v>0</v>
      </c>
      <c r="Q92" s="213" t="n">
        <v>0</v>
      </c>
      <c r="R92" s="213" t="n">
        <v>0</v>
      </c>
      <c r="S92" s="214" t="n">
        <v>1</v>
      </c>
      <c r="V92" s="211" t="s">
        <v>482</v>
      </c>
      <c r="W92" s="211" t="n">
        <v>2030</v>
      </c>
      <c r="X92" s="212" t="s">
        <v>498</v>
      </c>
      <c r="Y92" s="223" t="n">
        <f aca="false">E92</f>
        <v>0</v>
      </c>
      <c r="Z92" s="223"/>
      <c r="AA92" s="223" t="n">
        <f aca="false">G92</f>
        <v>0.03</v>
      </c>
      <c r="AB92" s="223" t="n">
        <f aca="false">H92</f>
        <v>0.50119397890569</v>
      </c>
      <c r="AC92" s="223" t="n">
        <f aca="false">I92</f>
        <v>0</v>
      </c>
      <c r="AD92" s="223" t="n">
        <f aca="false">J92</f>
        <v>0</v>
      </c>
      <c r="AE92" s="223" t="n">
        <f aca="false">K92</f>
        <v>0</v>
      </c>
      <c r="AF92" s="223" t="n">
        <f aca="false">L92</f>
        <v>0</v>
      </c>
      <c r="AG92" s="223" t="n">
        <f aca="false">M92</f>
        <v>0</v>
      </c>
      <c r="AH92" s="223" t="n">
        <f aca="false">N92</f>
        <v>0</v>
      </c>
      <c r="AI92" s="223" t="n">
        <f aca="false">O92</f>
        <v>0.46880602109431</v>
      </c>
      <c r="AJ92" s="223" t="n">
        <f aca="false">P92</f>
        <v>0</v>
      </c>
      <c r="AK92" s="223" t="n">
        <f aca="false">Q92</f>
        <v>0</v>
      </c>
      <c r="AL92" s="223" t="n">
        <f aca="false">R92</f>
        <v>0</v>
      </c>
      <c r="AM92" s="208" t="n">
        <f aca="false">SUM(Y92:AL92)</f>
        <v>1</v>
      </c>
      <c r="AP92" s="59"/>
    </row>
    <row r="93" customFormat="false" ht="14.5" hidden="false" customHeight="false" outlineLevel="0" collapsed="false">
      <c r="B93" s="211" t="n">
        <v>2050</v>
      </c>
      <c r="C93" s="211" t="s">
        <v>482</v>
      </c>
      <c r="D93" s="212" t="s">
        <v>498</v>
      </c>
      <c r="E93" s="213" t="n">
        <v>0</v>
      </c>
      <c r="F93" s="213"/>
      <c r="G93" s="213" t="n">
        <v>0</v>
      </c>
      <c r="H93" s="213" t="n">
        <v>0.154075988632277</v>
      </c>
      <c r="I93" s="213" t="n">
        <v>0</v>
      </c>
      <c r="J93" s="213" t="n">
        <v>0</v>
      </c>
      <c r="K93" s="213" t="n">
        <v>0</v>
      </c>
      <c r="L93" s="213" t="n">
        <v>0</v>
      </c>
      <c r="M93" s="213" t="n">
        <v>0</v>
      </c>
      <c r="N93" s="213" t="n">
        <v>0</v>
      </c>
      <c r="O93" s="213" t="n">
        <v>0.845924011367723</v>
      </c>
      <c r="P93" s="213" t="n">
        <v>0</v>
      </c>
      <c r="Q93" s="213" t="n">
        <v>0</v>
      </c>
      <c r="R93" s="213" t="n">
        <v>0</v>
      </c>
      <c r="S93" s="214" t="n">
        <v>1</v>
      </c>
      <c r="V93" s="211" t="s">
        <v>482</v>
      </c>
      <c r="W93" s="211" t="n">
        <v>2050</v>
      </c>
      <c r="X93" s="212" t="s">
        <v>498</v>
      </c>
      <c r="Y93" s="223" t="n">
        <f aca="false">E93</f>
        <v>0</v>
      </c>
      <c r="Z93" s="223"/>
      <c r="AA93" s="223" t="n">
        <f aca="false">G93</f>
        <v>0</v>
      </c>
      <c r="AB93" s="223" t="n">
        <f aca="false">H93</f>
        <v>0.154075988632277</v>
      </c>
      <c r="AC93" s="223" t="n">
        <f aca="false">I93</f>
        <v>0</v>
      </c>
      <c r="AD93" s="223" t="n">
        <f aca="false">J93</f>
        <v>0</v>
      </c>
      <c r="AE93" s="223" t="n">
        <f aca="false">K93</f>
        <v>0</v>
      </c>
      <c r="AF93" s="223" t="n">
        <f aca="false">L93</f>
        <v>0</v>
      </c>
      <c r="AG93" s="223" t="n">
        <f aca="false">M93</f>
        <v>0</v>
      </c>
      <c r="AH93" s="223" t="n">
        <f aca="false">N93</f>
        <v>0</v>
      </c>
      <c r="AI93" s="223" t="n">
        <f aca="false">O93</f>
        <v>0.845924011367723</v>
      </c>
      <c r="AJ93" s="223" t="n">
        <f aca="false">P93</f>
        <v>0</v>
      </c>
      <c r="AK93" s="223" t="n">
        <f aca="false">Q93</f>
        <v>0</v>
      </c>
      <c r="AL93" s="223" t="n">
        <f aca="false">R93</f>
        <v>0</v>
      </c>
      <c r="AM93" s="208" t="n">
        <f aca="false">SUM(Y93:AL93)</f>
        <v>1</v>
      </c>
      <c r="AP93" s="59"/>
    </row>
    <row r="94" customFormat="false" ht="14.5" hidden="false" customHeight="false" outlineLevel="0" collapsed="false">
      <c r="C94" s="217"/>
      <c r="D94" s="218"/>
      <c r="E94" s="219"/>
      <c r="F94" s="219"/>
      <c r="G94" s="219"/>
      <c r="H94" s="219"/>
      <c r="I94" s="219"/>
      <c r="J94" s="219"/>
      <c r="K94" s="219"/>
      <c r="L94" s="219"/>
      <c r="M94" s="219"/>
      <c r="N94" s="219"/>
      <c r="O94" s="219"/>
      <c r="P94" s="219"/>
      <c r="Q94" s="219"/>
      <c r="R94" s="219"/>
      <c r="S94" s="220"/>
      <c r="V94" s="217"/>
      <c r="W94" s="217"/>
      <c r="X94" s="218"/>
      <c r="Y94" s="221"/>
      <c r="Z94" s="221"/>
      <c r="AA94" s="221"/>
      <c r="AB94" s="221"/>
      <c r="AC94" s="221"/>
      <c r="AD94" s="221"/>
      <c r="AE94" s="221"/>
      <c r="AF94" s="221"/>
      <c r="AG94" s="221"/>
      <c r="AH94" s="221"/>
      <c r="AI94" s="221"/>
      <c r="AJ94" s="221"/>
      <c r="AK94" s="221"/>
      <c r="AL94" s="221"/>
      <c r="AM94" s="222"/>
      <c r="AP94" s="59"/>
    </row>
    <row r="95" customFormat="false" ht="14.5" hidden="false" customHeight="false" outlineLevel="0" collapsed="false">
      <c r="B95" s="211" t="n">
        <v>2019</v>
      </c>
      <c r="C95" s="211" t="s">
        <v>483</v>
      </c>
      <c r="D95" s="212" t="s">
        <v>498</v>
      </c>
      <c r="E95" s="213" t="n">
        <v>0.0722722840523214</v>
      </c>
      <c r="F95" s="213"/>
      <c r="G95" s="213" t="n">
        <v>0.0201689588256188</v>
      </c>
      <c r="H95" s="213" t="n">
        <v>0.599440916636692</v>
      </c>
      <c r="I95" s="213" t="n">
        <v>0.0195195779195001</v>
      </c>
      <c r="J95" s="213" t="n">
        <v>0</v>
      </c>
      <c r="K95" s="213" t="n">
        <v>0</v>
      </c>
      <c r="L95" s="213" t="n">
        <v>0</v>
      </c>
      <c r="M95" s="213"/>
      <c r="N95" s="213" t="n">
        <v>0</v>
      </c>
      <c r="O95" s="213" t="n">
        <v>0.288564567726652</v>
      </c>
      <c r="P95" s="213" t="n">
        <v>0</v>
      </c>
      <c r="Q95" s="213" t="n">
        <v>0</v>
      </c>
      <c r="R95" s="213" t="n">
        <v>0</v>
      </c>
      <c r="S95" s="214" t="n">
        <v>0.999966305160784</v>
      </c>
      <c r="V95" s="211" t="s">
        <v>483</v>
      </c>
      <c r="W95" s="211" t="n">
        <v>2019</v>
      </c>
      <c r="X95" s="212" t="s">
        <v>498</v>
      </c>
      <c r="Y95" s="223" t="n">
        <f aca="false">INDEX(X$11:X$35,MATCH($V95,$V$11:$V$35,0))/INDEX($AL$11:$AL$35,MATCH($V95,$V$11:$V$35,0))</f>
        <v>0.0509746894930156</v>
      </c>
      <c r="Z95" s="223" t="n">
        <f aca="false">INDEX(Y$11:Y$35,MATCH($V95,$V$11:$V$35,0))/INDEX($AL$11:$AL$35,MATCH($V95,$V$11:$V$35,0))</f>
        <v>0.028679360398211</v>
      </c>
      <c r="AA95" s="223" t="n">
        <f aca="false">INDEX(Z$11:Z$35,MATCH($V95,$V$11:$V$35,0))/INDEX($AL$11:$AL$35,MATCH($V95,$V$11:$V$35,0))</f>
        <v>0.0222186225424019</v>
      </c>
      <c r="AB95" s="223" t="n">
        <f aca="false">INDEX(AA$11:AA$35,MATCH($V95,$V$11:$V$35,0))/INDEX($AL$11:$AL$35,MATCH($V95,$V$11:$V$35,0))</f>
        <v>0.660358899949981</v>
      </c>
      <c r="AC95" s="223" t="n">
        <f aca="false">INDEX(AB$11:AB$35,MATCH($V95,$V$11:$V$35,0))/INDEX($AL$11:$AL$35,MATCH($V95,$V$11:$V$35,0))</f>
        <v>0.0300413677355685</v>
      </c>
      <c r="AD95" s="223" t="n">
        <f aca="false">INDEX(AC$11:AC$35,MATCH($V95,$V$11:$V$35,0))/INDEX($AL$11:$AL$35,MATCH($V95,$V$11:$V$35,0))</f>
        <v>0</v>
      </c>
      <c r="AE95" s="223" t="n">
        <f aca="false">INDEX(AD$11:AD$35,MATCH($V95,$V$11:$V$35,0))/INDEX($AL$11:$AL$35,MATCH($V95,$V$11:$V$35,0))</f>
        <v>0</v>
      </c>
      <c r="AF95" s="223" t="n">
        <f aca="false">INDEX(AE$11:AE$35,MATCH($V95,$V$11:$V$35,0))/INDEX($AL$11:$AL$35,MATCH($V95,$V$11:$V$35,0))</f>
        <v>0</v>
      </c>
      <c r="AG95" s="223" t="n">
        <f aca="false">INDEX(AF$11:AF$35,MATCH($V95,$V$11:$V$35,0))/INDEX($AL$11:$AL$35,MATCH($V95,$V$11:$V$35,0))</f>
        <v>0</v>
      </c>
      <c r="AH95" s="223" t="n">
        <f aca="false">INDEX(AG$11:AG$35,MATCH($V95,$V$11:$V$35,0))/INDEX($AL$11:$AL$35,MATCH($V95,$V$11:$V$35,0))</f>
        <v>0</v>
      </c>
      <c r="AI95" s="223" t="n">
        <f aca="false">INDEX(AH$11:AH$35,MATCH($V95,$V$11:$V$35,0))/INDEX($AL$11:$AL$35,MATCH($V95,$V$11:$V$35,0))</f>
        <v>0.207727059880822</v>
      </c>
      <c r="AJ95" s="223" t="n">
        <f aca="false">INDEX(AI$11:AI$35,MATCH($V95,$V$11:$V$35,0))/INDEX($AL$11:$AL$35,MATCH($V95,$V$11:$V$35,0))</f>
        <v>0</v>
      </c>
      <c r="AK95" s="223" t="n">
        <f aca="false">INDEX(AJ$11:AJ$35,MATCH($V95,$V$11:$V$35,0))/INDEX($AL$11:$AL$35,MATCH($V95,$V$11:$V$35,0))</f>
        <v>0</v>
      </c>
      <c r="AL95" s="223" t="n">
        <f aca="false">INDEX(AK$11:AK$35,MATCH($V95,$V$11:$V$35,0))/INDEX($AL$11:$AL$35,MATCH($V95,$V$11:$V$35,0))</f>
        <v>0</v>
      </c>
      <c r="AM95" s="208" t="n">
        <f aca="false">INDEX(AL$11:AL$35,MATCH($V95,$V$11:$V$35,0))/INDEX($AL$11:$AL$35,MATCH($V95,$V$11:$V$35,0))</f>
        <v>1</v>
      </c>
      <c r="AP95" s="59" t="s">
        <v>516</v>
      </c>
    </row>
    <row r="96" customFormat="false" ht="14.5" hidden="false" customHeight="false" outlineLevel="0" collapsed="false">
      <c r="B96" s="211" t="n">
        <v>2030</v>
      </c>
      <c r="C96" s="211" t="s">
        <v>483</v>
      </c>
      <c r="D96" s="212" t="s">
        <v>498</v>
      </c>
      <c r="E96" s="213" t="n">
        <v>0</v>
      </c>
      <c r="F96" s="213"/>
      <c r="G96" s="213" t="n">
        <v>0.01</v>
      </c>
      <c r="H96" s="213" t="n">
        <v>0.55</v>
      </c>
      <c r="I96" s="213" t="n">
        <v>0.0195195779195001</v>
      </c>
      <c r="J96" s="213" t="n">
        <v>0</v>
      </c>
      <c r="K96" s="213" t="n">
        <v>0</v>
      </c>
      <c r="L96" s="213" t="n">
        <v>0</v>
      </c>
      <c r="M96" s="213" t="n">
        <v>0</v>
      </c>
      <c r="N96" s="213" t="n">
        <v>0</v>
      </c>
      <c r="O96" s="213" t="n">
        <v>0.4204804220805</v>
      </c>
      <c r="P96" s="213" t="n">
        <v>0</v>
      </c>
      <c r="Q96" s="213" t="n">
        <v>0</v>
      </c>
      <c r="R96" s="213" t="n">
        <v>0</v>
      </c>
      <c r="S96" s="214" t="n">
        <v>1</v>
      </c>
      <c r="V96" s="211" t="s">
        <v>483</v>
      </c>
      <c r="W96" s="211" t="n">
        <v>2030</v>
      </c>
      <c r="X96" s="212" t="s">
        <v>498</v>
      </c>
      <c r="Y96" s="223" t="n">
        <f aca="false">E96</f>
        <v>0</v>
      </c>
      <c r="Z96" s="223"/>
      <c r="AA96" s="223" t="n">
        <f aca="false">G96</f>
        <v>0.01</v>
      </c>
      <c r="AB96" s="215" t="n">
        <f aca="false">1-SUM(AC96:AL96,Y96:AA96)</f>
        <v>0.5295195779195</v>
      </c>
      <c r="AC96" s="215" t="n">
        <v>0.04</v>
      </c>
      <c r="AD96" s="223" t="n">
        <f aca="false">J96</f>
        <v>0</v>
      </c>
      <c r="AE96" s="223" t="n">
        <f aca="false">K96</f>
        <v>0</v>
      </c>
      <c r="AF96" s="223" t="n">
        <f aca="false">L96</f>
        <v>0</v>
      </c>
      <c r="AG96" s="223" t="n">
        <f aca="false">M96</f>
        <v>0</v>
      </c>
      <c r="AH96" s="223" t="n">
        <f aca="false">N96</f>
        <v>0</v>
      </c>
      <c r="AI96" s="223" t="n">
        <f aca="false">O96</f>
        <v>0.4204804220805</v>
      </c>
      <c r="AJ96" s="223" t="n">
        <f aca="false">P96</f>
        <v>0</v>
      </c>
      <c r="AK96" s="223" t="n">
        <f aca="false">Q96</f>
        <v>0</v>
      </c>
      <c r="AL96" s="223" t="n">
        <f aca="false">R96</f>
        <v>0</v>
      </c>
      <c r="AM96" s="208" t="n">
        <f aca="false">SUM(Y96:AL96)</f>
        <v>1</v>
      </c>
      <c r="AO96" s="216"/>
      <c r="AP96" s="59" t="s">
        <v>517</v>
      </c>
    </row>
    <row r="97" customFormat="false" ht="14.5" hidden="false" customHeight="false" outlineLevel="0" collapsed="false">
      <c r="B97" s="211" t="n">
        <v>2050</v>
      </c>
      <c r="C97" s="211" t="s">
        <v>483</v>
      </c>
      <c r="D97" s="212" t="s">
        <v>498</v>
      </c>
      <c r="E97" s="213" t="n">
        <v>0</v>
      </c>
      <c r="F97" s="213"/>
      <c r="G97" s="213" t="n">
        <v>0</v>
      </c>
      <c r="H97" s="213" t="n">
        <v>0.42</v>
      </c>
      <c r="I97" s="213" t="n">
        <v>0.0195195779195001</v>
      </c>
      <c r="J97" s="213" t="n">
        <v>0</v>
      </c>
      <c r="K97" s="213" t="n">
        <v>0</v>
      </c>
      <c r="L97" s="213" t="n">
        <v>0</v>
      </c>
      <c r="M97" s="213" t="n">
        <v>0</v>
      </c>
      <c r="N97" s="213" t="n">
        <v>0</v>
      </c>
      <c r="O97" s="213" t="n">
        <v>0.5604804220805</v>
      </c>
      <c r="P97" s="213" t="n">
        <v>0</v>
      </c>
      <c r="Q97" s="213" t="n">
        <v>0</v>
      </c>
      <c r="R97" s="213" t="n">
        <v>0</v>
      </c>
      <c r="S97" s="214" t="n">
        <v>1</v>
      </c>
      <c r="V97" s="211" t="s">
        <v>483</v>
      </c>
      <c r="W97" s="211" t="n">
        <v>2050</v>
      </c>
      <c r="X97" s="212" t="s">
        <v>498</v>
      </c>
      <c r="Y97" s="223" t="n">
        <f aca="false">E97</f>
        <v>0</v>
      </c>
      <c r="Z97" s="223"/>
      <c r="AA97" s="223" t="n">
        <f aca="false">G97</f>
        <v>0</v>
      </c>
      <c r="AB97" s="215" t="n">
        <f aca="false">1-SUM(AC97:AL97,Y97:AA97)</f>
        <v>0.3895195779195</v>
      </c>
      <c r="AC97" s="215" t="n">
        <f aca="false">5%</f>
        <v>0.05</v>
      </c>
      <c r="AD97" s="223" t="n">
        <f aca="false">J97</f>
        <v>0</v>
      </c>
      <c r="AE97" s="223" t="n">
        <f aca="false">K97</f>
        <v>0</v>
      </c>
      <c r="AF97" s="223" t="n">
        <f aca="false">L97</f>
        <v>0</v>
      </c>
      <c r="AG97" s="223" t="n">
        <f aca="false">M97</f>
        <v>0</v>
      </c>
      <c r="AH97" s="223" t="n">
        <f aca="false">N97</f>
        <v>0</v>
      </c>
      <c r="AI97" s="223" t="n">
        <f aca="false">O97</f>
        <v>0.5604804220805</v>
      </c>
      <c r="AJ97" s="223" t="n">
        <f aca="false">P97</f>
        <v>0</v>
      </c>
      <c r="AK97" s="223" t="n">
        <f aca="false">Q97</f>
        <v>0</v>
      </c>
      <c r="AL97" s="223" t="n">
        <f aca="false">R97</f>
        <v>0</v>
      </c>
      <c r="AM97" s="208" t="n">
        <f aca="false">SUM(Y97:AL97)</f>
        <v>1</v>
      </c>
      <c r="AP97" s="59"/>
    </row>
    <row r="98" customFormat="false" ht="14.5" hidden="false" customHeight="false" outlineLevel="0" collapsed="false">
      <c r="C98" s="217"/>
      <c r="D98" s="218"/>
      <c r="E98" s="219"/>
      <c r="F98" s="219"/>
      <c r="G98" s="219"/>
      <c r="H98" s="219"/>
      <c r="I98" s="219"/>
      <c r="J98" s="219"/>
      <c r="K98" s="219"/>
      <c r="L98" s="219"/>
      <c r="M98" s="219"/>
      <c r="N98" s="219"/>
      <c r="O98" s="219"/>
      <c r="P98" s="219"/>
      <c r="Q98" s="219"/>
      <c r="R98" s="219"/>
      <c r="S98" s="220"/>
      <c r="V98" s="217"/>
      <c r="W98" s="217"/>
      <c r="X98" s="218"/>
      <c r="Y98" s="221"/>
      <c r="Z98" s="221"/>
      <c r="AA98" s="221"/>
      <c r="AB98" s="221"/>
      <c r="AC98" s="221"/>
      <c r="AD98" s="221"/>
      <c r="AE98" s="221"/>
      <c r="AF98" s="221"/>
      <c r="AG98" s="221"/>
      <c r="AH98" s="221"/>
      <c r="AI98" s="221"/>
      <c r="AJ98" s="221"/>
      <c r="AK98" s="221"/>
      <c r="AL98" s="221"/>
      <c r="AM98" s="222"/>
      <c r="AP98" s="59"/>
    </row>
    <row r="99" customFormat="false" ht="14.5" hidden="false" customHeight="false" outlineLevel="0" collapsed="false">
      <c r="C99" s="206" t="s">
        <v>484</v>
      </c>
      <c r="D99" s="206"/>
      <c r="E99" s="225"/>
      <c r="F99" s="225"/>
      <c r="G99" s="225"/>
      <c r="H99" s="225"/>
      <c r="I99" s="225"/>
      <c r="J99" s="225"/>
      <c r="K99" s="225"/>
      <c r="L99" s="225"/>
      <c r="M99" s="225"/>
      <c r="N99" s="225"/>
      <c r="O99" s="225"/>
      <c r="P99" s="225"/>
      <c r="Q99" s="225"/>
      <c r="R99" s="225"/>
      <c r="S99" s="214"/>
      <c r="V99" s="209" t="s">
        <v>484</v>
      </c>
      <c r="W99" s="209"/>
      <c r="X99" s="209"/>
      <c r="Y99" s="207" t="s">
        <v>439</v>
      </c>
      <c r="Z99" s="207" t="s">
        <v>455</v>
      </c>
      <c r="AA99" s="207" t="s">
        <v>441</v>
      </c>
      <c r="AB99" s="207" t="s">
        <v>442</v>
      </c>
      <c r="AC99" s="207" t="s">
        <v>451</v>
      </c>
      <c r="AD99" s="207" t="s">
        <v>452</v>
      </c>
      <c r="AE99" s="207" t="s">
        <v>453</v>
      </c>
      <c r="AF99" s="207" t="s">
        <v>454</v>
      </c>
      <c r="AG99" s="207" t="s">
        <v>444</v>
      </c>
      <c r="AH99" s="207" t="s">
        <v>445</v>
      </c>
      <c r="AI99" s="207" t="s">
        <v>496</v>
      </c>
      <c r="AJ99" s="207" t="s">
        <v>456</v>
      </c>
      <c r="AK99" s="207" t="s">
        <v>447</v>
      </c>
      <c r="AL99" s="207" t="s">
        <v>448</v>
      </c>
      <c r="AM99" s="208"/>
      <c r="AP99" s="59"/>
    </row>
    <row r="100" customFormat="false" ht="14.5" hidden="false" customHeight="false" outlineLevel="0" collapsed="false">
      <c r="B100" s="211" t="n">
        <v>2019</v>
      </c>
      <c r="C100" s="211" t="s">
        <v>485</v>
      </c>
      <c r="D100" s="212" t="s">
        <v>498</v>
      </c>
      <c r="E100" s="213" t="n">
        <v>0.186</v>
      </c>
      <c r="F100" s="213"/>
      <c r="G100" s="213" t="n">
        <v>0.09</v>
      </c>
      <c r="H100" s="213" t="n">
        <v>0.67</v>
      </c>
      <c r="I100" s="213" t="n">
        <v>0.004</v>
      </c>
      <c r="J100" s="213" t="n">
        <v>0</v>
      </c>
      <c r="K100" s="213" t="n">
        <v>0</v>
      </c>
      <c r="L100" s="213" t="n">
        <v>0</v>
      </c>
      <c r="M100" s="213"/>
      <c r="N100" s="213" t="n">
        <v>0</v>
      </c>
      <c r="O100" s="213" t="n">
        <v>0.05</v>
      </c>
      <c r="P100" s="213" t="n">
        <v>0</v>
      </c>
      <c r="Q100" s="213" t="n">
        <v>0</v>
      </c>
      <c r="R100" s="213" t="n">
        <v>0</v>
      </c>
      <c r="S100" s="214" t="n">
        <v>1</v>
      </c>
      <c r="V100" s="211" t="s">
        <v>485</v>
      </c>
      <c r="W100" s="211" t="n">
        <v>2019</v>
      </c>
      <c r="X100" s="212" t="s">
        <v>498</v>
      </c>
      <c r="Y100" s="223" t="n">
        <f aca="false">INDEX(X$11:X$35,MATCH($V100,$V$11:$V$35,0))/INDEX($AL$11:$AL$35,MATCH($V100,$V$11:$V$35,0))</f>
        <v>0.186</v>
      </c>
      <c r="Z100" s="223" t="n">
        <f aca="false">INDEX(Y$11:Y$35,MATCH($V100,$V$11:$V$35,0))/INDEX($AL$11:$AL$35,MATCH($V100,$V$11:$V$35,0))</f>
        <v>0</v>
      </c>
      <c r="AA100" s="223" t="n">
        <f aca="false">INDEX(Z$11:Z$35,MATCH($V100,$V$11:$V$35,0))/INDEX($AL$11:$AL$35,MATCH($V100,$V$11:$V$35,0))</f>
        <v>0.09</v>
      </c>
      <c r="AB100" s="223" t="n">
        <f aca="false">INDEX(AA$11:AA$35,MATCH($V100,$V$11:$V$35,0))/INDEX($AL$11:$AL$35,MATCH($V100,$V$11:$V$35,0))</f>
        <v>0.67</v>
      </c>
      <c r="AC100" s="223" t="n">
        <f aca="false">INDEX(AB$11:AB$35,MATCH($V100,$V$11:$V$35,0))/INDEX($AL$11:$AL$35,MATCH($V100,$V$11:$V$35,0))</f>
        <v>0.004</v>
      </c>
      <c r="AD100" s="223" t="n">
        <f aca="false">INDEX(AC$11:AC$35,MATCH($V100,$V$11:$V$35,0))/INDEX($AL$11:$AL$35,MATCH($V100,$V$11:$V$35,0))</f>
        <v>0</v>
      </c>
      <c r="AE100" s="223" t="n">
        <f aca="false">INDEX(AD$11:AD$35,MATCH($V100,$V$11:$V$35,0))/INDEX($AL$11:$AL$35,MATCH($V100,$V$11:$V$35,0))</f>
        <v>0</v>
      </c>
      <c r="AF100" s="223" t="n">
        <f aca="false">INDEX(AE$11:AE$35,MATCH($V100,$V$11:$V$35,0))/INDEX($AL$11:$AL$35,MATCH($V100,$V$11:$V$35,0))</f>
        <v>0</v>
      </c>
      <c r="AG100" s="223" t="n">
        <f aca="false">INDEX(AF$11:AF$35,MATCH($V100,$V$11:$V$35,0))/INDEX($AL$11:$AL$35,MATCH($V100,$V$11:$V$35,0))</f>
        <v>0</v>
      </c>
      <c r="AH100" s="223" t="n">
        <f aca="false">INDEX(AG$11:AG$35,MATCH($V100,$V$11:$V$35,0))/INDEX($AL$11:$AL$35,MATCH($V100,$V$11:$V$35,0))</f>
        <v>0</v>
      </c>
      <c r="AI100" s="223" t="n">
        <f aca="false">INDEX(AH$11:AH$35,MATCH($V100,$V$11:$V$35,0))/INDEX($AL$11:$AL$35,MATCH($V100,$V$11:$V$35,0))</f>
        <v>0.05</v>
      </c>
      <c r="AJ100" s="223" t="n">
        <f aca="false">INDEX(AI$11:AI$35,MATCH($V100,$V$11:$V$35,0))/INDEX($AL$11:$AL$35,MATCH($V100,$V$11:$V$35,0))</f>
        <v>0</v>
      </c>
      <c r="AK100" s="223" t="n">
        <f aca="false">INDEX(AJ$11:AJ$35,MATCH($V100,$V$11:$V$35,0))/INDEX($AL$11:$AL$35,MATCH($V100,$V$11:$V$35,0))</f>
        <v>0</v>
      </c>
      <c r="AL100" s="223" t="n">
        <f aca="false">INDEX(AK$11:AK$35,MATCH($V100,$V$11:$V$35,0))/INDEX($AL$11:$AL$35,MATCH($V100,$V$11:$V$35,0))</f>
        <v>0</v>
      </c>
      <c r="AM100" s="208" t="n">
        <f aca="false">INDEX(AL$11:AL$35,MATCH($V100,$V$11:$V$35,0))/INDEX($AL$11:$AL$35,MATCH($V100,$V$11:$V$35,0))</f>
        <v>1</v>
      </c>
      <c r="AP100" s="59" t="s">
        <v>506</v>
      </c>
    </row>
    <row r="101" customFormat="false" ht="14.5" hidden="false" customHeight="false" outlineLevel="0" collapsed="false">
      <c r="B101" s="211" t="n">
        <v>2030</v>
      </c>
      <c r="C101" s="211" t="s">
        <v>485</v>
      </c>
      <c r="D101" s="212" t="s">
        <v>498</v>
      </c>
      <c r="E101" s="213" t="n">
        <v>0.05</v>
      </c>
      <c r="F101" s="213"/>
      <c r="G101" s="213" t="n">
        <v>0.03</v>
      </c>
      <c r="H101" s="213" t="n">
        <v>0.51</v>
      </c>
      <c r="I101" s="213" t="n">
        <v>0.04</v>
      </c>
      <c r="J101" s="213" t="n">
        <v>0</v>
      </c>
      <c r="K101" s="213" t="n">
        <v>0</v>
      </c>
      <c r="L101" s="213" t="n">
        <v>0</v>
      </c>
      <c r="M101" s="213" t="n">
        <v>0</v>
      </c>
      <c r="N101" s="213" t="n">
        <v>0</v>
      </c>
      <c r="O101" s="213" t="n">
        <v>0.37</v>
      </c>
      <c r="P101" s="213" t="n">
        <v>0</v>
      </c>
      <c r="Q101" s="213" t="n">
        <v>0</v>
      </c>
      <c r="R101" s="213" t="n">
        <v>0</v>
      </c>
      <c r="S101" s="214" t="n">
        <v>1</v>
      </c>
      <c r="V101" s="211" t="s">
        <v>485</v>
      </c>
      <c r="W101" s="211" t="n">
        <v>2030</v>
      </c>
      <c r="X101" s="212" t="s">
        <v>498</v>
      </c>
      <c r="Y101" s="223" t="n">
        <f aca="false">E101</f>
        <v>0.05</v>
      </c>
      <c r="Z101" s="223"/>
      <c r="AA101" s="223" t="n">
        <f aca="false">G101</f>
        <v>0.03</v>
      </c>
      <c r="AB101" s="223" t="n">
        <f aca="false">H101</f>
        <v>0.51</v>
      </c>
      <c r="AC101" s="223" t="n">
        <f aca="false">I101</f>
        <v>0.04</v>
      </c>
      <c r="AD101" s="223" t="n">
        <f aca="false">J101</f>
        <v>0</v>
      </c>
      <c r="AE101" s="223" t="n">
        <f aca="false">K101</f>
        <v>0</v>
      </c>
      <c r="AF101" s="223" t="n">
        <f aca="false">L101</f>
        <v>0</v>
      </c>
      <c r="AG101" s="223" t="n">
        <f aca="false">M101</f>
        <v>0</v>
      </c>
      <c r="AH101" s="223" t="n">
        <f aca="false">N101</f>
        <v>0</v>
      </c>
      <c r="AI101" s="223" t="n">
        <f aca="false">O101</f>
        <v>0.37</v>
      </c>
      <c r="AJ101" s="223" t="n">
        <f aca="false">P101</f>
        <v>0</v>
      </c>
      <c r="AK101" s="223" t="n">
        <f aca="false">Q101</f>
        <v>0</v>
      </c>
      <c r="AL101" s="223" t="n">
        <f aca="false">R101</f>
        <v>0</v>
      </c>
      <c r="AM101" s="208" t="n">
        <f aca="false">SUM(Y101:AL101)</f>
        <v>1</v>
      </c>
      <c r="AP101" s="59"/>
    </row>
    <row r="102" customFormat="false" ht="14.5" hidden="false" customHeight="false" outlineLevel="0" collapsed="false">
      <c r="B102" s="211" t="n">
        <v>2050</v>
      </c>
      <c r="C102" s="211" t="s">
        <v>485</v>
      </c>
      <c r="D102" s="212" t="s">
        <v>498</v>
      </c>
      <c r="E102" s="213" t="n">
        <v>0</v>
      </c>
      <c r="F102" s="213"/>
      <c r="G102" s="213" t="n">
        <v>0</v>
      </c>
      <c r="H102" s="213" t="n">
        <v>0.183386939754153</v>
      </c>
      <c r="I102" s="213" t="n">
        <v>0.0632862880268826</v>
      </c>
      <c r="J102" s="213" t="n">
        <v>0</v>
      </c>
      <c r="K102" s="213" t="n">
        <v>0</v>
      </c>
      <c r="L102" s="213" t="n">
        <v>0</v>
      </c>
      <c r="M102" s="213" t="n">
        <v>0</v>
      </c>
      <c r="N102" s="213" t="n">
        <v>0</v>
      </c>
      <c r="O102" s="213" t="n">
        <v>0.753326772218964</v>
      </c>
      <c r="P102" s="213" t="n">
        <v>0</v>
      </c>
      <c r="Q102" s="213" t="n">
        <v>0</v>
      </c>
      <c r="R102" s="213" t="n">
        <v>0</v>
      </c>
      <c r="S102" s="214" t="n">
        <v>1</v>
      </c>
      <c r="V102" s="211" t="s">
        <v>485</v>
      </c>
      <c r="W102" s="211" t="n">
        <v>2050</v>
      </c>
      <c r="X102" s="212" t="s">
        <v>498</v>
      </c>
      <c r="Y102" s="223" t="n">
        <f aca="false">E102</f>
        <v>0</v>
      </c>
      <c r="Z102" s="223"/>
      <c r="AA102" s="223" t="n">
        <f aca="false">G102</f>
        <v>0</v>
      </c>
      <c r="AB102" s="223" t="n">
        <f aca="false">H102</f>
        <v>0.183386939754153</v>
      </c>
      <c r="AC102" s="223" t="n">
        <f aca="false">I102</f>
        <v>0.0632862880268826</v>
      </c>
      <c r="AD102" s="223" t="n">
        <f aca="false">J102</f>
        <v>0</v>
      </c>
      <c r="AE102" s="223" t="n">
        <f aca="false">K102</f>
        <v>0</v>
      </c>
      <c r="AF102" s="223" t="n">
        <f aca="false">L102</f>
        <v>0</v>
      </c>
      <c r="AG102" s="223" t="n">
        <f aca="false">M102</f>
        <v>0</v>
      </c>
      <c r="AH102" s="223" t="n">
        <f aca="false">N102</f>
        <v>0</v>
      </c>
      <c r="AI102" s="223" t="n">
        <f aca="false">O102</f>
        <v>0.753326772218964</v>
      </c>
      <c r="AJ102" s="223" t="n">
        <f aca="false">P102</f>
        <v>0</v>
      </c>
      <c r="AK102" s="223" t="n">
        <f aca="false">Q102</f>
        <v>0</v>
      </c>
      <c r="AL102" s="223" t="n">
        <f aca="false">R102</f>
        <v>0</v>
      </c>
      <c r="AM102" s="208" t="n">
        <f aca="false">SUM(Y102:AL102)</f>
        <v>1</v>
      </c>
      <c r="AP102" s="59"/>
    </row>
    <row r="103" customFormat="false" ht="14.5" hidden="false" customHeight="false" outlineLevel="0" collapsed="false">
      <c r="C103" s="217"/>
      <c r="D103" s="218"/>
      <c r="E103" s="219"/>
      <c r="F103" s="219"/>
      <c r="G103" s="219"/>
      <c r="H103" s="219"/>
      <c r="I103" s="219"/>
      <c r="J103" s="219"/>
      <c r="K103" s="219"/>
      <c r="L103" s="219"/>
      <c r="M103" s="219"/>
      <c r="N103" s="219"/>
      <c r="O103" s="219"/>
      <c r="P103" s="219"/>
      <c r="Q103" s="219"/>
      <c r="R103" s="219"/>
      <c r="S103" s="220"/>
      <c r="V103" s="217"/>
      <c r="W103" s="217"/>
      <c r="X103" s="218"/>
      <c r="Y103" s="221"/>
      <c r="Z103" s="221"/>
      <c r="AA103" s="221"/>
      <c r="AB103" s="221"/>
      <c r="AC103" s="221"/>
      <c r="AD103" s="221"/>
      <c r="AE103" s="221"/>
      <c r="AF103" s="221"/>
      <c r="AG103" s="221"/>
      <c r="AH103" s="221"/>
      <c r="AI103" s="221"/>
      <c r="AJ103" s="221"/>
      <c r="AK103" s="221"/>
      <c r="AL103" s="221"/>
      <c r="AM103" s="222"/>
      <c r="AP103" s="59"/>
    </row>
    <row r="104" customFormat="false" ht="14.5" hidden="false" customHeight="false" outlineLevel="0" collapsed="false">
      <c r="B104" s="211" t="n">
        <v>2019</v>
      </c>
      <c r="C104" s="211" t="s">
        <v>486</v>
      </c>
      <c r="D104" s="212" t="s">
        <v>498</v>
      </c>
      <c r="E104" s="213" t="n">
        <v>0.00803964224786013</v>
      </c>
      <c r="F104" s="213"/>
      <c r="G104" s="213" t="n">
        <v>0.0409872430787003</v>
      </c>
      <c r="H104" s="213" t="n">
        <v>0.395545727063551</v>
      </c>
      <c r="I104" s="213" t="n">
        <v>0.0435570057014643</v>
      </c>
      <c r="J104" s="213" t="n">
        <v>0</v>
      </c>
      <c r="K104" s="213" t="n">
        <v>0</v>
      </c>
      <c r="L104" s="213" t="n">
        <v>0</v>
      </c>
      <c r="M104" s="213"/>
      <c r="N104" s="213" t="n">
        <v>0</v>
      </c>
      <c r="O104" s="213" t="n">
        <v>0.456122458026273</v>
      </c>
      <c r="P104" s="213" t="n">
        <v>0</v>
      </c>
      <c r="Q104" s="213" t="n">
        <v>0.0557826812813297</v>
      </c>
      <c r="R104" s="213" t="n">
        <v>0</v>
      </c>
      <c r="S104" s="214" t="n">
        <v>1.00003475739918</v>
      </c>
      <c r="U104" s="1" t="s">
        <v>518</v>
      </c>
      <c r="V104" s="211" t="s">
        <v>486</v>
      </c>
      <c r="W104" s="211" t="n">
        <v>2019</v>
      </c>
      <c r="X104" s="212" t="s">
        <v>498</v>
      </c>
      <c r="Y104" s="223" t="n">
        <f aca="false">INDEX(X$11:X$35,MATCH($V104,$V$11:$V$35,0))/INDEX($AL$11:$AL$35,MATCH($V104,$V$11:$V$35,0))</f>
        <v>0.00453964224786013</v>
      </c>
      <c r="Z104" s="223" t="n">
        <f aca="false">INDEX(Y$11:Y$35,MATCH($V104,$V$11:$V$35,0))/INDEX($AL$11:$AL$35,MATCH($V104,$V$11:$V$35,0))</f>
        <v>0.00346524260082149</v>
      </c>
      <c r="AA104" s="223" t="n">
        <f aca="false">INDEX(Z$11:Z$35,MATCH($V104,$V$11:$V$35,0))/INDEX($AL$11:$AL$35,MATCH($V104,$V$11:$V$35,0))</f>
        <v>0.0409872430787003</v>
      </c>
      <c r="AB104" s="223" t="n">
        <f aca="false">INDEX(AA$11:AA$35,MATCH($V104,$V$11:$V$35,0))/INDEX($AL$11:$AL$35,MATCH($V104,$V$11:$V$35,0))</f>
        <v>0.395545727063551</v>
      </c>
      <c r="AC104" s="223" t="n">
        <f aca="false">INDEX(AB$11:AB$35,MATCH($V104,$V$11:$V$35,0))/INDEX($AL$11:$AL$35,MATCH($V104,$V$11:$V$35,0))</f>
        <v>0.0435570057014643</v>
      </c>
      <c r="AD104" s="223" t="n">
        <f aca="false">INDEX(AC$11:AC$35,MATCH($V104,$V$11:$V$35,0))/INDEX($AL$11:$AL$35,MATCH($V104,$V$11:$V$35,0))</f>
        <v>0</v>
      </c>
      <c r="AE104" s="223" t="n">
        <f aca="false">INDEX(AD$11:AD$35,MATCH($V104,$V$11:$V$35,0))/INDEX($AL$11:$AL$35,MATCH($V104,$V$11:$V$35,0))</f>
        <v>0</v>
      </c>
      <c r="AF104" s="223" t="n">
        <f aca="false">INDEX(AE$11:AE$35,MATCH($V104,$V$11:$V$35,0))/INDEX($AL$11:$AL$35,MATCH($V104,$V$11:$V$35,0))</f>
        <v>0</v>
      </c>
      <c r="AG104" s="223" t="n">
        <f aca="false">INDEX(AF$11:AF$35,MATCH($V104,$V$11:$V$35,0))/INDEX($AL$11:$AL$35,MATCH($V104,$V$11:$V$35,0))</f>
        <v>0</v>
      </c>
      <c r="AH104" s="223" t="n">
        <f aca="false">INDEX(AG$11:AG$35,MATCH($V104,$V$11:$V$35,0))/INDEX($AL$11:$AL$35,MATCH($V104,$V$11:$V$35,0))</f>
        <v>0</v>
      </c>
      <c r="AI104" s="223" t="n">
        <f aca="false">INDEX(AH$11:AH$35,MATCH($V104,$V$11:$V$35,0))/INDEX($AL$11:$AL$35,MATCH($V104,$V$11:$V$35,0))</f>
        <v>0.456122458026273</v>
      </c>
      <c r="AJ104" s="223" t="n">
        <f aca="false">INDEX(AI$11:AI$35,MATCH($V104,$V$11:$V$35,0))/INDEX($AL$11:$AL$35,MATCH($V104,$V$11:$V$35,0))</f>
        <v>0</v>
      </c>
      <c r="AK104" s="223" t="n">
        <f aca="false">INDEX(AJ$11:AJ$35,MATCH($V104,$V$11:$V$35,0))/INDEX($AL$11:$AL$35,MATCH($V104,$V$11:$V$35,0))</f>
        <v>0.0557826812813297</v>
      </c>
      <c r="AL104" s="223" t="n">
        <f aca="false">INDEX(AK$11:AK$35,MATCH($V104,$V$11:$V$35,0))/INDEX($AL$11:$AL$35,MATCH($V104,$V$11:$V$35,0))</f>
        <v>0</v>
      </c>
      <c r="AM104" s="208" t="n">
        <f aca="false">INDEX(AL$11:AL$35,MATCH($V104,$V$11:$V$35,0))/INDEX($AL$11:$AL$35,MATCH($V104,$V$11:$V$35,0))</f>
        <v>1</v>
      </c>
      <c r="AP104" s="59" t="s">
        <v>519</v>
      </c>
    </row>
    <row r="105" customFormat="false" ht="14.5" hidden="false" customHeight="false" outlineLevel="0" collapsed="false">
      <c r="B105" s="211" t="n">
        <v>2030</v>
      </c>
      <c r="C105" s="211" t="s">
        <v>486</v>
      </c>
      <c r="D105" s="212" t="s">
        <v>498</v>
      </c>
      <c r="E105" s="213" t="n">
        <v>0</v>
      </c>
      <c r="F105" s="213"/>
      <c r="G105" s="213" t="n">
        <v>0.02</v>
      </c>
      <c r="H105" s="213" t="n">
        <v>0.36</v>
      </c>
      <c r="I105" s="213" t="n">
        <v>0.0535570057014643</v>
      </c>
      <c r="J105" s="213" t="n">
        <v>0</v>
      </c>
      <c r="K105" s="213" t="n">
        <v>0</v>
      </c>
      <c r="L105" s="213" t="n">
        <v>0</v>
      </c>
      <c r="M105" s="213" t="n">
        <v>0</v>
      </c>
      <c r="N105" s="213" t="n">
        <v>0</v>
      </c>
      <c r="O105" s="213" t="n">
        <v>0.498303413011329</v>
      </c>
      <c r="P105" s="213" t="n">
        <v>0</v>
      </c>
      <c r="Q105" s="213" t="n">
        <v>0.0681395812872065</v>
      </c>
      <c r="R105" s="213" t="n">
        <v>0</v>
      </c>
      <c r="S105" s="214" t="n">
        <v>1</v>
      </c>
      <c r="V105" s="211" t="s">
        <v>486</v>
      </c>
      <c r="W105" s="211" t="n">
        <v>2030</v>
      </c>
      <c r="X105" s="212" t="s">
        <v>498</v>
      </c>
      <c r="Y105" s="223" t="n">
        <f aca="false">E105</f>
        <v>0</v>
      </c>
      <c r="Z105" s="223"/>
      <c r="AA105" s="223" t="n">
        <v>0</v>
      </c>
      <c r="AB105" s="226" t="n">
        <f aca="false">1-SUM(Y105:AA105,AC105:AL105)</f>
        <v>0.338303413011329</v>
      </c>
      <c r="AC105" s="223" t="n">
        <f aca="false">I105</f>
        <v>0.0535570057014643</v>
      </c>
      <c r="AD105" s="223" t="n">
        <f aca="false">J105</f>
        <v>0</v>
      </c>
      <c r="AE105" s="223" t="n">
        <f aca="false">K105</f>
        <v>0</v>
      </c>
      <c r="AF105" s="223" t="n">
        <f aca="false">L105</f>
        <v>0</v>
      </c>
      <c r="AG105" s="226" t="n">
        <f aca="false">AJ105*2</f>
        <v>0.04</v>
      </c>
      <c r="AH105" s="223" t="n">
        <f aca="false">N105</f>
        <v>0</v>
      </c>
      <c r="AI105" s="226" t="n">
        <f aca="false">48%</f>
        <v>0.48</v>
      </c>
      <c r="AJ105" s="226" t="n">
        <v>0.02</v>
      </c>
      <c r="AK105" s="223" t="n">
        <f aca="false">Q105</f>
        <v>0.0681395812872065</v>
      </c>
      <c r="AL105" s="223" t="n">
        <f aca="false">R105</f>
        <v>0</v>
      </c>
      <c r="AM105" s="208" t="n">
        <f aca="false">SUM(Y105:AL105)</f>
        <v>1</v>
      </c>
      <c r="AP105" s="59"/>
    </row>
    <row r="106" customFormat="false" ht="14.5" hidden="false" customHeight="false" outlineLevel="0" collapsed="false">
      <c r="B106" s="211" t="n">
        <v>2050</v>
      </c>
      <c r="C106" s="211" t="s">
        <v>486</v>
      </c>
      <c r="D106" s="212" t="s">
        <v>498</v>
      </c>
      <c r="E106" s="213" t="n">
        <v>0</v>
      </c>
      <c r="F106" s="213"/>
      <c r="G106" s="213" t="n">
        <v>0</v>
      </c>
      <c r="H106" s="213" t="n">
        <v>0.244406489242222</v>
      </c>
      <c r="I106" s="213" t="n">
        <v>0.0735570057014643</v>
      </c>
      <c r="J106" s="213" t="n">
        <v>0</v>
      </c>
      <c r="K106" s="213" t="n">
        <v>0</v>
      </c>
      <c r="L106" s="213" t="n">
        <v>0</v>
      </c>
      <c r="M106" s="213" t="n">
        <v>0</v>
      </c>
      <c r="N106" s="213" t="n">
        <v>0</v>
      </c>
      <c r="O106" s="213" t="n">
        <v>0.602325874442579</v>
      </c>
      <c r="P106" s="213" t="n">
        <v>0</v>
      </c>
      <c r="Q106" s="213" t="n">
        <v>0.0797106306137344</v>
      </c>
      <c r="R106" s="213" t="n">
        <v>0</v>
      </c>
      <c r="S106" s="214" t="n">
        <v>1</v>
      </c>
      <c r="V106" s="211" t="s">
        <v>486</v>
      </c>
      <c r="W106" s="211" t="n">
        <v>2050</v>
      </c>
      <c r="X106" s="212" t="s">
        <v>498</v>
      </c>
      <c r="Y106" s="223" t="n">
        <f aca="false">E106</f>
        <v>0</v>
      </c>
      <c r="Z106" s="223"/>
      <c r="AA106" s="223" t="n">
        <f aca="false">G106</f>
        <v>0</v>
      </c>
      <c r="AB106" s="226" t="n">
        <f aca="false">1-SUM(Y106:AA106,AC106:AL106)</f>
        <v>0.0817323636848013</v>
      </c>
      <c r="AC106" s="223" t="n">
        <f aca="false">I106</f>
        <v>0.0735570057014643</v>
      </c>
      <c r="AD106" s="223" t="n">
        <f aca="false">J106</f>
        <v>0</v>
      </c>
      <c r="AE106" s="223" t="n">
        <f aca="false">K106</f>
        <v>0</v>
      </c>
      <c r="AF106" s="223" t="n">
        <f aca="false">L106</f>
        <v>0</v>
      </c>
      <c r="AG106" s="226" t="n">
        <v>0.17</v>
      </c>
      <c r="AH106" s="223" t="n">
        <f aca="false">N106</f>
        <v>0</v>
      </c>
      <c r="AI106" s="226" t="n">
        <v>0.51</v>
      </c>
      <c r="AJ106" s="226" t="n">
        <f aca="false">AG106/2</f>
        <v>0.085</v>
      </c>
      <c r="AK106" s="223" t="n">
        <f aca="false">Q106</f>
        <v>0.0797106306137344</v>
      </c>
      <c r="AL106" s="223" t="n">
        <f aca="false">R106</f>
        <v>0</v>
      </c>
      <c r="AM106" s="208" t="n">
        <f aca="false">SUM(Y106:AL106)</f>
        <v>1</v>
      </c>
      <c r="AP106" s="59"/>
    </row>
    <row r="107" customFormat="false" ht="14.5" hidden="false" customHeight="false" outlineLevel="0" collapsed="false">
      <c r="C107" s="217"/>
      <c r="D107" s="218"/>
      <c r="E107" s="219"/>
      <c r="F107" s="219"/>
      <c r="G107" s="219"/>
      <c r="H107" s="219"/>
      <c r="I107" s="219"/>
      <c r="J107" s="219"/>
      <c r="K107" s="219"/>
      <c r="L107" s="219"/>
      <c r="M107" s="219"/>
      <c r="N107" s="219"/>
      <c r="O107" s="219"/>
      <c r="P107" s="219"/>
      <c r="Q107" s="219"/>
      <c r="R107" s="219"/>
      <c r="S107" s="220"/>
      <c r="V107" s="217"/>
      <c r="W107" s="217"/>
      <c r="X107" s="218"/>
      <c r="Y107" s="221"/>
      <c r="Z107" s="221"/>
      <c r="AA107" s="221"/>
      <c r="AB107" s="221"/>
      <c r="AC107" s="221"/>
      <c r="AD107" s="221"/>
      <c r="AE107" s="221"/>
      <c r="AF107" s="221"/>
      <c r="AG107" s="221"/>
      <c r="AH107" s="221"/>
      <c r="AI107" s="221"/>
      <c r="AJ107" s="221"/>
      <c r="AK107" s="221"/>
      <c r="AL107" s="221"/>
      <c r="AM107" s="222"/>
      <c r="AP107" s="59" t="s">
        <v>519</v>
      </c>
    </row>
    <row r="108" customFormat="false" ht="14.5" hidden="false" customHeight="false" outlineLevel="0" collapsed="false">
      <c r="B108" s="211" t="n">
        <v>2019</v>
      </c>
      <c r="C108" s="206" t="s">
        <v>487</v>
      </c>
      <c r="D108" s="206"/>
      <c r="E108" s="213" t="n">
        <v>0.00977673492605233</v>
      </c>
      <c r="F108" s="213"/>
      <c r="G108" s="213" t="n">
        <v>0.0453284982935154</v>
      </c>
      <c r="H108" s="213" t="n">
        <v>0.366218714448237</v>
      </c>
      <c r="I108" s="213" t="n">
        <v>0.00341296928327645</v>
      </c>
      <c r="J108" s="213" t="n">
        <v>0</v>
      </c>
      <c r="K108" s="213" t="n">
        <v>0</v>
      </c>
      <c r="L108" s="213" t="n">
        <v>0</v>
      </c>
      <c r="M108" s="213"/>
      <c r="N108" s="213" t="n">
        <v>0</v>
      </c>
      <c r="O108" s="213" t="n">
        <v>0.574160978384528</v>
      </c>
      <c r="P108" s="213" t="n">
        <v>0</v>
      </c>
      <c r="Q108" s="213" t="n">
        <v>0.00110210466439135</v>
      </c>
      <c r="R108" s="213" t="n">
        <v>0</v>
      </c>
      <c r="S108" s="214" t="n">
        <v>1</v>
      </c>
      <c r="U108" s="1" t="s">
        <v>520</v>
      </c>
      <c r="V108" s="206" t="s">
        <v>487</v>
      </c>
      <c r="W108" s="227" t="n">
        <v>2019</v>
      </c>
      <c r="X108" s="206"/>
      <c r="Y108" s="223" t="n">
        <f aca="false">INDEX(X$11:X$35,MATCH($V108,$V$11:$V$35,0))/INDEX($AL$11:$AL$35,MATCH($V108,$V$11:$V$35,0))</f>
        <v>0.000462172923777018</v>
      </c>
      <c r="Z108" s="223" t="n">
        <f aca="false">INDEX(Y$11:Y$35,MATCH($V108,$V$11:$V$35,0))/INDEX($AL$11:$AL$35,MATCH($V108,$V$11:$V$35,0))</f>
        <v>0.00931456200227531</v>
      </c>
      <c r="AA108" s="223" t="n">
        <f aca="false">INDEX(Z$11:Z$35,MATCH($V108,$V$11:$V$35,0))/INDEX($AL$11:$AL$35,MATCH($V108,$V$11:$V$35,0))</f>
        <v>0.0453284982935154</v>
      </c>
      <c r="AB108" s="223" t="n">
        <f aca="false">INDEX(AA$11:AA$35,MATCH($V108,$V$11:$V$35,0))/INDEX($AL$11:$AL$35,MATCH($V108,$V$11:$V$35,0))</f>
        <v>0.366218714448237</v>
      </c>
      <c r="AC108" s="223" t="n">
        <f aca="false">INDEX(AB$11:AB$35,MATCH($V108,$V$11:$V$35,0))/INDEX($AL$11:$AL$35,MATCH($V108,$V$11:$V$35,0))</f>
        <v>0.00341296928327645</v>
      </c>
      <c r="AD108" s="223" t="n">
        <f aca="false">INDEX(AC$11:AC$35,MATCH($V108,$V$11:$V$35,0))/INDEX($AL$11:$AL$35,MATCH($V108,$V$11:$V$35,0))</f>
        <v>0</v>
      </c>
      <c r="AE108" s="223" t="n">
        <f aca="false">INDEX(AD$11:AD$35,MATCH($V108,$V$11:$V$35,0))/INDEX($AL$11:$AL$35,MATCH($V108,$V$11:$V$35,0))</f>
        <v>0</v>
      </c>
      <c r="AF108" s="223" t="n">
        <f aca="false">INDEX(AE$11:AE$35,MATCH($V108,$V$11:$V$35,0))/INDEX($AL$11:$AL$35,MATCH($V108,$V$11:$V$35,0))</f>
        <v>0</v>
      </c>
      <c r="AG108" s="223" t="n">
        <f aca="false">INDEX(AF$11:AF$35,MATCH($V108,$V$11:$V$35,0))/INDEX($AL$11:$AL$35,MATCH($V108,$V$11:$V$35,0))</f>
        <v>0</v>
      </c>
      <c r="AH108" s="223" t="n">
        <f aca="false">INDEX(AG$11:AG$35,MATCH($V108,$V$11:$V$35,0))/INDEX($AL$11:$AL$35,MATCH($V108,$V$11:$V$35,0))</f>
        <v>0</v>
      </c>
      <c r="AI108" s="223" t="n">
        <f aca="false">INDEX(AH$11:AH$35,MATCH($V108,$V$11:$V$35,0))/INDEX($AL$11:$AL$35,MATCH($V108,$V$11:$V$35,0))</f>
        <v>0.574160978384528</v>
      </c>
      <c r="AJ108" s="223" t="n">
        <f aca="false">INDEX(AI$11:AI$35,MATCH($V108,$V$11:$V$35,0))/INDEX($AL$11:$AL$35,MATCH($V108,$V$11:$V$35,0))</f>
        <v>0</v>
      </c>
      <c r="AK108" s="223" t="n">
        <f aca="false">INDEX(AJ$11:AJ$35,MATCH($V108,$V$11:$V$35,0))/INDEX($AL$11:$AL$35,MATCH($V108,$V$11:$V$35,0))</f>
        <v>0.00110210466439135</v>
      </c>
      <c r="AL108" s="223" t="n">
        <f aca="false">INDEX(AK$11:AK$35,MATCH($V108,$V$11:$V$35,0))/INDEX($AL$11:$AL$35,MATCH($V108,$V$11:$V$35,0))</f>
        <v>0</v>
      </c>
      <c r="AM108" s="208" t="n">
        <f aca="false">INDEX(AL$11:AL$35,MATCH($V108,$V$11:$V$35,0))/INDEX($AL$11:$AL$35,MATCH($V108,$V$11:$V$35,0))</f>
        <v>1</v>
      </c>
      <c r="AP108" s="59"/>
    </row>
    <row r="109" customFormat="false" ht="14.5" hidden="false" customHeight="false" outlineLevel="0" collapsed="false">
      <c r="B109" s="211" t="n">
        <v>2030</v>
      </c>
      <c r="C109" s="206" t="s">
        <v>487</v>
      </c>
      <c r="D109" s="206"/>
      <c r="E109" s="213" t="n">
        <v>0</v>
      </c>
      <c r="F109" s="213"/>
      <c r="G109" s="213" t="n">
        <v>0</v>
      </c>
      <c r="H109" s="213" t="n">
        <v>0.3</v>
      </c>
      <c r="I109" s="213" t="n">
        <v>0</v>
      </c>
      <c r="J109" s="213" t="n">
        <v>0</v>
      </c>
      <c r="K109" s="213" t="n">
        <v>0</v>
      </c>
      <c r="L109" s="213" t="n">
        <v>0</v>
      </c>
      <c r="M109" s="213" t="n">
        <v>0</v>
      </c>
      <c r="N109" s="213" t="n">
        <v>0</v>
      </c>
      <c r="O109" s="213" t="n">
        <v>0.7</v>
      </c>
      <c r="P109" s="213" t="n">
        <v>0</v>
      </c>
      <c r="Q109" s="213" t="n">
        <v>0</v>
      </c>
      <c r="R109" s="213" t="n">
        <v>0</v>
      </c>
      <c r="S109" s="214" t="n">
        <v>1</v>
      </c>
      <c r="V109" s="206" t="s">
        <v>487</v>
      </c>
      <c r="W109" s="227" t="n">
        <v>2030</v>
      </c>
      <c r="X109" s="206"/>
      <c r="Y109" s="223" t="n">
        <f aca="false">E109</f>
        <v>0</v>
      </c>
      <c r="Z109" s="223"/>
      <c r="AA109" s="223" t="n">
        <f aca="false">G109</f>
        <v>0</v>
      </c>
      <c r="AB109" s="215" t="n">
        <f aca="false">1-SUM(Y109:AA109,AC109:AL109)</f>
        <v>0.28</v>
      </c>
      <c r="AC109" s="223" t="n">
        <f aca="false">I109</f>
        <v>0</v>
      </c>
      <c r="AD109" s="223" t="n">
        <f aca="false">J109</f>
        <v>0</v>
      </c>
      <c r="AE109" s="223" t="n">
        <f aca="false">K109</f>
        <v>0</v>
      </c>
      <c r="AF109" s="223" t="n">
        <f aca="false">L109</f>
        <v>0</v>
      </c>
      <c r="AG109" s="226" t="n">
        <f aca="false">AJ109*2</f>
        <v>0.02</v>
      </c>
      <c r="AH109" s="223" t="n">
        <f aca="false">N109</f>
        <v>0</v>
      </c>
      <c r="AI109" s="226" t="n">
        <v>0.68</v>
      </c>
      <c r="AJ109" s="226" t="n">
        <v>0.01</v>
      </c>
      <c r="AK109" s="228" t="n">
        <v>0.01</v>
      </c>
      <c r="AL109" s="223" t="n">
        <f aca="false">R109</f>
        <v>0</v>
      </c>
      <c r="AM109" s="208" t="n">
        <f aca="false">SUM(Y109:AL109)</f>
        <v>1</v>
      </c>
      <c r="AO109" s="216"/>
      <c r="AP109" s="59" t="s">
        <v>521</v>
      </c>
    </row>
    <row r="110" customFormat="false" ht="14.5" hidden="false" customHeight="false" outlineLevel="0" collapsed="false">
      <c r="B110" s="211" t="n">
        <v>2050</v>
      </c>
      <c r="C110" s="206" t="s">
        <v>487</v>
      </c>
      <c r="D110" s="206"/>
      <c r="E110" s="213" t="n">
        <v>0</v>
      </c>
      <c r="F110" s="213"/>
      <c r="G110" s="213" t="n">
        <v>0</v>
      </c>
      <c r="H110" s="213" t="n">
        <v>0.200038244171801</v>
      </c>
      <c r="I110" s="213" t="n">
        <v>0</v>
      </c>
      <c r="J110" s="213" t="n">
        <v>0</v>
      </c>
      <c r="K110" s="213" t="n">
        <v>0</v>
      </c>
      <c r="L110" s="213" t="n">
        <v>0</v>
      </c>
      <c r="M110" s="213" t="n">
        <v>0</v>
      </c>
      <c r="N110" s="213" t="n">
        <v>0</v>
      </c>
      <c r="O110" s="213" t="n">
        <v>0.795810583841677</v>
      </c>
      <c r="P110" s="213" t="n">
        <v>0</v>
      </c>
      <c r="Q110" s="213" t="n">
        <v>0</v>
      </c>
      <c r="R110" s="213" t="n">
        <v>0</v>
      </c>
      <c r="S110" s="214" t="n">
        <v>0.995848828013478</v>
      </c>
      <c r="V110" s="206" t="s">
        <v>487</v>
      </c>
      <c r="W110" s="227" t="n">
        <v>2050</v>
      </c>
      <c r="X110" s="206"/>
      <c r="Y110" s="223" t="n">
        <f aca="false">E110</f>
        <v>0</v>
      </c>
      <c r="Z110" s="223"/>
      <c r="AA110" s="223" t="n">
        <f aca="false">G110</f>
        <v>0</v>
      </c>
      <c r="AB110" s="215" t="n">
        <f aca="false">1-SUM(Y110:AA110,AC110:AL110)</f>
        <v>0.139189416158323</v>
      </c>
      <c r="AC110" s="223" t="n">
        <f aca="false">I110</f>
        <v>0</v>
      </c>
      <c r="AD110" s="223" t="n">
        <f aca="false">J110</f>
        <v>0</v>
      </c>
      <c r="AE110" s="223" t="n">
        <f aca="false">K110</f>
        <v>0</v>
      </c>
      <c r="AF110" s="223" t="n">
        <f aca="false">L110</f>
        <v>0</v>
      </c>
      <c r="AG110" s="226" t="n">
        <f aca="false">9%</f>
        <v>0.09</v>
      </c>
      <c r="AH110" s="223" t="n">
        <f aca="false">N110</f>
        <v>0</v>
      </c>
      <c r="AI110" s="226" t="n">
        <f aca="false">+O110-AJ110*2</f>
        <v>0.705810583841677</v>
      </c>
      <c r="AJ110" s="226" t="n">
        <f aca="false">AG110/2</f>
        <v>0.045</v>
      </c>
      <c r="AK110" s="228" t="n">
        <v>0.02</v>
      </c>
      <c r="AL110" s="223" t="n">
        <f aca="false">R110</f>
        <v>0</v>
      </c>
      <c r="AM110" s="208" t="n">
        <f aca="false">SUM(Y110:AL110)</f>
        <v>1</v>
      </c>
      <c r="AP110" s="59"/>
    </row>
    <row r="111" customFormat="false" ht="14.5" hidden="false" customHeight="false" outlineLevel="0" collapsed="false">
      <c r="C111" s="217"/>
      <c r="D111" s="218"/>
      <c r="E111" s="219"/>
      <c r="F111" s="219"/>
      <c r="G111" s="219"/>
      <c r="H111" s="219"/>
      <c r="I111" s="219"/>
      <c r="J111" s="219"/>
      <c r="K111" s="219"/>
      <c r="L111" s="219"/>
      <c r="M111" s="219"/>
      <c r="N111" s="219"/>
      <c r="O111" s="219"/>
      <c r="P111" s="219"/>
      <c r="Q111" s="219"/>
      <c r="R111" s="219"/>
      <c r="S111" s="220"/>
      <c r="V111" s="217"/>
      <c r="W111" s="217"/>
      <c r="X111" s="218"/>
      <c r="Y111" s="221"/>
      <c r="Z111" s="221"/>
      <c r="AA111" s="221"/>
      <c r="AB111" s="221"/>
      <c r="AC111" s="221"/>
      <c r="AD111" s="221"/>
      <c r="AE111" s="221"/>
      <c r="AF111" s="221"/>
      <c r="AG111" s="221"/>
      <c r="AH111" s="221"/>
      <c r="AI111" s="221"/>
      <c r="AJ111" s="221"/>
      <c r="AK111" s="221"/>
      <c r="AL111" s="221"/>
      <c r="AM111" s="222"/>
      <c r="AP111" s="59" t="s">
        <v>506</v>
      </c>
    </row>
    <row r="112" customFormat="false" ht="14.5" hidden="false" customHeight="false" outlineLevel="0" collapsed="false">
      <c r="B112" s="211" t="n">
        <v>2019</v>
      </c>
      <c r="C112" s="206" t="s">
        <v>31</v>
      </c>
      <c r="D112" s="229"/>
      <c r="E112" s="213" t="n">
        <v>0</v>
      </c>
      <c r="F112" s="213"/>
      <c r="G112" s="213" t="n">
        <v>0.605486610058785</v>
      </c>
      <c r="H112" s="213" t="n">
        <v>0.124951012410189</v>
      </c>
      <c r="I112" s="213" t="n">
        <v>0.0374265186152841</v>
      </c>
      <c r="J112" s="213" t="n">
        <v>0</v>
      </c>
      <c r="K112" s="213" t="n">
        <v>0</v>
      </c>
      <c r="L112" s="213" t="n">
        <v>0</v>
      </c>
      <c r="M112" s="213"/>
      <c r="N112" s="213" t="n">
        <v>0</v>
      </c>
      <c r="O112" s="213" t="n">
        <v>0.232135858915741</v>
      </c>
      <c r="P112" s="213" t="n">
        <v>0</v>
      </c>
      <c r="Q112" s="213" t="n">
        <v>0</v>
      </c>
      <c r="R112" s="213" t="n">
        <v>0</v>
      </c>
      <c r="S112" s="214" t="n">
        <v>0.999999999999999</v>
      </c>
      <c r="V112" s="206" t="s">
        <v>31</v>
      </c>
      <c r="W112" s="227" t="n">
        <v>2019</v>
      </c>
      <c r="X112" s="229"/>
      <c r="Y112" s="223" t="n">
        <f aca="false">INDEX(X$11:X$35,MATCH($V112,$V$11:$V$35,0))/INDEX($AL$11:$AL$35,MATCH($V112,$V$11:$V$35,0))</f>
        <v>0</v>
      </c>
      <c r="Z112" s="223" t="n">
        <f aca="false">INDEX(Y$11:Y$35,MATCH($V112,$V$11:$V$35,0))/INDEX($AL$11:$AL$35,MATCH($V112,$V$11:$V$35,0))</f>
        <v>0</v>
      </c>
      <c r="AA112" s="230" t="n">
        <f aca="false">INDEX(Z$11:Z$35,MATCH($V112,$V$11:$V$35,0))/INDEX($AL$11:$AL$35,MATCH($V112,$V$11:$V$35,0))</f>
        <v>0.605486610058785</v>
      </c>
      <c r="AB112" s="223" t="n">
        <f aca="false">INDEX(AA$11:AA$35,MATCH($V112,$V$11:$V$35,0))/INDEX($AL$11:$AL$35,MATCH($V112,$V$11:$V$35,0))</f>
        <v>0.124951012410189</v>
      </c>
      <c r="AC112" s="223" t="n">
        <f aca="false">INDEX(AB$11:AB$35,MATCH($V112,$V$11:$V$35,0))/INDEX($AL$11:$AL$35,MATCH($V112,$V$11:$V$35,0))</f>
        <v>0.0374265186152841</v>
      </c>
      <c r="AD112" s="223" t="n">
        <f aca="false">INDEX(AC$11:AC$35,MATCH($V112,$V$11:$V$35,0))/INDEX($AL$11:$AL$35,MATCH($V112,$V$11:$V$35,0))</f>
        <v>0</v>
      </c>
      <c r="AE112" s="223" t="n">
        <f aca="false">INDEX(AD$11:AD$35,MATCH($V112,$V$11:$V$35,0))/INDEX($AL$11:$AL$35,MATCH($V112,$V$11:$V$35,0))</f>
        <v>0</v>
      </c>
      <c r="AF112" s="223" t="n">
        <f aca="false">INDEX(AE$11:AE$35,MATCH($V112,$V$11:$V$35,0))/INDEX($AL$11:$AL$35,MATCH($V112,$V$11:$V$35,0))</f>
        <v>0</v>
      </c>
      <c r="AG112" s="223" t="n">
        <f aca="false">INDEX(AF$11:AF$35,MATCH($V112,$V$11:$V$35,0))/INDEX($AL$11:$AL$35,MATCH($V112,$V$11:$V$35,0))</f>
        <v>0</v>
      </c>
      <c r="AH112" s="223" t="n">
        <f aca="false">INDEX(AG$11:AG$35,MATCH($V112,$V$11:$V$35,0))/INDEX($AL$11:$AL$35,MATCH($V112,$V$11:$V$35,0))</f>
        <v>0</v>
      </c>
      <c r="AI112" s="230" t="n">
        <f aca="false">INDEX(AH$11:AH$35,MATCH($V112,$V$11:$V$35,0))/INDEX($AL$11:$AL$35,MATCH($V112,$V$11:$V$35,0))</f>
        <v>0.232135858915741</v>
      </c>
      <c r="AJ112" s="223" t="n">
        <f aca="false">INDEX(AI$11:AI$35,MATCH($V112,$V$11:$V$35,0))/INDEX($AL$11:$AL$35,MATCH($V112,$V$11:$V$35,0))</f>
        <v>0</v>
      </c>
      <c r="AK112" s="223" t="n">
        <f aca="false">INDEX(AJ$11:AJ$35,MATCH($V112,$V$11:$V$35,0))/INDEX($AL$11:$AL$35,MATCH($V112,$V$11:$V$35,0))</f>
        <v>0</v>
      </c>
      <c r="AL112" s="230" t="n">
        <f aca="false">INDEX(AK$11:AK$35,MATCH($V112,$V$11:$V$35,0))/INDEX($AL$11:$AL$35,MATCH($V112,$V$11:$V$35,0))</f>
        <v>0</v>
      </c>
      <c r="AM112" s="208" t="n">
        <f aca="false">INDEX(AL$11:AL$35,MATCH($V112,$V$11:$V$35,0))/INDEX($AL$11:$AL$35,MATCH($V112,$V$11:$V$35,0))</f>
        <v>1</v>
      </c>
      <c r="AP112" s="59"/>
    </row>
    <row r="113" customFormat="false" ht="14.5" hidden="false" customHeight="false" outlineLevel="0" collapsed="false">
      <c r="B113" s="211" t="n">
        <v>2030</v>
      </c>
      <c r="C113" s="206" t="s">
        <v>31</v>
      </c>
      <c r="D113" s="229"/>
      <c r="E113" s="213" t="n">
        <v>0</v>
      </c>
      <c r="F113" s="213"/>
      <c r="G113" s="213" t="n">
        <v>0.579527567659016</v>
      </c>
      <c r="H113" s="213" t="n">
        <v>0.124951012410189</v>
      </c>
      <c r="I113" s="213" t="n">
        <v>0.0374265186152841</v>
      </c>
      <c r="J113" s="213" t="n">
        <v>0.0259590423997693</v>
      </c>
      <c r="K113" s="213" t="n">
        <v>0</v>
      </c>
      <c r="L113" s="213" t="n">
        <v>0</v>
      </c>
      <c r="M113" s="213" t="n">
        <v>0</v>
      </c>
      <c r="N113" s="213" t="n">
        <v>0</v>
      </c>
      <c r="O113" s="213" t="n">
        <v>0.232135858915741</v>
      </c>
      <c r="P113" s="213" t="n">
        <v>0</v>
      </c>
      <c r="Q113" s="213" t="n">
        <v>0</v>
      </c>
      <c r="R113" s="213" t="n">
        <v>0</v>
      </c>
      <c r="S113" s="214" t="n">
        <v>1</v>
      </c>
      <c r="V113" s="206" t="s">
        <v>31</v>
      </c>
      <c r="W113" s="227" t="n">
        <v>2030</v>
      </c>
      <c r="X113" s="229"/>
      <c r="Y113" s="223" t="n">
        <f aca="false">E113</f>
        <v>0</v>
      </c>
      <c r="Z113" s="223"/>
      <c r="AA113" s="230" t="n">
        <v>0.45</v>
      </c>
      <c r="AB113" s="223" t="n">
        <f aca="false">H113</f>
        <v>0.124951012410189</v>
      </c>
      <c r="AC113" s="223" t="n">
        <f aca="false">I113</f>
        <v>0.0374265186152841</v>
      </c>
      <c r="AD113" s="223" t="n">
        <f aca="false">J113</f>
        <v>0.0259590423997693</v>
      </c>
      <c r="AE113" s="223" t="n">
        <f aca="false">K113</f>
        <v>0</v>
      </c>
      <c r="AF113" s="223" t="n">
        <f aca="false">L113</f>
        <v>0</v>
      </c>
      <c r="AG113" s="223" t="n">
        <f aca="false">M113</f>
        <v>0</v>
      </c>
      <c r="AH113" s="223" t="n">
        <f aca="false">N113</f>
        <v>0</v>
      </c>
      <c r="AI113" s="230" t="n">
        <f aca="false">23.2%+11%</f>
        <v>0.342</v>
      </c>
      <c r="AJ113" s="223" t="n">
        <f aca="false">P113</f>
        <v>0</v>
      </c>
      <c r="AK113" s="223" t="n">
        <f aca="false">Q113</f>
        <v>0</v>
      </c>
      <c r="AL113" s="230" t="n">
        <v>0.02</v>
      </c>
      <c r="AM113" s="208" t="n">
        <f aca="false">SUM(Y113:AL113)</f>
        <v>1.00033657342524</v>
      </c>
      <c r="AP113" s="59" t="s">
        <v>522</v>
      </c>
    </row>
    <row r="114" customFormat="false" ht="14.5" hidden="false" customHeight="false" outlineLevel="0" collapsed="false">
      <c r="B114" s="211" t="n">
        <v>2050</v>
      </c>
      <c r="C114" s="206" t="s">
        <v>31</v>
      </c>
      <c r="D114" s="229"/>
      <c r="E114" s="213" t="n">
        <v>0</v>
      </c>
      <c r="F114" s="213"/>
      <c r="G114" s="213" t="n">
        <v>0.533761049908301</v>
      </c>
      <c r="H114" s="213" t="n">
        <v>0.11</v>
      </c>
      <c r="I114" s="213" t="n">
        <v>0.0374265186152841</v>
      </c>
      <c r="J114" s="213" t="n">
        <v>0.0866765725606736</v>
      </c>
      <c r="K114" s="213" t="n">
        <v>0</v>
      </c>
      <c r="L114" s="213" t="n">
        <v>0</v>
      </c>
      <c r="M114" s="213" t="n">
        <v>0</v>
      </c>
      <c r="N114" s="213" t="n">
        <v>0</v>
      </c>
      <c r="O114" s="213" t="n">
        <v>0.232135858915741</v>
      </c>
      <c r="P114" s="213" t="n">
        <v>0</v>
      </c>
      <c r="Q114" s="213" t="n">
        <v>0</v>
      </c>
      <c r="R114" s="213" t="n">
        <v>0</v>
      </c>
      <c r="S114" s="214" t="n">
        <v>1</v>
      </c>
      <c r="V114" s="206" t="s">
        <v>31</v>
      </c>
      <c r="W114" s="227" t="n">
        <v>2050</v>
      </c>
      <c r="X114" s="229"/>
      <c r="Y114" s="223" t="n">
        <f aca="false">E114</f>
        <v>0</v>
      </c>
      <c r="Z114" s="223"/>
      <c r="AA114" s="230" t="n">
        <v>0.1</v>
      </c>
      <c r="AB114" s="223" t="n">
        <f aca="false">H114</f>
        <v>0.11</v>
      </c>
      <c r="AC114" s="223" t="n">
        <f aca="false">I114</f>
        <v>0.0374265186152841</v>
      </c>
      <c r="AD114" s="223" t="n">
        <f aca="false">J114</f>
        <v>0.0866765725606736</v>
      </c>
      <c r="AE114" s="223" t="n">
        <f aca="false">K114</f>
        <v>0</v>
      </c>
      <c r="AF114" s="223" t="n">
        <f aca="false">L114</f>
        <v>0</v>
      </c>
      <c r="AG114" s="223" t="n">
        <f aca="false">M114</f>
        <v>0</v>
      </c>
      <c r="AH114" s="223" t="n">
        <f aca="false">N114</f>
        <v>0</v>
      </c>
      <c r="AI114" s="230" t="n">
        <f aca="false">23.2%+36.4%</f>
        <v>0.596</v>
      </c>
      <c r="AJ114" s="223" t="n">
        <f aca="false">P114</f>
        <v>0</v>
      </c>
      <c r="AK114" s="223" t="n">
        <f aca="false">Q114</f>
        <v>0</v>
      </c>
      <c r="AL114" s="230" t="n">
        <v>0.07</v>
      </c>
      <c r="AM114" s="208" t="n">
        <f aca="false">SUM(Y114:AL114)</f>
        <v>1.00010309117596</v>
      </c>
      <c r="AP114" s="59"/>
    </row>
    <row r="115" customFormat="false" ht="14.5" hidden="false" customHeight="false" outlineLevel="0" collapsed="false">
      <c r="C115" s="217"/>
      <c r="D115" s="218"/>
      <c r="E115" s="219"/>
      <c r="F115" s="219"/>
      <c r="G115" s="219"/>
      <c r="H115" s="219"/>
      <c r="I115" s="219"/>
      <c r="J115" s="219"/>
      <c r="K115" s="219"/>
      <c r="L115" s="219"/>
      <c r="M115" s="219"/>
      <c r="N115" s="219"/>
      <c r="O115" s="219"/>
      <c r="P115" s="219"/>
      <c r="Q115" s="219"/>
      <c r="R115" s="219"/>
      <c r="S115" s="220"/>
      <c r="V115" s="217"/>
      <c r="W115" s="217"/>
      <c r="X115" s="218"/>
      <c r="Y115" s="221"/>
      <c r="Z115" s="221"/>
      <c r="AA115" s="221"/>
      <c r="AB115" s="221"/>
      <c r="AC115" s="221"/>
      <c r="AD115" s="221"/>
      <c r="AE115" s="221"/>
      <c r="AF115" s="221"/>
      <c r="AG115" s="221"/>
      <c r="AH115" s="221"/>
      <c r="AI115" s="221"/>
      <c r="AJ115" s="221"/>
      <c r="AK115" s="221"/>
      <c r="AL115" s="221"/>
      <c r="AM115" s="222"/>
      <c r="AP115" s="59"/>
    </row>
    <row r="116" customFormat="false" ht="14.5" hidden="false" customHeight="false" outlineLevel="0" collapsed="false">
      <c r="C116" s="206" t="s">
        <v>488</v>
      </c>
      <c r="D116" s="206"/>
      <c r="E116" s="225"/>
      <c r="F116" s="225"/>
      <c r="G116" s="225"/>
      <c r="H116" s="225"/>
      <c r="I116" s="225"/>
      <c r="J116" s="225"/>
      <c r="K116" s="225"/>
      <c r="L116" s="225"/>
      <c r="M116" s="225"/>
      <c r="N116" s="225"/>
      <c r="O116" s="225"/>
      <c r="P116" s="225"/>
      <c r="Q116" s="225"/>
      <c r="R116" s="225"/>
      <c r="S116" s="214"/>
      <c r="V116" s="206" t="s">
        <v>488</v>
      </c>
      <c r="W116" s="206"/>
      <c r="X116" s="206"/>
      <c r="Y116" s="207"/>
      <c r="Z116" s="207"/>
      <c r="AA116" s="207"/>
      <c r="AB116" s="207"/>
      <c r="AC116" s="207"/>
      <c r="AD116" s="207"/>
      <c r="AE116" s="207"/>
      <c r="AF116" s="207"/>
      <c r="AG116" s="207"/>
      <c r="AH116" s="207"/>
      <c r="AI116" s="207"/>
      <c r="AJ116" s="207"/>
      <c r="AK116" s="207"/>
      <c r="AL116" s="207"/>
      <c r="AM116" s="208"/>
      <c r="AP116" s="59"/>
    </row>
    <row r="117" customFormat="false" ht="14.5" hidden="false" customHeight="false" outlineLevel="0" collapsed="false">
      <c r="B117" s="211" t="n">
        <v>2019</v>
      </c>
      <c r="C117" s="211" t="s">
        <v>489</v>
      </c>
      <c r="D117" s="212" t="s">
        <v>498</v>
      </c>
      <c r="E117" s="213" t="n">
        <v>0.00415251414409218</v>
      </c>
      <c r="F117" s="213"/>
      <c r="G117" s="213" t="n">
        <v>0.0172156315557155</v>
      </c>
      <c r="H117" s="213" t="n">
        <v>0.330211385166664</v>
      </c>
      <c r="I117" s="213" t="n">
        <v>0.255033577016328</v>
      </c>
      <c r="J117" s="213" t="n">
        <v>0</v>
      </c>
      <c r="K117" s="213" t="n">
        <v>0</v>
      </c>
      <c r="L117" s="213" t="n">
        <v>0</v>
      </c>
      <c r="M117" s="213"/>
      <c r="N117" s="213" t="n">
        <v>0</v>
      </c>
      <c r="O117" s="213" t="n">
        <v>0.279299831545867</v>
      </c>
      <c r="P117" s="213" t="n">
        <v>0</v>
      </c>
      <c r="Q117" s="213" t="n">
        <v>0.114087060571334</v>
      </c>
      <c r="R117" s="213" t="n">
        <v>0</v>
      </c>
      <c r="S117" s="214" t="n">
        <v>1</v>
      </c>
      <c r="U117" s="179" t="s">
        <v>523</v>
      </c>
      <c r="V117" s="211" t="s">
        <v>489</v>
      </c>
      <c r="W117" s="211" t="n">
        <v>2019</v>
      </c>
      <c r="X117" s="212" t="s">
        <v>498</v>
      </c>
      <c r="Y117" s="223" t="n">
        <f aca="false">INDEX(X$11:X$35,MATCH($V117,$V$11:$V$35,0))/INDEX($AL$11:$AL$35,MATCH($V117,$V$11:$V$35,0))</f>
        <v>0.00415251414409218</v>
      </c>
      <c r="Z117" s="223" t="n">
        <f aca="false">INDEX(Y$11:Y$35,MATCH($V117,$V$11:$V$35,0))/INDEX($AL$11:$AL$35,MATCH($V117,$V$11:$V$35,0))</f>
        <v>0</v>
      </c>
      <c r="AA117" s="223" t="n">
        <f aca="false">INDEX(Z$11:Z$35,MATCH($V117,$V$11:$V$35,0))/INDEX($AL$11:$AL$35,MATCH($V117,$V$11:$V$35,0))</f>
        <v>0.0172156315557155</v>
      </c>
      <c r="AB117" s="223" t="n">
        <f aca="false">INDEX(AA$11:AA$35,MATCH($V117,$V$11:$V$35,0))/INDEX($AL$11:$AL$35,MATCH($V117,$V$11:$V$35,0))</f>
        <v>0.330211385166664</v>
      </c>
      <c r="AC117" s="223" t="n">
        <f aca="false">INDEX(AB$11:AB$35,MATCH($V117,$V$11:$V$35,0))/INDEX($AL$11:$AL$35,MATCH($V117,$V$11:$V$35,0))</f>
        <v>0.255033577016328</v>
      </c>
      <c r="AD117" s="223" t="n">
        <f aca="false">INDEX(AC$11:AC$35,MATCH($V117,$V$11:$V$35,0))/INDEX($AL$11:$AL$35,MATCH($V117,$V$11:$V$35,0))</f>
        <v>0</v>
      </c>
      <c r="AE117" s="223" t="n">
        <f aca="false">INDEX(AD$11:AD$35,MATCH($V117,$V$11:$V$35,0))/INDEX($AL$11:$AL$35,MATCH($V117,$V$11:$V$35,0))</f>
        <v>0</v>
      </c>
      <c r="AF117" s="223" t="n">
        <f aca="false">INDEX(AE$11:AE$35,MATCH($V117,$V$11:$V$35,0))/INDEX($AL$11:$AL$35,MATCH($V117,$V$11:$V$35,0))</f>
        <v>0</v>
      </c>
      <c r="AG117" s="223" t="n">
        <f aca="false">INDEX(AF$11:AF$35,MATCH($V117,$V$11:$V$35,0))/INDEX($AL$11:$AL$35,MATCH($V117,$V$11:$V$35,0))</f>
        <v>0</v>
      </c>
      <c r="AH117" s="223" t="n">
        <f aca="false">INDEX(AG$11:AG$35,MATCH($V117,$V$11:$V$35,0))/INDEX($AL$11:$AL$35,MATCH($V117,$V$11:$V$35,0))</f>
        <v>0</v>
      </c>
      <c r="AI117" s="223" t="n">
        <f aca="false">INDEX(AH$11:AH$35,MATCH($V117,$V$11:$V$35,0))/INDEX($AL$11:$AL$35,MATCH($V117,$V$11:$V$35,0))</f>
        <v>0.279299831545867</v>
      </c>
      <c r="AJ117" s="223" t="n">
        <f aca="false">INDEX(AI$11:AI$35,MATCH($V117,$V$11:$V$35,0))/INDEX($AL$11:$AL$35,MATCH($V117,$V$11:$V$35,0))</f>
        <v>0</v>
      </c>
      <c r="AK117" s="223" t="n">
        <f aca="false">INDEX(AJ$11:AJ$35,MATCH($V117,$V$11:$V$35,0))/INDEX($AL$11:$AL$35,MATCH($V117,$V$11:$V$35,0))</f>
        <v>0.114087060571334</v>
      </c>
      <c r="AL117" s="223" t="n">
        <f aca="false">INDEX(AK$11:AK$35,MATCH($V117,$V$11:$V$35,0))/INDEX($AL$11:$AL$35,MATCH($V117,$V$11:$V$35,0))</f>
        <v>0</v>
      </c>
      <c r="AM117" s="208" t="n">
        <f aca="false">INDEX(AL$11:AL$35,MATCH($V117,$V$11:$V$35,0))/INDEX($AL$11:$AL$35,MATCH($V117,$V$11:$V$35,0))</f>
        <v>1</v>
      </c>
      <c r="AP117" s="59"/>
    </row>
    <row r="118" customFormat="false" ht="14.5" hidden="false" customHeight="false" outlineLevel="0" collapsed="false">
      <c r="B118" s="211" t="n">
        <v>2030</v>
      </c>
      <c r="C118" s="211" t="s">
        <v>489</v>
      </c>
      <c r="D118" s="212" t="s">
        <v>498</v>
      </c>
      <c r="E118" s="213" t="n">
        <v>0</v>
      </c>
      <c r="F118" s="213"/>
      <c r="G118" s="213" t="n">
        <v>0</v>
      </c>
      <c r="H118" s="213" t="n">
        <v>0.24</v>
      </c>
      <c r="I118" s="213" t="n">
        <v>0.25</v>
      </c>
      <c r="J118" s="213" t="n">
        <v>0</v>
      </c>
      <c r="K118" s="213" t="n">
        <v>0</v>
      </c>
      <c r="L118" s="213" t="n">
        <v>0</v>
      </c>
      <c r="M118" s="213" t="n">
        <v>0</v>
      </c>
      <c r="N118" s="213" t="n">
        <v>0</v>
      </c>
      <c r="O118" s="213" t="n">
        <v>0.365912939428666</v>
      </c>
      <c r="P118" s="213" t="n">
        <v>0</v>
      </c>
      <c r="Q118" s="213" t="n">
        <v>0.144087060571334</v>
      </c>
      <c r="R118" s="213" t="n">
        <v>0</v>
      </c>
      <c r="S118" s="214" t="n">
        <v>1</v>
      </c>
      <c r="V118" s="211" t="s">
        <v>489</v>
      </c>
      <c r="W118" s="211" t="n">
        <v>2030</v>
      </c>
      <c r="X118" s="212" t="s">
        <v>498</v>
      </c>
      <c r="Y118" s="223" t="n">
        <f aca="false">E118</f>
        <v>0</v>
      </c>
      <c r="Z118" s="223" t="n">
        <f aca="false">Y118</f>
        <v>0</v>
      </c>
      <c r="AA118" s="223" t="n">
        <f aca="false">G118</f>
        <v>0</v>
      </c>
      <c r="AB118" s="223" t="n">
        <f aca="false">1-SUM(AC118:AL118)</f>
        <v>0.200912939428666</v>
      </c>
      <c r="AC118" s="223" t="n">
        <v>0.3</v>
      </c>
      <c r="AD118" s="223" t="n">
        <f aca="false">J118</f>
        <v>0</v>
      </c>
      <c r="AE118" s="223" t="n">
        <f aca="false">K118</f>
        <v>0</v>
      </c>
      <c r="AF118" s="223" t="n">
        <f aca="false">L118</f>
        <v>0</v>
      </c>
      <c r="AG118" s="223" t="n">
        <v>0.05</v>
      </c>
      <c r="AH118" s="223" t="n">
        <f aca="false">N118</f>
        <v>0</v>
      </c>
      <c r="AI118" s="215" t="n">
        <v>0.28</v>
      </c>
      <c r="AJ118" s="223" t="n">
        <f aca="false">AG118/2</f>
        <v>0.025</v>
      </c>
      <c r="AK118" s="223" t="n">
        <f aca="false">Q118</f>
        <v>0.144087060571334</v>
      </c>
      <c r="AL118" s="223" t="n">
        <f aca="false">R118</f>
        <v>0</v>
      </c>
      <c r="AM118" s="208" t="n">
        <f aca="false">SUM(Y118:AL118)</f>
        <v>1</v>
      </c>
      <c r="AP118" s="59"/>
    </row>
    <row r="119" customFormat="false" ht="14.5" hidden="false" customHeight="false" outlineLevel="0" collapsed="false">
      <c r="B119" s="211" t="n">
        <v>2050</v>
      </c>
      <c r="C119" s="211" t="s">
        <v>489</v>
      </c>
      <c r="D119" s="212" t="s">
        <v>498</v>
      </c>
      <c r="E119" s="213" t="n">
        <v>0</v>
      </c>
      <c r="F119" s="213"/>
      <c r="G119" s="213" t="n">
        <v>0</v>
      </c>
      <c r="H119" s="213" t="n">
        <v>0.175292644587171</v>
      </c>
      <c r="I119" s="213" t="n">
        <v>0.188504425535677</v>
      </c>
      <c r="J119" s="213" t="n">
        <v>0</v>
      </c>
      <c r="K119" s="213" t="n">
        <v>0</v>
      </c>
      <c r="L119" s="213" t="n">
        <v>0</v>
      </c>
      <c r="M119" s="213" t="n">
        <v>0</v>
      </c>
      <c r="N119" s="213" t="n">
        <v>0</v>
      </c>
      <c r="O119" s="213" t="n">
        <v>0.486202929877152</v>
      </c>
      <c r="P119" s="213" t="n">
        <v>0</v>
      </c>
      <c r="Q119" s="213" t="n">
        <v>0.15</v>
      </c>
      <c r="R119" s="213" t="n">
        <v>0</v>
      </c>
      <c r="S119" s="214" t="n">
        <v>1</v>
      </c>
      <c r="V119" s="211" t="s">
        <v>489</v>
      </c>
      <c r="W119" s="211" t="n">
        <v>2050</v>
      </c>
      <c r="X119" s="212" t="s">
        <v>498</v>
      </c>
      <c r="Y119" s="223" t="n">
        <f aca="false">E119</f>
        <v>0</v>
      </c>
      <c r="Z119" s="223" t="n">
        <f aca="false">Y119</f>
        <v>0</v>
      </c>
      <c r="AA119" s="223" t="n">
        <f aca="false">G119</f>
        <v>0</v>
      </c>
      <c r="AB119" s="215" t="n">
        <f aca="false">1-SUM(AC119:AL119)</f>
        <v>0.04</v>
      </c>
      <c r="AC119" s="215" t="n">
        <v>0.24</v>
      </c>
      <c r="AD119" s="223" t="n">
        <f aca="false">J119</f>
        <v>0</v>
      </c>
      <c r="AE119" s="223" t="n">
        <f aca="false">K119</f>
        <v>0</v>
      </c>
      <c r="AF119" s="223" t="n">
        <f aca="false">L119</f>
        <v>0</v>
      </c>
      <c r="AG119" s="223" t="n">
        <v>0.18</v>
      </c>
      <c r="AH119" s="223" t="n">
        <f aca="false">N119</f>
        <v>0</v>
      </c>
      <c r="AI119" s="215" t="n">
        <v>0.25</v>
      </c>
      <c r="AJ119" s="223" t="n">
        <f aca="false">AG119/2</f>
        <v>0.09</v>
      </c>
      <c r="AK119" s="215" t="n">
        <v>0.2</v>
      </c>
      <c r="AL119" s="223" t="n">
        <f aca="false">R119</f>
        <v>0</v>
      </c>
      <c r="AM119" s="208" t="n">
        <f aca="false">SUM(Y119:AL119)</f>
        <v>1</v>
      </c>
      <c r="AP119" s="59"/>
    </row>
    <row r="120" customFormat="false" ht="14.5" hidden="false" customHeight="false" outlineLevel="0" collapsed="false">
      <c r="C120" s="217"/>
      <c r="D120" s="218"/>
      <c r="E120" s="219"/>
      <c r="F120" s="219"/>
      <c r="G120" s="219"/>
      <c r="H120" s="219"/>
      <c r="I120" s="219"/>
      <c r="J120" s="219"/>
      <c r="K120" s="219"/>
      <c r="L120" s="219"/>
      <c r="M120" s="219"/>
      <c r="N120" s="219"/>
      <c r="O120" s="219"/>
      <c r="P120" s="219"/>
      <c r="Q120" s="219"/>
      <c r="R120" s="219"/>
      <c r="S120" s="220"/>
      <c r="V120" s="217"/>
      <c r="W120" s="217"/>
      <c r="X120" s="218"/>
      <c r="Y120" s="221"/>
      <c r="Z120" s="221"/>
      <c r="AA120" s="221"/>
      <c r="AB120" s="221"/>
      <c r="AC120" s="221"/>
      <c r="AD120" s="221"/>
      <c r="AE120" s="221"/>
      <c r="AF120" s="221"/>
      <c r="AG120" s="221"/>
      <c r="AH120" s="221"/>
      <c r="AI120" s="221"/>
      <c r="AJ120" s="221"/>
      <c r="AK120" s="221"/>
      <c r="AL120" s="221"/>
      <c r="AM120" s="222"/>
      <c r="AP120" s="59"/>
    </row>
    <row r="121" customFormat="false" ht="14.5" hidden="false" customHeight="false" outlineLevel="0" collapsed="false">
      <c r="B121" s="211" t="n">
        <v>2019</v>
      </c>
      <c r="C121" s="211" t="s">
        <v>490</v>
      </c>
      <c r="D121" s="212" t="s">
        <v>498</v>
      </c>
      <c r="E121" s="213" t="n">
        <v>0</v>
      </c>
      <c r="F121" s="213"/>
      <c r="G121" s="213" t="n">
        <v>0.142647488673455</v>
      </c>
      <c r="H121" s="213" t="n">
        <v>0.331192859810656</v>
      </c>
      <c r="I121" s="213" t="n">
        <v>0.0233432389860509</v>
      </c>
      <c r="J121" s="213" t="n">
        <v>0</v>
      </c>
      <c r="K121" s="213" t="n">
        <v>0</v>
      </c>
      <c r="L121" s="213" t="n">
        <v>0</v>
      </c>
      <c r="M121" s="213"/>
      <c r="N121" s="213" t="n">
        <v>0</v>
      </c>
      <c r="O121" s="213" t="n">
        <v>0.479602068819928</v>
      </c>
      <c r="P121" s="213" t="n">
        <v>0</v>
      </c>
      <c r="Q121" s="213" t="n">
        <v>0.0232143437099105</v>
      </c>
      <c r="R121" s="213" t="n">
        <v>0</v>
      </c>
      <c r="S121" s="214" t="n">
        <v>1</v>
      </c>
      <c r="U121" s="1" t="s">
        <v>524</v>
      </c>
      <c r="V121" s="211" t="s">
        <v>490</v>
      </c>
      <c r="W121" s="211" t="n">
        <v>2019</v>
      </c>
      <c r="X121" s="212" t="s">
        <v>498</v>
      </c>
      <c r="Y121" s="223" t="n">
        <f aca="false">INDEX(X$11:X$35,MATCH($V121,$V$11:$V$35,0))/INDEX($AL$11:$AL$35,MATCH($V121,$V$11:$V$35,0))</f>
        <v>0</v>
      </c>
      <c r="Z121" s="223" t="n">
        <f aca="false">INDEX(Y$11:Y$35,MATCH($V121,$V$11:$V$35,0))/INDEX($AL$11:$AL$35,MATCH($V121,$V$11:$V$35,0))</f>
        <v>0</v>
      </c>
      <c r="AA121" s="223" t="n">
        <f aca="false">INDEX(Z$11:Z$35,MATCH($V121,$V$11:$V$35,0))/INDEX($AL$11:$AL$35,MATCH($V121,$V$11:$V$35,0))</f>
        <v>0.142647488673455</v>
      </c>
      <c r="AB121" s="223" t="n">
        <f aca="false">INDEX(AA$11:AA$35,MATCH($V121,$V$11:$V$35,0))/INDEX($AL$11:$AL$35,MATCH($V121,$V$11:$V$35,0))</f>
        <v>0.331192859810656</v>
      </c>
      <c r="AC121" s="223" t="n">
        <f aca="false">INDEX(AB$11:AB$35,MATCH($V121,$V$11:$V$35,0))/INDEX($AL$11:$AL$35,MATCH($V121,$V$11:$V$35,0))</f>
        <v>0.0233432389860509</v>
      </c>
      <c r="AD121" s="223" t="n">
        <f aca="false">INDEX(AC$11:AC$35,MATCH($V121,$V$11:$V$35,0))/INDEX($AL$11:$AL$35,MATCH($V121,$V$11:$V$35,0))</f>
        <v>0</v>
      </c>
      <c r="AE121" s="223" t="n">
        <f aca="false">INDEX(AD$11:AD$35,MATCH($V121,$V$11:$V$35,0))/INDEX($AL$11:$AL$35,MATCH($V121,$V$11:$V$35,0))</f>
        <v>0</v>
      </c>
      <c r="AF121" s="223" t="n">
        <f aca="false">INDEX(AE$11:AE$35,MATCH($V121,$V$11:$V$35,0))/INDEX($AL$11:$AL$35,MATCH($V121,$V$11:$V$35,0))</f>
        <v>0</v>
      </c>
      <c r="AG121" s="223" t="n">
        <f aca="false">INDEX(AF$11:AF$35,MATCH($V121,$V$11:$V$35,0))/INDEX($AL$11:$AL$35,MATCH($V121,$V$11:$V$35,0))</f>
        <v>0</v>
      </c>
      <c r="AH121" s="223" t="n">
        <f aca="false">INDEX(AG$11:AG$35,MATCH($V121,$V$11:$V$35,0))/INDEX($AL$11:$AL$35,MATCH($V121,$V$11:$V$35,0))</f>
        <v>0</v>
      </c>
      <c r="AI121" s="223" t="n">
        <f aca="false">INDEX(AH$11:AH$35,MATCH($V121,$V$11:$V$35,0))/INDEX($AL$11:$AL$35,MATCH($V121,$V$11:$V$35,0))</f>
        <v>0.479602068819928</v>
      </c>
      <c r="AJ121" s="223" t="n">
        <f aca="false">INDEX(AI$11:AI$35,MATCH($V121,$V$11:$V$35,0))/INDEX($AL$11:$AL$35,MATCH($V121,$V$11:$V$35,0))</f>
        <v>0</v>
      </c>
      <c r="AK121" s="223" t="n">
        <f aca="false">INDEX(AJ$11:AJ$35,MATCH($V121,$V$11:$V$35,0))/INDEX($AL$11:$AL$35,MATCH($V121,$V$11:$V$35,0))</f>
        <v>0.0232143437099105</v>
      </c>
      <c r="AL121" s="223" t="n">
        <f aca="false">INDEX(AK$11:AK$35,MATCH($V121,$V$11:$V$35,0))/INDEX($AL$11:$AL$35,MATCH($V121,$V$11:$V$35,0))</f>
        <v>0</v>
      </c>
      <c r="AM121" s="208" t="n">
        <f aca="false">INDEX(AL$11:AL$35,MATCH($V121,$V$11:$V$35,0))/INDEX($AL$11:$AL$35,MATCH($V121,$V$11:$V$35,0))</f>
        <v>1</v>
      </c>
      <c r="AP121" s="59" t="s">
        <v>519</v>
      </c>
    </row>
    <row r="122" customFormat="false" ht="14.5" hidden="false" customHeight="false" outlineLevel="0" collapsed="false">
      <c r="B122" s="211" t="n">
        <v>2030</v>
      </c>
      <c r="C122" s="211" t="s">
        <v>490</v>
      </c>
      <c r="D122" s="212" t="s">
        <v>498</v>
      </c>
      <c r="E122" s="213" t="n">
        <v>0</v>
      </c>
      <c r="F122" s="213"/>
      <c r="G122" s="213" t="n">
        <v>0.04</v>
      </c>
      <c r="H122" s="213" t="n">
        <v>0.301490724374404</v>
      </c>
      <c r="I122" s="213" t="n">
        <v>0.02</v>
      </c>
      <c r="J122" s="213" t="n">
        <v>0</v>
      </c>
      <c r="K122" s="213" t="n">
        <v>0</v>
      </c>
      <c r="L122" s="213" t="n">
        <v>0</v>
      </c>
      <c r="M122" s="213" t="n">
        <v>0</v>
      </c>
      <c r="N122" s="213" t="n">
        <v>0</v>
      </c>
      <c r="O122" s="213" t="n">
        <v>0.618509275625596</v>
      </c>
      <c r="P122" s="213" t="n">
        <v>0</v>
      </c>
      <c r="Q122" s="213" t="n">
        <v>0.02</v>
      </c>
      <c r="R122" s="213" t="n">
        <v>0</v>
      </c>
      <c r="S122" s="214" t="n">
        <v>1</v>
      </c>
      <c r="V122" s="211" t="s">
        <v>490</v>
      </c>
      <c r="W122" s="211" t="n">
        <v>2030</v>
      </c>
      <c r="X122" s="212" t="s">
        <v>498</v>
      </c>
      <c r="Y122" s="223" t="n">
        <f aca="false">E122</f>
        <v>0</v>
      </c>
      <c r="Z122" s="223"/>
      <c r="AA122" s="223" t="n">
        <f aca="false">G122</f>
        <v>0.04</v>
      </c>
      <c r="AB122" s="226" t="n">
        <f aca="false">1-SUM(Y122:AA122,AC122:AL122)</f>
        <v>0.31</v>
      </c>
      <c r="AC122" s="223" t="n">
        <f aca="false">I122</f>
        <v>0.02</v>
      </c>
      <c r="AD122" s="223" t="n">
        <f aca="false">J122</f>
        <v>0</v>
      </c>
      <c r="AE122" s="223" t="n">
        <f aca="false">K122</f>
        <v>0</v>
      </c>
      <c r="AF122" s="223" t="n">
        <f aca="false">L122</f>
        <v>0</v>
      </c>
      <c r="AG122" s="226" t="n">
        <v>0.06</v>
      </c>
      <c r="AH122" s="223" t="n">
        <f aca="false">N122</f>
        <v>0</v>
      </c>
      <c r="AI122" s="226" t="n">
        <f aca="false">52%</f>
        <v>0.52</v>
      </c>
      <c r="AJ122" s="226" t="n">
        <f aca="false">AG122/2</f>
        <v>0.03</v>
      </c>
      <c r="AK122" s="223" t="n">
        <f aca="false">Q122</f>
        <v>0.02</v>
      </c>
      <c r="AL122" s="223" t="n">
        <f aca="false">R122</f>
        <v>0</v>
      </c>
      <c r="AM122" s="208" t="n">
        <f aca="false">SUM(Y122:AL122)</f>
        <v>1</v>
      </c>
      <c r="AP122" s="59"/>
    </row>
    <row r="123" customFormat="false" ht="14.5" hidden="false" customHeight="false" outlineLevel="0" collapsed="false">
      <c r="B123" s="211" t="n">
        <v>2050</v>
      </c>
      <c r="C123" s="211" t="s">
        <v>490</v>
      </c>
      <c r="D123" s="212" t="s">
        <v>498</v>
      </c>
      <c r="E123" s="213" t="n">
        <v>0</v>
      </c>
      <c r="F123" s="213"/>
      <c r="G123" s="213" t="n">
        <v>0</v>
      </c>
      <c r="H123" s="213" t="n">
        <v>0.284594065622731</v>
      </c>
      <c r="I123" s="213" t="n">
        <v>0.02</v>
      </c>
      <c r="J123" s="213" t="n">
        <v>0</v>
      </c>
      <c r="K123" s="213" t="n">
        <v>0</v>
      </c>
      <c r="L123" s="213" t="n">
        <v>0</v>
      </c>
      <c r="M123" s="213" t="n">
        <v>0</v>
      </c>
      <c r="N123" s="213" t="n">
        <v>0</v>
      </c>
      <c r="O123" s="213" t="n">
        <v>0.669257415563369</v>
      </c>
      <c r="P123" s="213" t="n">
        <v>0</v>
      </c>
      <c r="Q123" s="213" t="n">
        <v>0.0261485188139</v>
      </c>
      <c r="R123" s="213" t="n">
        <v>0</v>
      </c>
      <c r="S123" s="214" t="n">
        <v>1</v>
      </c>
      <c r="V123" s="211" t="s">
        <v>490</v>
      </c>
      <c r="W123" s="211" t="n">
        <v>2050</v>
      </c>
      <c r="X123" s="212" t="s">
        <v>498</v>
      </c>
      <c r="Y123" s="223" t="n">
        <f aca="false">E123</f>
        <v>0</v>
      </c>
      <c r="Z123" s="223"/>
      <c r="AA123" s="223" t="n">
        <f aca="false">G123</f>
        <v>0</v>
      </c>
      <c r="AB123" s="226" t="n">
        <f aca="false">1-SUM(Y123:AA123,AC123:AL123)</f>
        <v>0.0838514811861</v>
      </c>
      <c r="AC123" s="223" t="n">
        <f aca="false">I123</f>
        <v>0.02</v>
      </c>
      <c r="AD123" s="223" t="n">
        <f aca="false">J123</f>
        <v>0</v>
      </c>
      <c r="AE123" s="223" t="n">
        <f aca="false">K123</f>
        <v>0</v>
      </c>
      <c r="AF123" s="223" t="n">
        <f aca="false">L123</f>
        <v>0</v>
      </c>
      <c r="AG123" s="226" t="n">
        <f aca="false">22%</f>
        <v>0.22</v>
      </c>
      <c r="AH123" s="223" t="n">
        <f aca="false">N123</f>
        <v>0</v>
      </c>
      <c r="AI123" s="226" t="n">
        <f aca="false">54%</f>
        <v>0.54</v>
      </c>
      <c r="AJ123" s="226" t="n">
        <f aca="false">AG123/2</f>
        <v>0.11</v>
      </c>
      <c r="AK123" s="223" t="n">
        <f aca="false">Q123</f>
        <v>0.0261485188139</v>
      </c>
      <c r="AL123" s="223" t="n">
        <f aca="false">R123</f>
        <v>0</v>
      </c>
      <c r="AM123" s="208" t="n">
        <f aca="false">SUM(Y123:AL123)</f>
        <v>1</v>
      </c>
      <c r="AP123" s="59"/>
    </row>
    <row r="127" customFormat="false" ht="14.5" hidden="false" customHeight="false" outlineLevel="0" collapsed="false">
      <c r="C127" s="180" t="s">
        <v>3</v>
      </c>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c r="AA127" s="180"/>
      <c r="AB127" s="180"/>
      <c r="AC127" s="180"/>
      <c r="AD127" s="180"/>
      <c r="AE127" s="180"/>
      <c r="AF127" s="180"/>
      <c r="AG127" s="180"/>
      <c r="AH127" s="180"/>
      <c r="AI127" s="180"/>
      <c r="AJ127" s="180"/>
      <c r="AK127" s="180"/>
      <c r="AL127" s="180"/>
      <c r="AM127" s="180"/>
    </row>
    <row r="129" customFormat="false" ht="14.5" hidden="false" customHeight="false" outlineLevel="0" collapsed="false">
      <c r="C129" s="181" t="s">
        <v>436</v>
      </c>
      <c r="U129" s="181" t="s">
        <v>437</v>
      </c>
      <c r="V129" s="181"/>
      <c r="W129" s="181"/>
      <c r="X129" s="181"/>
      <c r="Y129" s="181"/>
      <c r="Z129" s="181"/>
      <c r="AA129" s="181"/>
      <c r="AB129" s="181"/>
      <c r="AC129" s="181"/>
      <c r="AD129" s="181"/>
      <c r="AE129" s="181"/>
      <c r="AF129" s="181"/>
      <c r="AG129" s="181"/>
      <c r="AH129" s="181"/>
      <c r="AI129" s="181"/>
      <c r="AJ129" s="181"/>
      <c r="AK129" s="181"/>
      <c r="AL129" s="181"/>
    </row>
    <row r="132" customFormat="false" ht="70.5" hidden="false" customHeight="false" outlineLevel="0" collapsed="false">
      <c r="C132" s="201" t="s">
        <v>495</v>
      </c>
      <c r="D132" s="201"/>
      <c r="E132" s="202" t="s">
        <v>439</v>
      </c>
      <c r="F132" s="202" t="s">
        <v>455</v>
      </c>
      <c r="G132" s="202" t="s">
        <v>441</v>
      </c>
      <c r="H132" s="202" t="s">
        <v>442</v>
      </c>
      <c r="I132" s="203" t="s">
        <v>451</v>
      </c>
      <c r="J132" s="203" t="s">
        <v>452</v>
      </c>
      <c r="K132" s="203" t="s">
        <v>453</v>
      </c>
      <c r="L132" s="203" t="s">
        <v>454</v>
      </c>
      <c r="M132" s="203" t="s">
        <v>444</v>
      </c>
      <c r="N132" s="203" t="s">
        <v>445</v>
      </c>
      <c r="O132" s="202" t="s">
        <v>496</v>
      </c>
      <c r="P132" s="202" t="s">
        <v>456</v>
      </c>
      <c r="Q132" s="202" t="s">
        <v>447</v>
      </c>
      <c r="R132" s="202" t="s">
        <v>448</v>
      </c>
      <c r="S132" s="202" t="s">
        <v>52</v>
      </c>
      <c r="V132" s="204" t="s">
        <v>495</v>
      </c>
      <c r="W132" s="204"/>
      <c r="X132" s="204"/>
      <c r="Y132" s="205" t="s">
        <v>439</v>
      </c>
      <c r="Z132" s="205" t="s">
        <v>455</v>
      </c>
      <c r="AA132" s="205" t="s">
        <v>441</v>
      </c>
      <c r="AB132" s="205" t="s">
        <v>497</v>
      </c>
      <c r="AC132" s="205" t="s">
        <v>451</v>
      </c>
      <c r="AD132" s="205" t="s">
        <v>452</v>
      </c>
      <c r="AE132" s="205" t="s">
        <v>453</v>
      </c>
      <c r="AF132" s="205" t="s">
        <v>454</v>
      </c>
      <c r="AG132" s="205" t="s">
        <v>444</v>
      </c>
      <c r="AH132" s="205" t="s">
        <v>445</v>
      </c>
      <c r="AI132" s="205" t="s">
        <v>496</v>
      </c>
      <c r="AJ132" s="205" t="s">
        <v>456</v>
      </c>
      <c r="AK132" s="205" t="s">
        <v>447</v>
      </c>
      <c r="AL132" s="205" t="s">
        <v>448</v>
      </c>
      <c r="AM132" s="205" t="s">
        <v>52</v>
      </c>
    </row>
    <row r="133" customFormat="false" ht="14.5" hidden="false" customHeight="false" outlineLevel="0" collapsed="false">
      <c r="B133" s="206"/>
      <c r="C133" s="206" t="s">
        <v>24</v>
      </c>
      <c r="D133" s="206"/>
      <c r="E133" s="207"/>
      <c r="F133" s="207"/>
      <c r="G133" s="207"/>
      <c r="H133" s="207"/>
      <c r="I133" s="207"/>
      <c r="J133" s="207"/>
      <c r="K133" s="207"/>
      <c r="L133" s="207"/>
      <c r="M133" s="207"/>
      <c r="N133" s="207"/>
      <c r="O133" s="207"/>
      <c r="P133" s="207"/>
      <c r="Q133" s="207"/>
      <c r="R133" s="207"/>
      <c r="S133" s="208"/>
      <c r="U133" s="206"/>
      <c r="V133" s="209" t="s">
        <v>24</v>
      </c>
      <c r="W133" s="209"/>
      <c r="X133" s="209"/>
      <c r="Y133" s="207"/>
      <c r="Z133" s="207"/>
      <c r="AA133" s="207"/>
      <c r="AB133" s="207"/>
      <c r="AC133" s="207"/>
      <c r="AD133" s="207"/>
      <c r="AE133" s="207"/>
      <c r="AF133" s="207"/>
      <c r="AG133" s="207"/>
      <c r="AH133" s="207"/>
      <c r="AI133" s="231"/>
      <c r="AJ133" s="231"/>
      <c r="AK133" s="207"/>
      <c r="AL133" s="207"/>
      <c r="AM133" s="208"/>
      <c r="AO133" s="59"/>
    </row>
    <row r="134" customFormat="false" ht="14.5" hidden="false" customHeight="false" outlineLevel="0" collapsed="false">
      <c r="B134" s="211" t="n">
        <v>2019</v>
      </c>
      <c r="C134" s="211" t="s">
        <v>461</v>
      </c>
      <c r="D134" s="212" t="s">
        <v>498</v>
      </c>
      <c r="E134" s="213" t="n">
        <v>0.480388367208748</v>
      </c>
      <c r="F134" s="213"/>
      <c r="G134" s="213" t="n">
        <v>0.00399537630379863</v>
      </c>
      <c r="H134" s="213" t="n">
        <v>0.286818430110047</v>
      </c>
      <c r="I134" s="213" t="n">
        <v>0</v>
      </c>
      <c r="J134" s="213" t="n">
        <v>0</v>
      </c>
      <c r="K134" s="213" t="n">
        <v>0</v>
      </c>
      <c r="L134" s="213" t="n">
        <v>0</v>
      </c>
      <c r="M134" s="213" t="n">
        <v>0</v>
      </c>
      <c r="N134" s="213" t="n">
        <v>0</v>
      </c>
      <c r="O134" s="213" t="n">
        <v>0.225970223646989</v>
      </c>
      <c r="P134" s="213" t="n">
        <v>0</v>
      </c>
      <c r="Q134" s="213" t="n">
        <v>0.00211917018774191</v>
      </c>
      <c r="R134" s="213" t="n">
        <v>0</v>
      </c>
      <c r="S134" s="214" t="n">
        <f aca="false">SUM(E134:R134)</f>
        <v>0.999291567457325</v>
      </c>
      <c r="U134" s="211" t="n">
        <v>2019</v>
      </c>
      <c r="V134" s="211" t="s">
        <v>461</v>
      </c>
      <c r="W134" s="211" t="n">
        <v>2019</v>
      </c>
      <c r="X134" s="212" t="s">
        <v>498</v>
      </c>
      <c r="Y134" s="215" t="n">
        <f aca="false">INDEX(X$11:X$35,MATCH($V134,$V$11:$V$35,0))/INDEX($AL$11:$AL$35,MATCH($V134,$V$11:$V$35,0))</f>
        <v>0.403618437555975</v>
      </c>
      <c r="Z134" s="215" t="n">
        <f aca="false">INDEX(Y$11:Y$35,MATCH($V134,$V$11:$V$35,0))/INDEX($AL$11:$AL$35,MATCH($V134,$V$11:$V$35,0))</f>
        <v>0.596381562444025</v>
      </c>
      <c r="AA134" s="215" t="n">
        <f aca="false">INDEX(Z$11:Z$35,MATCH($V134,$V$11:$V$35,0))/INDEX($AL$11:$AL$35,MATCH($V134,$V$11:$V$35,0))</f>
        <v>0</v>
      </c>
      <c r="AB134" s="215" t="n">
        <f aca="false">INDEX(AA$11:AA$35,MATCH($V134,$V$11:$V$35,0))/INDEX($AL$11:$AL$35,MATCH($V134,$V$11:$V$35,0))</f>
        <v>0</v>
      </c>
      <c r="AC134" s="215" t="n">
        <f aca="false">INDEX(AB$11:AB$35,MATCH($V134,$V$11:$V$35,0))/INDEX($AL$11:$AL$35,MATCH($V134,$V$11:$V$35,0))</f>
        <v>0</v>
      </c>
      <c r="AD134" s="215" t="n">
        <f aca="false">INDEX(AC$11:AC$35,MATCH($V134,$V$11:$V$35,0))/INDEX($AL$11:$AL$35,MATCH($V134,$V$11:$V$35,0))</f>
        <v>0</v>
      </c>
      <c r="AE134" s="215" t="n">
        <f aca="false">INDEX(AD$11:AD$35,MATCH($V134,$V$11:$V$35,0))/INDEX($AL$11:$AL$35,MATCH($V134,$V$11:$V$35,0))</f>
        <v>0</v>
      </c>
      <c r="AF134" s="215" t="n">
        <f aca="false">INDEX(AE$11:AE$35,MATCH($V134,$V$11:$V$35,0))/INDEX($AL$11:$AL$35,MATCH($V134,$V$11:$V$35,0))</f>
        <v>0</v>
      </c>
      <c r="AG134" s="215" t="n">
        <f aca="false">INDEX(AF$11:AF$35,MATCH($V134,$V$11:$V$35,0))/INDEX($AL$11:$AL$35,MATCH($V134,$V$11:$V$35,0))</f>
        <v>0</v>
      </c>
      <c r="AH134" s="215" t="n">
        <f aca="false">INDEX(AG$11:AG$35,MATCH($V134,$V$11:$V$35,0))/INDEX($AL$11:$AL$35,MATCH($V134,$V$11:$V$35,0))</f>
        <v>0</v>
      </c>
      <c r="AI134" s="215" t="n">
        <v>0</v>
      </c>
      <c r="AJ134" s="215" t="n">
        <f aca="false">INDEX(AI$11:AI$35,MATCH($V134,$V$11:$V$35,0))/INDEX($AL$11:$AL$35,MATCH($V134,$V$11:$V$35,0))</f>
        <v>0</v>
      </c>
      <c r="AK134" s="215" t="n">
        <f aca="false">INDEX(AJ$11:AJ$35,MATCH($V134,$V$11:$V$35,0))/INDEX($AL$11:$AL$35,MATCH($V134,$V$11:$V$35,0))</f>
        <v>0</v>
      </c>
      <c r="AL134" s="215" t="n">
        <f aca="false">INDEX(AK$11:AK$35,MATCH($V134,$V$11:$V$35,0))/INDEX($AL$11:$AL$35,MATCH($V134,$V$11:$V$35,0))</f>
        <v>0</v>
      </c>
      <c r="AM134" s="208" t="n">
        <f aca="false">INDEX(AL$11:AL$35,MATCH($V134,$V$11:$V$35,0))/INDEX($AL$11:$AL$35,MATCH($V134,$V$11:$V$35,0))</f>
        <v>1</v>
      </c>
      <c r="AO134" s="59" t="s">
        <v>525</v>
      </c>
    </row>
    <row r="135" customFormat="false" ht="14.5" hidden="false" customHeight="false" outlineLevel="0" collapsed="false">
      <c r="B135" s="211" t="n">
        <v>2025</v>
      </c>
      <c r="C135" s="211" t="s">
        <v>461</v>
      </c>
      <c r="D135" s="212" t="s">
        <v>498</v>
      </c>
      <c r="E135" s="213" t="n">
        <v>0.48043184302947</v>
      </c>
      <c r="F135" s="213" t="n">
        <v>0</v>
      </c>
      <c r="G135" s="213" t="n">
        <v>0.00441072724409894</v>
      </c>
      <c r="H135" s="213" t="n">
        <v>0.285645893464373</v>
      </c>
      <c r="I135" s="213" t="n">
        <v>0</v>
      </c>
      <c r="J135" s="213" t="n">
        <v>0</v>
      </c>
      <c r="K135" s="213" t="n">
        <v>0</v>
      </c>
      <c r="L135" s="213" t="n">
        <v>0</v>
      </c>
      <c r="M135" s="213" t="n">
        <v>0</v>
      </c>
      <c r="N135" s="213" t="n">
        <v>0</v>
      </c>
      <c r="O135" s="213" t="n">
        <v>0.226845961035822</v>
      </c>
      <c r="P135" s="213" t="n">
        <v>0</v>
      </c>
      <c r="Q135" s="213" t="n">
        <v>0.00269566284669806</v>
      </c>
      <c r="R135" s="213" t="n">
        <v>0</v>
      </c>
      <c r="S135" s="214" t="n">
        <f aca="false">SUM(E135:R135)</f>
        <v>1.00003008762046</v>
      </c>
      <c r="U135" s="211" t="n">
        <v>2025</v>
      </c>
      <c r="V135" s="211" t="s">
        <v>461</v>
      </c>
      <c r="W135" s="211" t="n">
        <v>2025</v>
      </c>
      <c r="X135" s="212" t="s">
        <v>498</v>
      </c>
      <c r="Y135" s="215" t="n">
        <f aca="false">Y134</f>
        <v>0.403618437555975</v>
      </c>
      <c r="Z135" s="215" t="n">
        <f aca="false">Z134</f>
        <v>0.596381562444025</v>
      </c>
      <c r="AA135" s="215" t="n">
        <f aca="false">+G135</f>
        <v>0.00441072724409894</v>
      </c>
      <c r="AB135" s="215" t="n">
        <f aca="false">AB134</f>
        <v>0</v>
      </c>
      <c r="AC135" s="215" t="n">
        <f aca="false">+I135</f>
        <v>0</v>
      </c>
      <c r="AD135" s="215" t="n">
        <f aca="false">+J135</f>
        <v>0</v>
      </c>
      <c r="AE135" s="215" t="n">
        <f aca="false">+K135</f>
        <v>0</v>
      </c>
      <c r="AF135" s="215" t="n">
        <f aca="false">+L135</f>
        <v>0</v>
      </c>
      <c r="AG135" s="215" t="n">
        <f aca="false">+M135</f>
        <v>0</v>
      </c>
      <c r="AH135" s="215" t="n">
        <f aca="false">+N135</f>
        <v>0</v>
      </c>
      <c r="AI135" s="215" t="n">
        <v>0</v>
      </c>
      <c r="AJ135" s="215" t="n">
        <f aca="false">+P135</f>
        <v>0</v>
      </c>
      <c r="AK135" s="215" t="n">
        <f aca="false">+Q135</f>
        <v>0.00269566284669806</v>
      </c>
      <c r="AL135" s="215" t="n">
        <f aca="false">+R135</f>
        <v>0</v>
      </c>
      <c r="AM135" s="208" t="n">
        <f aca="false">INDEX(AL$11:AL$35,MATCH($V135,$V$11:$V$35,0))/INDEX($AL$11:$AL$35,MATCH($V135,$V$11:$V$35,0))</f>
        <v>1</v>
      </c>
      <c r="AO135" s="59"/>
    </row>
    <row r="136" customFormat="false" ht="14.5" hidden="false" customHeight="false" outlineLevel="0" collapsed="false">
      <c r="B136" s="211" t="n">
        <v>2050</v>
      </c>
      <c r="C136" s="211" t="s">
        <v>461</v>
      </c>
      <c r="D136" s="212" t="s">
        <v>498</v>
      </c>
      <c r="E136" s="213" t="n">
        <v>0.29818412658464</v>
      </c>
      <c r="F136" s="213" t="n">
        <v>0</v>
      </c>
      <c r="G136" s="213" t="n">
        <v>0</v>
      </c>
      <c r="H136" s="213" t="n">
        <v>0.32</v>
      </c>
      <c r="I136" s="213" t="n">
        <v>0</v>
      </c>
      <c r="J136" s="213" t="n">
        <v>0</v>
      </c>
      <c r="K136" s="213" t="n">
        <v>0</v>
      </c>
      <c r="L136" s="213" t="n">
        <v>0</v>
      </c>
      <c r="M136" s="213" t="n">
        <v>0</v>
      </c>
      <c r="N136" s="213" t="n">
        <v>0</v>
      </c>
      <c r="O136" s="213" t="n">
        <v>0.276845961035822</v>
      </c>
      <c r="P136" s="213" t="n">
        <v>0</v>
      </c>
      <c r="Q136" s="213" t="n">
        <v>0</v>
      </c>
      <c r="R136" s="213" t="n">
        <v>0.104969912379538</v>
      </c>
      <c r="S136" s="214" t="n">
        <f aca="false">SUM(E136:R136)</f>
        <v>1</v>
      </c>
      <c r="U136" s="211" t="n">
        <v>2050</v>
      </c>
      <c r="V136" s="211" t="s">
        <v>461</v>
      </c>
      <c r="W136" s="211" t="n">
        <v>2050</v>
      </c>
      <c r="X136" s="212" t="s">
        <v>498</v>
      </c>
      <c r="Y136" s="215" t="n">
        <f aca="false">Y135</f>
        <v>0.403618437555975</v>
      </c>
      <c r="Z136" s="215" t="n">
        <f aca="false">Z135</f>
        <v>0.596381562444025</v>
      </c>
      <c r="AA136" s="215" t="n">
        <f aca="false">+G136</f>
        <v>0</v>
      </c>
      <c r="AB136" s="215" t="n">
        <f aca="false">AB135</f>
        <v>0</v>
      </c>
      <c r="AC136" s="215" t="n">
        <f aca="false">+I136</f>
        <v>0</v>
      </c>
      <c r="AD136" s="215" t="n">
        <f aca="false">+J136</f>
        <v>0</v>
      </c>
      <c r="AE136" s="215" t="n">
        <f aca="false">+K136</f>
        <v>0</v>
      </c>
      <c r="AF136" s="215" t="n">
        <f aca="false">+L136</f>
        <v>0</v>
      </c>
      <c r="AG136" s="215" t="n">
        <f aca="false">+M136</f>
        <v>0</v>
      </c>
      <c r="AH136" s="215" t="n">
        <f aca="false">+N136</f>
        <v>0</v>
      </c>
      <c r="AI136" s="215" t="n">
        <v>0</v>
      </c>
      <c r="AJ136" s="215" t="n">
        <f aca="false">+P136</f>
        <v>0</v>
      </c>
      <c r="AK136" s="215" t="n">
        <f aca="false">+Q136</f>
        <v>0</v>
      </c>
      <c r="AL136" s="215" t="n">
        <v>0</v>
      </c>
      <c r="AM136" s="208" t="n">
        <f aca="false">SUM(Y136:AL136)</f>
        <v>1</v>
      </c>
      <c r="AO136" s="59"/>
      <c r="AP136" s="216"/>
    </row>
    <row r="137" customFormat="false" ht="14.5" hidden="false" customHeight="false" outlineLevel="0" collapsed="false">
      <c r="B137" s="217"/>
      <c r="C137" s="217"/>
      <c r="D137" s="218"/>
      <c r="E137" s="219"/>
      <c r="F137" s="219"/>
      <c r="G137" s="219"/>
      <c r="H137" s="219"/>
      <c r="I137" s="219"/>
      <c r="J137" s="219"/>
      <c r="K137" s="219"/>
      <c r="L137" s="219"/>
      <c r="M137" s="219"/>
      <c r="N137" s="219"/>
      <c r="O137" s="219"/>
      <c r="P137" s="219"/>
      <c r="Q137" s="219"/>
      <c r="R137" s="219"/>
      <c r="S137" s="220"/>
      <c r="U137" s="217"/>
      <c r="V137" s="217"/>
      <c r="W137" s="217"/>
      <c r="X137" s="218"/>
      <c r="Y137" s="221"/>
      <c r="Z137" s="221"/>
      <c r="AA137" s="221"/>
      <c r="AB137" s="221"/>
      <c r="AC137" s="221"/>
      <c r="AD137" s="221"/>
      <c r="AE137" s="221"/>
      <c r="AF137" s="221"/>
      <c r="AG137" s="221"/>
      <c r="AH137" s="221"/>
      <c r="AI137" s="221"/>
      <c r="AJ137" s="221"/>
      <c r="AK137" s="221"/>
      <c r="AL137" s="221"/>
      <c r="AM137" s="222"/>
      <c r="AO137" s="59"/>
    </row>
    <row r="138" customFormat="false" ht="14.5" hidden="false" customHeight="false" outlineLevel="0" collapsed="false">
      <c r="B138" s="211" t="n">
        <v>2019</v>
      </c>
      <c r="C138" s="211" t="s">
        <v>464</v>
      </c>
      <c r="D138" s="212" t="s">
        <v>498</v>
      </c>
      <c r="E138" s="213" t="n">
        <v>0.035</v>
      </c>
      <c r="F138" s="213"/>
      <c r="G138" s="213" t="n">
        <v>0.02</v>
      </c>
      <c r="H138" s="213" t="n">
        <v>0.191</v>
      </c>
      <c r="I138" s="213" t="n">
        <v>0.029</v>
      </c>
      <c r="J138" s="213" t="n">
        <v>0</v>
      </c>
      <c r="K138" s="213" t="n">
        <v>0</v>
      </c>
      <c r="L138" s="213" t="n">
        <v>0</v>
      </c>
      <c r="M138" s="213" t="n">
        <v>0</v>
      </c>
      <c r="N138" s="213" t="n">
        <v>0</v>
      </c>
      <c r="O138" s="213" t="n">
        <v>0.725</v>
      </c>
      <c r="P138" s="213" t="n">
        <v>0</v>
      </c>
      <c r="Q138" s="213" t="n">
        <v>0</v>
      </c>
      <c r="R138" s="213" t="n">
        <v>0</v>
      </c>
      <c r="S138" s="214" t="n">
        <f aca="false">SUM(E138:R138)</f>
        <v>1</v>
      </c>
      <c r="U138" s="211" t="n">
        <v>2019</v>
      </c>
      <c r="V138" s="211" t="s">
        <v>464</v>
      </c>
      <c r="W138" s="211" t="n">
        <v>2019</v>
      </c>
      <c r="X138" s="212" t="s">
        <v>498</v>
      </c>
      <c r="Y138" s="215" t="n">
        <f aca="false">INDEX(X$11:X$35,MATCH($V138,$V$11:$V$35,0))/INDEX($AL$11:$AL$35,MATCH($V138,$V$11:$V$35,0))</f>
        <v>0.035</v>
      </c>
      <c r="Z138" s="215" t="n">
        <f aca="false">INDEX(Y$11:Y$35,MATCH($V138,$V$11:$V$35,0))/INDEX($AL$11:$AL$35,MATCH($V138,$V$11:$V$35,0))</f>
        <v>0</v>
      </c>
      <c r="AA138" s="215" t="n">
        <f aca="false">INDEX(Z$11:Z$35,MATCH($V138,$V$11:$V$35,0))/INDEX($AL$11:$AL$35,MATCH($V138,$V$11:$V$35,0))</f>
        <v>0.02</v>
      </c>
      <c r="AB138" s="215" t="n">
        <f aca="false">INDEX(AA$11:AA$35,MATCH($V138,$V$11:$V$35,0))/INDEX($AL$11:$AL$35,MATCH($V138,$V$11:$V$35,0))</f>
        <v>0.22</v>
      </c>
      <c r="AC138" s="215" t="n">
        <f aca="false">INDEX(AB$11:AB$35,MATCH($V138,$V$11:$V$35,0))/INDEX($AL$11:$AL$35,MATCH($V138,$V$11:$V$35,0))</f>
        <v>0</v>
      </c>
      <c r="AD138" s="215" t="n">
        <f aca="false">INDEX(AC$11:AC$35,MATCH($V138,$V$11:$V$35,0))/INDEX($AL$11:$AL$35,MATCH($V138,$V$11:$V$35,0))</f>
        <v>0</v>
      </c>
      <c r="AE138" s="215" t="n">
        <f aca="false">INDEX(AD$11:AD$35,MATCH($V138,$V$11:$V$35,0))/INDEX($AL$11:$AL$35,MATCH($V138,$V$11:$V$35,0))</f>
        <v>0</v>
      </c>
      <c r="AF138" s="215" t="n">
        <f aca="false">INDEX(AE$11:AE$35,MATCH($V138,$V$11:$V$35,0))/INDEX($AL$11:$AL$35,MATCH($V138,$V$11:$V$35,0))</f>
        <v>0</v>
      </c>
      <c r="AG138" s="215" t="n">
        <f aca="false">INDEX(AF$11:AF$35,MATCH($V138,$V$11:$V$35,0))/INDEX($AL$11:$AL$35,MATCH($V138,$V$11:$V$35,0))</f>
        <v>0</v>
      </c>
      <c r="AH138" s="215" t="n">
        <f aca="false">INDEX(AG$11:AG$35,MATCH($V138,$V$11:$V$35,0))/INDEX($AL$11:$AL$35,MATCH($V138,$V$11:$V$35,0))</f>
        <v>0</v>
      </c>
      <c r="AI138" s="215" t="n">
        <f aca="false">INDEX(AH$11:AH$35,MATCH($V138,$V$11:$V$35,0))/INDEX($AL$11:$AL$35,MATCH($V138,$V$11:$V$35,0))</f>
        <v>0.725</v>
      </c>
      <c r="AJ138" s="215" t="n">
        <f aca="false">INDEX(AI$11:AI$35,MATCH($V138,$V$11:$V$35,0))/INDEX($AL$11:$AL$35,MATCH($V138,$V$11:$V$35,0))</f>
        <v>0</v>
      </c>
      <c r="AK138" s="215" t="n">
        <f aca="false">INDEX(AJ$11:AJ$35,MATCH($V138,$V$11:$V$35,0))/INDEX($AL$11:$AL$35,MATCH($V138,$V$11:$V$35,0))</f>
        <v>0</v>
      </c>
      <c r="AL138" s="215" t="n">
        <f aca="false">INDEX(AK$11:AK$35,MATCH($V138,$V$11:$V$35,0))/INDEX($AL$11:$AL$35,MATCH($V138,$V$11:$V$35,0))</f>
        <v>0</v>
      </c>
      <c r="AM138" s="208" t="n">
        <f aca="false">INDEX(AL$11:AL$35,MATCH($V138,$V$11:$V$35,0))/INDEX($AL$11:$AL$35,MATCH($V138,$V$11:$V$35,0))</f>
        <v>1</v>
      </c>
      <c r="AN138" s="4"/>
      <c r="AO138" s="59" t="s">
        <v>526</v>
      </c>
    </row>
    <row r="139" customFormat="false" ht="14.5" hidden="false" customHeight="false" outlineLevel="0" collapsed="false">
      <c r="B139" s="211" t="n">
        <v>2025</v>
      </c>
      <c r="C139" s="211" t="s">
        <v>464</v>
      </c>
      <c r="D139" s="212" t="s">
        <v>498</v>
      </c>
      <c r="E139" s="213" t="n">
        <v>0.035</v>
      </c>
      <c r="F139" s="213" t="n">
        <v>0</v>
      </c>
      <c r="G139" s="213" t="n">
        <v>0.02</v>
      </c>
      <c r="H139" s="213" t="n">
        <v>0.191</v>
      </c>
      <c r="I139" s="213" t="n">
        <v>0.029</v>
      </c>
      <c r="J139" s="213" t="n">
        <v>0</v>
      </c>
      <c r="K139" s="213" t="n">
        <v>0</v>
      </c>
      <c r="L139" s="213" t="n">
        <v>0</v>
      </c>
      <c r="M139" s="213" t="n">
        <v>0</v>
      </c>
      <c r="N139" s="213" t="n">
        <v>0</v>
      </c>
      <c r="O139" s="213" t="n">
        <v>0.725</v>
      </c>
      <c r="P139" s="213" t="n">
        <v>0</v>
      </c>
      <c r="Q139" s="213" t="n">
        <v>0</v>
      </c>
      <c r="R139" s="213" t="n">
        <v>0</v>
      </c>
      <c r="S139" s="214" t="n">
        <f aca="false">SUM(E139:R139)</f>
        <v>1</v>
      </c>
      <c r="U139" s="211" t="n">
        <v>2025</v>
      </c>
      <c r="V139" s="211" t="s">
        <v>464</v>
      </c>
      <c r="W139" s="211" t="n">
        <v>2025</v>
      </c>
      <c r="X139" s="212" t="s">
        <v>498</v>
      </c>
      <c r="Y139" s="215" t="n">
        <f aca="false">+E139</f>
        <v>0.035</v>
      </c>
      <c r="Z139" s="215" t="n">
        <f aca="false">+F139</f>
        <v>0</v>
      </c>
      <c r="AA139" s="215" t="n">
        <f aca="false">+G139</f>
        <v>0.02</v>
      </c>
      <c r="AB139" s="215" t="n">
        <f aca="false">+AB138</f>
        <v>0.22</v>
      </c>
      <c r="AC139" s="215" t="n">
        <v>0</v>
      </c>
      <c r="AD139" s="215" t="n">
        <f aca="false">+J139</f>
        <v>0</v>
      </c>
      <c r="AE139" s="215" t="n">
        <f aca="false">+K139</f>
        <v>0</v>
      </c>
      <c r="AF139" s="215" t="n">
        <f aca="false">+L139</f>
        <v>0</v>
      </c>
      <c r="AG139" s="215" t="n">
        <f aca="false">+M139</f>
        <v>0</v>
      </c>
      <c r="AH139" s="215" t="n">
        <f aca="false">+N139</f>
        <v>0</v>
      </c>
      <c r="AI139" s="215" t="n">
        <f aca="false">+O139</f>
        <v>0.725</v>
      </c>
      <c r="AJ139" s="215" t="n">
        <f aca="false">+P139</f>
        <v>0</v>
      </c>
      <c r="AK139" s="215" t="n">
        <f aca="false">+Q139</f>
        <v>0</v>
      </c>
      <c r="AL139" s="215" t="n">
        <f aca="false">+R139</f>
        <v>0</v>
      </c>
      <c r="AM139" s="208" t="n">
        <f aca="false">SUM(Y139:AL139)</f>
        <v>1</v>
      </c>
      <c r="AN139" s="4"/>
      <c r="AO139" s="59"/>
    </row>
    <row r="140" customFormat="false" ht="14.5" hidden="false" customHeight="false" outlineLevel="0" collapsed="false">
      <c r="B140" s="211" t="n">
        <v>2050</v>
      </c>
      <c r="C140" s="211" t="s">
        <v>464</v>
      </c>
      <c r="D140" s="212" t="s">
        <v>498</v>
      </c>
      <c r="E140" s="213" t="n">
        <v>0.015</v>
      </c>
      <c r="F140" s="213" t="n">
        <v>0</v>
      </c>
      <c r="G140" s="213" t="n">
        <v>0.02</v>
      </c>
      <c r="H140" s="213" t="n">
        <v>0.211</v>
      </c>
      <c r="I140" s="213" t="n">
        <v>0.029</v>
      </c>
      <c r="J140" s="213" t="n">
        <v>0</v>
      </c>
      <c r="K140" s="213" t="n">
        <v>0</v>
      </c>
      <c r="L140" s="213" t="n">
        <v>0</v>
      </c>
      <c r="M140" s="213" t="n">
        <v>0</v>
      </c>
      <c r="N140" s="213" t="n">
        <v>0</v>
      </c>
      <c r="O140" s="213" t="n">
        <v>0.725</v>
      </c>
      <c r="P140" s="213" t="n">
        <v>0</v>
      </c>
      <c r="Q140" s="213" t="n">
        <v>0</v>
      </c>
      <c r="R140" s="213" t="n">
        <v>0</v>
      </c>
      <c r="S140" s="214" t="n">
        <f aca="false">SUM(E140:R140)</f>
        <v>1</v>
      </c>
      <c r="U140" s="211" t="n">
        <v>2050</v>
      </c>
      <c r="V140" s="211" t="s">
        <v>464</v>
      </c>
      <c r="W140" s="211" t="n">
        <v>2050</v>
      </c>
      <c r="X140" s="212" t="s">
        <v>498</v>
      </c>
      <c r="Y140" s="215" t="n">
        <v>0</v>
      </c>
      <c r="Z140" s="215" t="n">
        <f aca="false">+F140</f>
        <v>0</v>
      </c>
      <c r="AA140" s="215" t="n">
        <f aca="false">+G140</f>
        <v>0.02</v>
      </c>
      <c r="AB140" s="215" t="n">
        <f aca="false">+AB139+1%</f>
        <v>0.23</v>
      </c>
      <c r="AC140" s="215" t="n">
        <v>0.02</v>
      </c>
      <c r="AD140" s="215" t="n">
        <f aca="false">+J140</f>
        <v>0</v>
      </c>
      <c r="AE140" s="215" t="n">
        <f aca="false">+K140</f>
        <v>0</v>
      </c>
      <c r="AF140" s="215" t="n">
        <f aca="false">+L140</f>
        <v>0</v>
      </c>
      <c r="AG140" s="215" t="n">
        <f aca="false">+M140</f>
        <v>0</v>
      </c>
      <c r="AH140" s="215" t="n">
        <f aca="false">+N140</f>
        <v>0</v>
      </c>
      <c r="AI140" s="215" t="n">
        <v>0.73</v>
      </c>
      <c r="AJ140" s="215" t="n">
        <f aca="false">+P140</f>
        <v>0</v>
      </c>
      <c r="AK140" s="215" t="n">
        <f aca="false">+Q140</f>
        <v>0</v>
      </c>
      <c r="AL140" s="215" t="n">
        <f aca="false">+R140</f>
        <v>0</v>
      </c>
      <c r="AM140" s="208" t="n">
        <f aca="false">SUM(Y140:AL140)</f>
        <v>1</v>
      </c>
      <c r="AO140" s="59"/>
    </row>
    <row r="141" customFormat="false" ht="14.5" hidden="false" customHeight="false" outlineLevel="0" collapsed="false">
      <c r="B141" s="217"/>
      <c r="C141" s="217"/>
      <c r="D141" s="218"/>
      <c r="E141" s="219"/>
      <c r="F141" s="219"/>
      <c r="G141" s="219"/>
      <c r="H141" s="219"/>
      <c r="I141" s="219"/>
      <c r="J141" s="219"/>
      <c r="K141" s="219"/>
      <c r="L141" s="219"/>
      <c r="M141" s="219"/>
      <c r="N141" s="219"/>
      <c r="O141" s="219"/>
      <c r="P141" s="219"/>
      <c r="Q141" s="219"/>
      <c r="R141" s="219"/>
      <c r="S141" s="220"/>
      <c r="U141" s="217"/>
      <c r="V141" s="217"/>
      <c r="W141" s="217"/>
      <c r="X141" s="218"/>
      <c r="Y141" s="221"/>
      <c r="Z141" s="221"/>
      <c r="AA141" s="221"/>
      <c r="AB141" s="221"/>
      <c r="AC141" s="221"/>
      <c r="AD141" s="221"/>
      <c r="AE141" s="221"/>
      <c r="AF141" s="221"/>
      <c r="AG141" s="221"/>
      <c r="AH141" s="221"/>
      <c r="AI141" s="221"/>
      <c r="AJ141" s="221"/>
      <c r="AK141" s="221"/>
      <c r="AL141" s="221"/>
      <c r="AM141" s="222"/>
      <c r="AO141" s="59"/>
    </row>
    <row r="142" customFormat="false" ht="14.5" hidden="false" customHeight="false" outlineLevel="0" collapsed="false">
      <c r="B142" s="211" t="n">
        <v>2019</v>
      </c>
      <c r="C142" s="211" t="s">
        <v>466</v>
      </c>
      <c r="D142" s="212" t="s">
        <v>498</v>
      </c>
      <c r="E142" s="213" t="n">
        <v>0</v>
      </c>
      <c r="F142" s="213"/>
      <c r="G142" s="213" t="n">
        <v>0</v>
      </c>
      <c r="H142" s="213" t="n">
        <v>0.15207756232687</v>
      </c>
      <c r="I142" s="213" t="n">
        <v>0</v>
      </c>
      <c r="J142" s="213" t="n">
        <v>0</v>
      </c>
      <c r="K142" s="213" t="n">
        <v>0</v>
      </c>
      <c r="L142" s="213" t="n">
        <v>0</v>
      </c>
      <c r="M142" s="213" t="n">
        <v>0</v>
      </c>
      <c r="N142" s="213" t="n">
        <v>0</v>
      </c>
      <c r="O142" s="213" t="n">
        <v>0.137673130193906</v>
      </c>
      <c r="P142" s="213" t="n">
        <v>0</v>
      </c>
      <c r="Q142" s="213" t="n">
        <v>0</v>
      </c>
      <c r="R142" s="213" t="n">
        <v>0.710249307479224</v>
      </c>
      <c r="S142" s="214" t="n">
        <f aca="false">SUM(E142:R142)</f>
        <v>1</v>
      </c>
      <c r="U142" s="211" t="n">
        <v>2019</v>
      </c>
      <c r="V142" s="211" t="s">
        <v>466</v>
      </c>
      <c r="W142" s="211" t="n">
        <v>2019</v>
      </c>
      <c r="X142" s="212" t="s">
        <v>498</v>
      </c>
      <c r="Y142" s="226"/>
      <c r="Z142" s="226"/>
      <c r="AA142" s="226"/>
      <c r="AB142" s="226"/>
      <c r="AC142" s="226"/>
      <c r="AD142" s="226"/>
      <c r="AE142" s="226"/>
      <c r="AF142" s="226"/>
      <c r="AG142" s="226"/>
      <c r="AH142" s="226"/>
      <c r="AI142" s="226"/>
      <c r="AJ142" s="226"/>
      <c r="AK142" s="226"/>
      <c r="AL142" s="226"/>
      <c r="AM142" s="208"/>
      <c r="AO142" s="59"/>
    </row>
    <row r="143" customFormat="false" ht="14.5" hidden="false" customHeight="false" outlineLevel="0" collapsed="false">
      <c r="B143" s="211" t="n">
        <v>2025</v>
      </c>
      <c r="C143" s="211" t="s">
        <v>466</v>
      </c>
      <c r="D143" s="212" t="s">
        <v>498</v>
      </c>
      <c r="E143" s="213" t="n">
        <v>0</v>
      </c>
      <c r="F143" s="213" t="n">
        <v>0</v>
      </c>
      <c r="G143" s="213" t="n">
        <v>0</v>
      </c>
      <c r="H143" s="213" t="n">
        <v>0.15207756232687</v>
      </c>
      <c r="I143" s="213" t="n">
        <v>0</v>
      </c>
      <c r="J143" s="213" t="n">
        <v>0</v>
      </c>
      <c r="K143" s="213" t="n">
        <v>0</v>
      </c>
      <c r="L143" s="213" t="n">
        <v>0</v>
      </c>
      <c r="M143" s="213" t="n">
        <v>0</v>
      </c>
      <c r="N143" s="213" t="n">
        <v>0</v>
      </c>
      <c r="O143" s="213" t="n">
        <v>0.137673130193906</v>
      </c>
      <c r="P143" s="213" t="n">
        <v>0</v>
      </c>
      <c r="Q143" s="213" t="n">
        <v>0</v>
      </c>
      <c r="R143" s="213" t="n">
        <v>0.710249307479224</v>
      </c>
      <c r="S143" s="214" t="n">
        <f aca="false">SUM(E143:R143)</f>
        <v>1</v>
      </c>
      <c r="U143" s="211" t="n">
        <v>2025</v>
      </c>
      <c r="V143" s="211" t="s">
        <v>466</v>
      </c>
      <c r="W143" s="211" t="n">
        <v>2025</v>
      </c>
      <c r="X143" s="212" t="s">
        <v>498</v>
      </c>
      <c r="Y143" s="226"/>
      <c r="Z143" s="226"/>
      <c r="AA143" s="226"/>
      <c r="AB143" s="226"/>
      <c r="AC143" s="226"/>
      <c r="AD143" s="226"/>
      <c r="AE143" s="226"/>
      <c r="AF143" s="226"/>
      <c r="AG143" s="226"/>
      <c r="AH143" s="226"/>
      <c r="AI143" s="226"/>
      <c r="AJ143" s="226"/>
      <c r="AK143" s="226"/>
      <c r="AL143" s="226"/>
      <c r="AM143" s="208"/>
      <c r="AO143" s="59"/>
    </row>
    <row r="144" customFormat="false" ht="14.5" hidden="false" customHeight="false" outlineLevel="0" collapsed="false">
      <c r="B144" s="211" t="n">
        <v>2050</v>
      </c>
      <c r="C144" s="211" t="s">
        <v>466</v>
      </c>
      <c r="D144" s="212" t="s">
        <v>498</v>
      </c>
      <c r="E144" s="213" t="n">
        <v>0</v>
      </c>
      <c r="F144" s="213" t="n">
        <v>0</v>
      </c>
      <c r="G144" s="213" t="n">
        <v>0</v>
      </c>
      <c r="H144" s="213" t="n">
        <v>0.15207756232687</v>
      </c>
      <c r="I144" s="213" t="n">
        <v>0</v>
      </c>
      <c r="J144" s="213" t="n">
        <v>0</v>
      </c>
      <c r="K144" s="213" t="n">
        <v>0</v>
      </c>
      <c r="L144" s="213" t="n">
        <v>0</v>
      </c>
      <c r="M144" s="213" t="n">
        <v>0</v>
      </c>
      <c r="N144" s="213" t="n">
        <v>0</v>
      </c>
      <c r="O144" s="213" t="n">
        <v>0.137673130193906</v>
      </c>
      <c r="P144" s="213" t="n">
        <v>0</v>
      </c>
      <c r="Q144" s="213" t="n">
        <v>0</v>
      </c>
      <c r="R144" s="213" t="n">
        <v>0.710249307479224</v>
      </c>
      <c r="S144" s="214" t="n">
        <f aca="false">SUM(E144:R144)</f>
        <v>1</v>
      </c>
      <c r="U144" s="211" t="n">
        <v>2050</v>
      </c>
      <c r="V144" s="211" t="s">
        <v>466</v>
      </c>
      <c r="W144" s="211" t="n">
        <v>2050</v>
      </c>
      <c r="X144" s="212" t="s">
        <v>498</v>
      </c>
      <c r="Y144" s="226"/>
      <c r="Z144" s="226"/>
      <c r="AA144" s="226"/>
      <c r="AB144" s="226"/>
      <c r="AC144" s="226"/>
      <c r="AD144" s="226"/>
      <c r="AE144" s="226"/>
      <c r="AF144" s="226"/>
      <c r="AG144" s="226"/>
      <c r="AH144" s="226"/>
      <c r="AI144" s="226"/>
      <c r="AJ144" s="226"/>
      <c r="AK144" s="226"/>
      <c r="AL144" s="226"/>
      <c r="AM144" s="208"/>
      <c r="AO144" s="59"/>
    </row>
    <row r="145" customFormat="false" ht="14.5" hidden="false" customHeight="false" outlineLevel="0" collapsed="false">
      <c r="B145" s="217"/>
      <c r="C145" s="217"/>
      <c r="D145" s="218"/>
      <c r="E145" s="219"/>
      <c r="F145" s="219"/>
      <c r="G145" s="219"/>
      <c r="H145" s="219"/>
      <c r="I145" s="219"/>
      <c r="J145" s="219"/>
      <c r="K145" s="219"/>
      <c r="L145" s="219"/>
      <c r="M145" s="219"/>
      <c r="N145" s="219"/>
      <c r="O145" s="219"/>
      <c r="P145" s="219"/>
      <c r="Q145" s="219"/>
      <c r="R145" s="219"/>
      <c r="S145" s="220"/>
      <c r="U145" s="217"/>
      <c r="V145" s="217"/>
      <c r="W145" s="217"/>
      <c r="X145" s="218"/>
      <c r="Y145" s="221"/>
      <c r="Z145" s="221"/>
      <c r="AA145" s="221"/>
      <c r="AB145" s="221"/>
      <c r="AC145" s="221"/>
      <c r="AD145" s="221"/>
      <c r="AE145" s="221"/>
      <c r="AF145" s="221"/>
      <c r="AG145" s="221"/>
      <c r="AH145" s="221"/>
      <c r="AI145" s="221"/>
      <c r="AJ145" s="221"/>
      <c r="AK145" s="221"/>
      <c r="AL145" s="221"/>
      <c r="AM145" s="222"/>
      <c r="AO145" s="59"/>
    </row>
    <row r="146" customFormat="false" ht="14.5" hidden="false" customHeight="false" outlineLevel="0" collapsed="false">
      <c r="B146" s="211" t="n">
        <v>2019</v>
      </c>
      <c r="C146" s="211" t="s">
        <v>504</v>
      </c>
      <c r="D146" s="212"/>
      <c r="E146" s="213" t="n">
        <v>0</v>
      </c>
      <c r="F146" s="213"/>
      <c r="G146" s="213" t="n">
        <v>0</v>
      </c>
      <c r="H146" s="213" t="n">
        <v>0</v>
      </c>
      <c r="I146" s="213" t="n">
        <v>0</v>
      </c>
      <c r="J146" s="213" t="n">
        <v>0</v>
      </c>
      <c r="K146" s="213" t="n">
        <v>0</v>
      </c>
      <c r="L146" s="213" t="n">
        <v>0</v>
      </c>
      <c r="M146" s="213" t="n">
        <v>0</v>
      </c>
      <c r="N146" s="213" t="n">
        <v>0</v>
      </c>
      <c r="O146" s="213" t="n">
        <v>0</v>
      </c>
      <c r="P146" s="213" t="n">
        <v>0</v>
      </c>
      <c r="Q146" s="213" t="n">
        <v>0</v>
      </c>
      <c r="R146" s="213" t="n">
        <v>0</v>
      </c>
      <c r="S146" s="214"/>
      <c r="U146" s="211" t="n">
        <v>2019</v>
      </c>
      <c r="V146" s="211" t="s">
        <v>467</v>
      </c>
      <c r="W146" s="211" t="n">
        <v>2019</v>
      </c>
      <c r="X146" s="212"/>
      <c r="Y146" s="215" t="n">
        <f aca="false">INDEX(X$11:X$35,MATCH($V146,$V$11:$V$35,0))/INDEX($AL$11:$AL$35,MATCH($V146,$V$11:$V$35,0))</f>
        <v>0.0558449092555247</v>
      </c>
      <c r="Z146" s="215" t="n">
        <f aca="false">INDEX(Y$11:Y$35,MATCH($V146,$V$11:$V$35,0))/INDEX($AL$11:$AL$35,MATCH($V146,$V$11:$V$35,0))</f>
        <v>0.0324236893802455</v>
      </c>
      <c r="AA146" s="215" t="n">
        <f aca="false">INDEX(Z$11:Z$35,MATCH($V146,$V$11:$V$35,0))/INDEX($AL$11:$AL$35,MATCH($V146,$V$11:$V$35,0))</f>
        <v>0.0113704022297733</v>
      </c>
      <c r="AB146" s="215" t="n">
        <f aca="false">INDEX(AA$11:AA$35,MATCH($V146,$V$11:$V$35,0))/INDEX($AL$11:$AL$35,MATCH($V146,$V$11:$V$35,0))</f>
        <v>0.311435998294995</v>
      </c>
      <c r="AC146" s="215" t="n">
        <f aca="false">INDEX(AB$11:AB$35,MATCH($V146,$V$11:$V$35,0))/INDEX($AL$11:$AL$35,MATCH($V146,$V$11:$V$35,0))</f>
        <v>0.000298560675692869</v>
      </c>
      <c r="AD146" s="215" t="n">
        <f aca="false">INDEX(AC$11:AC$35,MATCH($V146,$V$11:$V$35,0))/INDEX($AL$11:$AL$35,MATCH($V146,$V$11:$V$35,0))</f>
        <v>0</v>
      </c>
      <c r="AE146" s="215" t="n">
        <f aca="false">INDEX(AD$11:AD$35,MATCH($V146,$V$11:$V$35,0))/INDEX($AL$11:$AL$35,MATCH($V146,$V$11:$V$35,0))</f>
        <v>0</v>
      </c>
      <c r="AF146" s="215" t="n">
        <f aca="false">INDEX(AE$11:AE$35,MATCH($V146,$V$11:$V$35,0))/INDEX($AL$11:$AL$35,MATCH($V146,$V$11:$V$35,0))</f>
        <v>0</v>
      </c>
      <c r="AG146" s="215" t="n">
        <f aca="false">INDEX(AF$11:AF$35,MATCH($V146,$V$11:$V$35,0))/INDEX($AL$11:$AL$35,MATCH($V146,$V$11:$V$35,0))</f>
        <v>0</v>
      </c>
      <c r="AH146" s="215" t="n">
        <f aca="false">INDEX(AG$11:AG$35,MATCH($V146,$V$11:$V$35,0))/INDEX($AL$11:$AL$35,MATCH($V146,$V$11:$V$35,0))</f>
        <v>0</v>
      </c>
      <c r="AI146" s="215" t="n">
        <f aca="false">INDEX(AH$11:AH$35,MATCH($V146,$V$11:$V$35,0))/INDEX($AL$11:$AL$35,MATCH($V146,$V$11:$V$35,0))</f>
        <v>0.582595514514773</v>
      </c>
      <c r="AJ146" s="215" t="n">
        <f aca="false">INDEX(AI$11:AI$35,MATCH($V146,$V$11:$V$35,0))/INDEX($AL$11:$AL$35,MATCH($V146,$V$11:$V$35,0))</f>
        <v>0</v>
      </c>
      <c r="AK146" s="215" t="n">
        <f aca="false">INDEX(AJ$11:AJ$35,MATCH($V146,$V$11:$V$35,0))/INDEX($AL$11:$AL$35,MATCH($V146,$V$11:$V$35,0))</f>
        <v>0.00603092564899595</v>
      </c>
      <c r="AL146" s="215" t="n">
        <f aca="false">INDEX(AK$11:AK$35,MATCH($V146,$V$11:$V$35,0))/INDEX($AL$11:$AL$35,MATCH($V146,$V$11:$V$35,0))</f>
        <v>0</v>
      </c>
      <c r="AM146" s="208" t="n">
        <f aca="false">SUM(Y146:AL146)</f>
        <v>1</v>
      </c>
      <c r="AO146" s="59" t="s">
        <v>525</v>
      </c>
    </row>
    <row r="147" customFormat="false" ht="14.5" hidden="false" customHeight="false" outlineLevel="0" collapsed="false">
      <c r="B147" s="211" t="n">
        <v>2025</v>
      </c>
      <c r="C147" s="211" t="s">
        <v>504</v>
      </c>
      <c r="D147" s="212"/>
      <c r="E147" s="213" t="e">
        <f aca="false">#N/A</f>
        <v>#N/A</v>
      </c>
      <c r="F147" s="213" t="e">
        <f aca="false">#N/A</f>
        <v>#N/A</v>
      </c>
      <c r="G147" s="213" t="e">
        <f aca="false">#N/A</f>
        <v>#N/A</v>
      </c>
      <c r="H147" s="213" t="e">
        <f aca="false">#N/A</f>
        <v>#N/A</v>
      </c>
      <c r="I147" s="213" t="e">
        <f aca="false">#N/A</f>
        <v>#N/A</v>
      </c>
      <c r="J147" s="213" t="e">
        <f aca="false">#N/A</f>
        <v>#N/A</v>
      </c>
      <c r="K147" s="213" t="e">
        <f aca="false">#N/A</f>
        <v>#N/A</v>
      </c>
      <c r="L147" s="213" t="e">
        <f aca="false">#N/A</f>
        <v>#N/A</v>
      </c>
      <c r="M147" s="213" t="e">
        <f aca="false">#N/A</f>
        <v>#N/A</v>
      </c>
      <c r="N147" s="213" t="e">
        <f aca="false">#N/A</f>
        <v>#N/A</v>
      </c>
      <c r="O147" s="213" t="e">
        <f aca="false">#N/A</f>
        <v>#N/A</v>
      </c>
      <c r="P147" s="213" t="e">
        <f aca="false">#N/A</f>
        <v>#N/A</v>
      </c>
      <c r="Q147" s="213" t="e">
        <f aca="false">#N/A</f>
        <v>#N/A</v>
      </c>
      <c r="R147" s="213" t="e">
        <f aca="false">#N/A</f>
        <v>#N/A</v>
      </c>
      <c r="S147" s="214"/>
      <c r="U147" s="211" t="n">
        <v>2025</v>
      </c>
      <c r="V147" s="211" t="s">
        <v>467</v>
      </c>
      <c r="W147" s="211" t="n">
        <v>2025</v>
      </c>
      <c r="X147" s="212"/>
      <c r="Y147" s="215" t="n">
        <f aca="false">Y146</f>
        <v>0.0558449092555247</v>
      </c>
      <c r="Z147" s="215" t="n">
        <f aca="false">Z146</f>
        <v>0.0324236893802455</v>
      </c>
      <c r="AA147" s="215" t="n">
        <f aca="false">AA146</f>
        <v>0.0113704022297733</v>
      </c>
      <c r="AB147" s="215" t="n">
        <f aca="false">AB146</f>
        <v>0.311435998294995</v>
      </c>
      <c r="AC147" s="215" t="n">
        <f aca="false">AC146</f>
        <v>0.000298560675692869</v>
      </c>
      <c r="AD147" s="215" t="n">
        <f aca="false">AD146</f>
        <v>0</v>
      </c>
      <c r="AE147" s="215" t="n">
        <f aca="false">AE146</f>
        <v>0</v>
      </c>
      <c r="AF147" s="215" t="n">
        <f aca="false">AF146</f>
        <v>0</v>
      </c>
      <c r="AG147" s="215" t="n">
        <f aca="false">AG146</f>
        <v>0</v>
      </c>
      <c r="AH147" s="215" t="n">
        <f aca="false">AH146</f>
        <v>0</v>
      </c>
      <c r="AI147" s="215" t="n">
        <f aca="false">AI146</f>
        <v>0.582595514514773</v>
      </c>
      <c r="AJ147" s="215" t="n">
        <f aca="false">AJ146</f>
        <v>0</v>
      </c>
      <c r="AK147" s="215" t="n">
        <f aca="false">AK146</f>
        <v>0.00603092564899595</v>
      </c>
      <c r="AL147" s="215" t="n">
        <f aca="false">AL146</f>
        <v>0</v>
      </c>
      <c r="AM147" s="208" t="n">
        <f aca="false">SUM(Y147:AL147)</f>
        <v>1</v>
      </c>
      <c r="AO147" s="59"/>
    </row>
    <row r="148" customFormat="false" ht="14.5" hidden="false" customHeight="false" outlineLevel="0" collapsed="false">
      <c r="B148" s="211" t="n">
        <v>2050</v>
      </c>
      <c r="C148" s="211" t="s">
        <v>504</v>
      </c>
      <c r="D148" s="212"/>
      <c r="E148" s="213" t="e">
        <f aca="false">#N/A</f>
        <v>#N/A</v>
      </c>
      <c r="F148" s="213" t="e">
        <f aca="false">#N/A</f>
        <v>#N/A</v>
      </c>
      <c r="G148" s="213" t="e">
        <f aca="false">#N/A</f>
        <v>#N/A</v>
      </c>
      <c r="H148" s="213" t="e">
        <f aca="false">#N/A</f>
        <v>#N/A</v>
      </c>
      <c r="I148" s="213" t="e">
        <f aca="false">#N/A</f>
        <v>#N/A</v>
      </c>
      <c r="J148" s="213" t="e">
        <f aca="false">#N/A</f>
        <v>#N/A</v>
      </c>
      <c r="K148" s="213" t="e">
        <f aca="false">#N/A</f>
        <v>#N/A</v>
      </c>
      <c r="L148" s="213" t="e">
        <f aca="false">#N/A</f>
        <v>#N/A</v>
      </c>
      <c r="M148" s="213" t="e">
        <f aca="false">#N/A</f>
        <v>#N/A</v>
      </c>
      <c r="N148" s="213" t="e">
        <f aca="false">#N/A</f>
        <v>#N/A</v>
      </c>
      <c r="O148" s="213" t="e">
        <f aca="false">#N/A</f>
        <v>#N/A</v>
      </c>
      <c r="P148" s="213" t="e">
        <f aca="false">#N/A</f>
        <v>#N/A</v>
      </c>
      <c r="Q148" s="213" t="e">
        <f aca="false">#N/A</f>
        <v>#N/A</v>
      </c>
      <c r="R148" s="213" t="e">
        <f aca="false">#N/A</f>
        <v>#N/A</v>
      </c>
      <c r="S148" s="214"/>
      <c r="U148" s="211" t="n">
        <v>2050</v>
      </c>
      <c r="V148" s="211" t="s">
        <v>467</v>
      </c>
      <c r="W148" s="211" t="n">
        <v>2050</v>
      </c>
      <c r="X148" s="212"/>
      <c r="Y148" s="215" t="n">
        <f aca="false">Y147</f>
        <v>0.0558449092555247</v>
      </c>
      <c r="Z148" s="215" t="n">
        <f aca="false">Z147</f>
        <v>0.0324236893802455</v>
      </c>
      <c r="AA148" s="215" t="n">
        <f aca="false">AA147</f>
        <v>0.0113704022297733</v>
      </c>
      <c r="AB148" s="215" t="n">
        <f aca="false">AB147</f>
        <v>0.311435998294995</v>
      </c>
      <c r="AC148" s="215" t="n">
        <f aca="false">AC147</f>
        <v>0.000298560675692869</v>
      </c>
      <c r="AD148" s="215" t="n">
        <f aca="false">AD147</f>
        <v>0</v>
      </c>
      <c r="AE148" s="215" t="n">
        <f aca="false">AE147</f>
        <v>0</v>
      </c>
      <c r="AF148" s="215" t="n">
        <f aca="false">AF147</f>
        <v>0</v>
      </c>
      <c r="AG148" s="215" t="n">
        <f aca="false">AG147</f>
        <v>0</v>
      </c>
      <c r="AH148" s="215" t="n">
        <f aca="false">AH147</f>
        <v>0</v>
      </c>
      <c r="AI148" s="215" t="n">
        <f aca="false">AI147</f>
        <v>0.582595514514773</v>
      </c>
      <c r="AJ148" s="215" t="n">
        <f aca="false">AJ147</f>
        <v>0</v>
      </c>
      <c r="AK148" s="215" t="n">
        <f aca="false">AK147</f>
        <v>0.00603092564899595</v>
      </c>
      <c r="AL148" s="215" t="n">
        <f aca="false">AL147</f>
        <v>0</v>
      </c>
      <c r="AM148" s="208" t="n">
        <f aca="false">SUM(Y148:AL148)</f>
        <v>1</v>
      </c>
      <c r="AO148" s="59"/>
    </row>
    <row r="149" customFormat="false" ht="14.5" hidden="false" customHeight="false" outlineLevel="0" collapsed="false">
      <c r="B149" s="217"/>
      <c r="C149" s="217"/>
      <c r="D149" s="218"/>
      <c r="E149" s="219"/>
      <c r="F149" s="219"/>
      <c r="G149" s="219"/>
      <c r="H149" s="219"/>
      <c r="I149" s="219"/>
      <c r="J149" s="219"/>
      <c r="K149" s="219"/>
      <c r="L149" s="219"/>
      <c r="M149" s="219"/>
      <c r="N149" s="219"/>
      <c r="O149" s="219"/>
      <c r="P149" s="219"/>
      <c r="Q149" s="219"/>
      <c r="R149" s="219"/>
      <c r="S149" s="220"/>
      <c r="U149" s="217"/>
      <c r="V149" s="217"/>
      <c r="W149" s="217"/>
      <c r="X149" s="218"/>
      <c r="Y149" s="221"/>
      <c r="Z149" s="221"/>
      <c r="AA149" s="221"/>
      <c r="AB149" s="221"/>
      <c r="AC149" s="221"/>
      <c r="AD149" s="221"/>
      <c r="AE149" s="221"/>
      <c r="AF149" s="221"/>
      <c r="AG149" s="221"/>
      <c r="AH149" s="221"/>
      <c r="AI149" s="221"/>
      <c r="AJ149" s="221"/>
      <c r="AK149" s="221"/>
      <c r="AL149" s="221"/>
      <c r="AM149" s="222"/>
      <c r="AO149" s="59"/>
    </row>
    <row r="150" customFormat="false" ht="14.5" hidden="false" customHeight="false" outlineLevel="0" collapsed="false">
      <c r="B150" s="211" t="n">
        <v>2019</v>
      </c>
      <c r="C150" s="211" t="s">
        <v>469</v>
      </c>
      <c r="D150" s="212" t="s">
        <v>498</v>
      </c>
      <c r="E150" s="213" t="n">
        <v>0.004</v>
      </c>
      <c r="F150" s="213"/>
      <c r="G150" s="213" t="n">
        <v>0.028</v>
      </c>
      <c r="H150" s="213" t="n">
        <v>0.25</v>
      </c>
      <c r="I150" s="213" t="n">
        <v>0</v>
      </c>
      <c r="J150" s="213" t="n">
        <v>0</v>
      </c>
      <c r="K150" s="213" t="n">
        <v>0</v>
      </c>
      <c r="L150" s="213" t="n">
        <v>0</v>
      </c>
      <c r="M150" s="213" t="n">
        <v>0</v>
      </c>
      <c r="N150" s="213" t="n">
        <v>0</v>
      </c>
      <c r="O150" s="213" t="n">
        <v>0.71</v>
      </c>
      <c r="P150" s="213" t="n">
        <v>0</v>
      </c>
      <c r="Q150" s="213" t="n">
        <v>0.008</v>
      </c>
      <c r="R150" s="213" t="n">
        <v>0</v>
      </c>
      <c r="S150" s="214" t="n">
        <f aca="false">SUM(E150:R150)</f>
        <v>1</v>
      </c>
      <c r="U150" s="211" t="n">
        <v>2019</v>
      </c>
      <c r="V150" s="211" t="s">
        <v>469</v>
      </c>
      <c r="W150" s="211" t="n">
        <v>2019</v>
      </c>
      <c r="X150" s="212" t="s">
        <v>498</v>
      </c>
      <c r="Y150" s="232" t="n">
        <f aca="false">INDEX(X$11:X$35,MATCH($V150,$V$11:$V$35,0))/INDEX($AL$11:$AL$35,MATCH($V150,$V$11:$V$35,0))</f>
        <v>0.004</v>
      </c>
      <c r="Z150" s="232" t="n">
        <f aca="false">INDEX(Y$11:Y$35,MATCH($V150,$V$11:$V$35,0))/INDEX($AL$11:$AL$35,MATCH($V150,$V$11:$V$35,0))</f>
        <v>0</v>
      </c>
      <c r="AA150" s="232" t="n">
        <f aca="false">INDEX(Z$11:Z$35,MATCH($V150,$V$11:$V$35,0))/INDEX($AL$11:$AL$35,MATCH($V150,$V$11:$V$35,0))</f>
        <v>0.028</v>
      </c>
      <c r="AB150" s="232" t="n">
        <f aca="false">INDEX(AA$11:AA$35,MATCH($V150,$V$11:$V$35,0))/INDEX($AL$11:$AL$35,MATCH($V150,$V$11:$V$35,0))</f>
        <v>0.25</v>
      </c>
      <c r="AC150" s="232" t="n">
        <f aca="false">INDEX(AB$11:AB$35,MATCH($V150,$V$11:$V$35,0))/INDEX($AL$11:$AL$35,MATCH($V150,$V$11:$V$35,0))</f>
        <v>0</v>
      </c>
      <c r="AD150" s="232" t="n">
        <f aca="false">INDEX(AC$11:AC$35,MATCH($V150,$V$11:$V$35,0))/INDEX($AL$11:$AL$35,MATCH($V150,$V$11:$V$35,0))</f>
        <v>0</v>
      </c>
      <c r="AE150" s="232" t="n">
        <f aca="false">INDEX(AD$11:AD$35,MATCH($V150,$V$11:$V$35,0))/INDEX($AL$11:$AL$35,MATCH($V150,$V$11:$V$35,0))</f>
        <v>0</v>
      </c>
      <c r="AF150" s="232" t="n">
        <f aca="false">INDEX(AE$11:AE$35,MATCH($V150,$V$11:$V$35,0))/INDEX($AL$11:$AL$35,MATCH($V150,$V$11:$V$35,0))</f>
        <v>0</v>
      </c>
      <c r="AG150" s="232" t="n">
        <f aca="false">INDEX(AF$11:AF$35,MATCH($V150,$V$11:$V$35,0))/INDEX($AL$11:$AL$35,MATCH($V150,$V$11:$V$35,0))</f>
        <v>0</v>
      </c>
      <c r="AH150" s="232" t="n">
        <f aca="false">INDEX(AG$11:AG$35,MATCH($V150,$V$11:$V$35,0))/INDEX($AL$11:$AL$35,MATCH($V150,$V$11:$V$35,0))</f>
        <v>0</v>
      </c>
      <c r="AI150" s="232" t="n">
        <f aca="false">INDEX(AH$11:AH$35,MATCH($V150,$V$11:$V$35,0))/INDEX($AL$11:$AL$35,MATCH($V150,$V$11:$V$35,0))</f>
        <v>0.71</v>
      </c>
      <c r="AJ150" s="232" t="n">
        <f aca="false">INDEX(AI$11:AI$35,MATCH($V150,$V$11:$V$35,0))/INDEX($AL$11:$AL$35,MATCH($V150,$V$11:$V$35,0))</f>
        <v>0</v>
      </c>
      <c r="AK150" s="232" t="n">
        <f aca="false">INDEX(AJ$11:AJ$35,MATCH($V150,$V$11:$V$35,0))/INDEX($AL$11:$AL$35,MATCH($V150,$V$11:$V$35,0))</f>
        <v>0</v>
      </c>
      <c r="AL150" s="232" t="n">
        <f aca="false">INDEX(AK$11:AK$35,MATCH($V150,$V$11:$V$35,0))/INDEX($AL$11:$AL$35,MATCH($V150,$V$11:$V$35,0))</f>
        <v>0</v>
      </c>
      <c r="AM150" s="208" t="n">
        <f aca="false">INDEX(AL$11:AL$35,MATCH($V150,$V$11:$V$35,0))/INDEX($AL$11:$AL$35,MATCH($V150,$V$11:$V$35,0))</f>
        <v>1</v>
      </c>
      <c r="AO150" s="59" t="s">
        <v>506</v>
      </c>
    </row>
    <row r="151" customFormat="false" ht="14.5" hidden="false" customHeight="false" outlineLevel="0" collapsed="false">
      <c r="B151" s="211" t="n">
        <v>2025</v>
      </c>
      <c r="C151" s="211" t="s">
        <v>469</v>
      </c>
      <c r="D151" s="212" t="s">
        <v>498</v>
      </c>
      <c r="E151" s="213" t="n">
        <v>0.004</v>
      </c>
      <c r="F151" s="213" t="n">
        <v>0</v>
      </c>
      <c r="G151" s="213" t="n">
        <v>0.028</v>
      </c>
      <c r="H151" s="213" t="n">
        <v>0.25</v>
      </c>
      <c r="I151" s="213" t="n">
        <v>0</v>
      </c>
      <c r="J151" s="213" t="n">
        <v>0</v>
      </c>
      <c r="K151" s="213" t="n">
        <v>0</v>
      </c>
      <c r="L151" s="213" t="n">
        <v>0</v>
      </c>
      <c r="M151" s="213" t="n">
        <v>0</v>
      </c>
      <c r="N151" s="213" t="n">
        <v>0</v>
      </c>
      <c r="O151" s="213" t="n">
        <v>0.71</v>
      </c>
      <c r="P151" s="213" t="n">
        <v>0</v>
      </c>
      <c r="Q151" s="213" t="n">
        <v>0.008</v>
      </c>
      <c r="R151" s="213" t="n">
        <v>0</v>
      </c>
      <c r="S151" s="214" t="n">
        <f aca="false">SUM(E151:R151)</f>
        <v>1</v>
      </c>
      <c r="U151" s="211" t="n">
        <v>2025</v>
      </c>
      <c r="V151" s="211" t="s">
        <v>469</v>
      </c>
      <c r="W151" s="211" t="n">
        <v>2025</v>
      </c>
      <c r="X151" s="212" t="s">
        <v>498</v>
      </c>
      <c r="Y151" s="232" t="n">
        <f aca="false">+E151</f>
        <v>0.004</v>
      </c>
      <c r="Z151" s="232" t="n">
        <f aca="false">+F151</f>
        <v>0</v>
      </c>
      <c r="AA151" s="232" t="n">
        <f aca="false">+G151</f>
        <v>0.028</v>
      </c>
      <c r="AB151" s="232" t="n">
        <f aca="false">+H151</f>
        <v>0.25</v>
      </c>
      <c r="AC151" s="232" t="n">
        <f aca="false">+I151</f>
        <v>0</v>
      </c>
      <c r="AD151" s="232" t="n">
        <f aca="false">+J151</f>
        <v>0</v>
      </c>
      <c r="AE151" s="232" t="n">
        <f aca="false">+K151</f>
        <v>0</v>
      </c>
      <c r="AF151" s="232" t="n">
        <f aca="false">+L151</f>
        <v>0</v>
      </c>
      <c r="AG151" s="232" t="n">
        <f aca="false">+M151</f>
        <v>0</v>
      </c>
      <c r="AH151" s="232" t="n">
        <f aca="false">+N151</f>
        <v>0</v>
      </c>
      <c r="AI151" s="232" t="n">
        <f aca="false">+O151</f>
        <v>0.71</v>
      </c>
      <c r="AJ151" s="232" t="n">
        <f aca="false">+P151</f>
        <v>0</v>
      </c>
      <c r="AK151" s="232" t="n">
        <f aca="false">+Q151</f>
        <v>0.008</v>
      </c>
      <c r="AL151" s="232" t="n">
        <f aca="false">+R151</f>
        <v>0</v>
      </c>
      <c r="AM151" s="208" t="n">
        <f aca="false">SUM(Y151:AL151)</f>
        <v>1</v>
      </c>
      <c r="AO151" s="59"/>
    </row>
    <row r="152" customFormat="false" ht="14.5" hidden="false" customHeight="false" outlineLevel="0" collapsed="false">
      <c r="B152" s="211" t="n">
        <v>2050</v>
      </c>
      <c r="C152" s="211" t="s">
        <v>469</v>
      </c>
      <c r="D152" s="212" t="s">
        <v>498</v>
      </c>
      <c r="E152" s="213" t="n">
        <v>0.004</v>
      </c>
      <c r="F152" s="213" t="n">
        <v>0</v>
      </c>
      <c r="G152" s="213" t="n">
        <v>0.028</v>
      </c>
      <c r="H152" s="213" t="n">
        <v>0.25</v>
      </c>
      <c r="I152" s="213" t="n">
        <v>0</v>
      </c>
      <c r="J152" s="213" t="n">
        <v>0</v>
      </c>
      <c r="K152" s="213" t="n">
        <v>0</v>
      </c>
      <c r="L152" s="213" t="n">
        <v>0</v>
      </c>
      <c r="M152" s="213" t="n">
        <v>0</v>
      </c>
      <c r="N152" s="213" t="n">
        <v>0</v>
      </c>
      <c r="O152" s="213" t="n">
        <v>0.71</v>
      </c>
      <c r="P152" s="213" t="n">
        <v>0</v>
      </c>
      <c r="Q152" s="213" t="n">
        <v>0.008</v>
      </c>
      <c r="R152" s="213" t="n">
        <v>0</v>
      </c>
      <c r="S152" s="214" t="n">
        <f aca="false">SUM(E152:R152)</f>
        <v>1</v>
      </c>
      <c r="U152" s="211" t="n">
        <v>2050</v>
      </c>
      <c r="V152" s="211" t="s">
        <v>469</v>
      </c>
      <c r="W152" s="211" t="n">
        <v>2050</v>
      </c>
      <c r="X152" s="212" t="s">
        <v>498</v>
      </c>
      <c r="Y152" s="232" t="n">
        <f aca="false">+E152</f>
        <v>0.004</v>
      </c>
      <c r="Z152" s="232" t="n">
        <f aca="false">+F152</f>
        <v>0</v>
      </c>
      <c r="AA152" s="232" t="n">
        <f aca="false">+G152</f>
        <v>0.028</v>
      </c>
      <c r="AB152" s="232" t="n">
        <f aca="false">+H152</f>
        <v>0.25</v>
      </c>
      <c r="AC152" s="232" t="n">
        <f aca="false">+I152</f>
        <v>0</v>
      </c>
      <c r="AD152" s="232" t="n">
        <f aca="false">+J152</f>
        <v>0</v>
      </c>
      <c r="AE152" s="232" t="n">
        <f aca="false">+K152</f>
        <v>0</v>
      </c>
      <c r="AF152" s="232" t="n">
        <f aca="false">+L152</f>
        <v>0</v>
      </c>
      <c r="AG152" s="232" t="n">
        <f aca="false">+M152</f>
        <v>0</v>
      </c>
      <c r="AH152" s="232" t="n">
        <f aca="false">+N152</f>
        <v>0</v>
      </c>
      <c r="AI152" s="232" t="n">
        <f aca="false">+O152</f>
        <v>0.71</v>
      </c>
      <c r="AJ152" s="232" t="n">
        <f aca="false">+P152</f>
        <v>0</v>
      </c>
      <c r="AK152" s="232" t="n">
        <f aca="false">+Q152</f>
        <v>0.008</v>
      </c>
      <c r="AL152" s="232" t="n">
        <f aca="false">+R152</f>
        <v>0</v>
      </c>
      <c r="AM152" s="208" t="n">
        <f aca="false">SUM(Y152:AL152)</f>
        <v>1</v>
      </c>
      <c r="AO152" s="59"/>
    </row>
    <row r="153" customFormat="false" ht="14.5" hidden="false" customHeight="false" outlineLevel="0" collapsed="false">
      <c r="B153" s="217"/>
      <c r="C153" s="217"/>
      <c r="D153" s="218"/>
      <c r="E153" s="219"/>
      <c r="F153" s="219"/>
      <c r="G153" s="219"/>
      <c r="H153" s="219"/>
      <c r="I153" s="219"/>
      <c r="J153" s="219"/>
      <c r="K153" s="219"/>
      <c r="L153" s="219"/>
      <c r="M153" s="219"/>
      <c r="N153" s="219"/>
      <c r="O153" s="219"/>
      <c r="P153" s="219"/>
      <c r="Q153" s="219"/>
      <c r="R153" s="219"/>
      <c r="S153" s="220"/>
      <c r="U153" s="217"/>
      <c r="V153" s="217"/>
      <c r="W153" s="217"/>
      <c r="X153" s="218"/>
      <c r="Y153" s="221"/>
      <c r="Z153" s="221"/>
      <c r="AA153" s="221"/>
      <c r="AB153" s="221"/>
      <c r="AC153" s="221"/>
      <c r="AD153" s="221"/>
      <c r="AE153" s="221"/>
      <c r="AF153" s="221"/>
      <c r="AG153" s="221"/>
      <c r="AH153" s="221"/>
      <c r="AI153" s="221"/>
      <c r="AJ153" s="221"/>
      <c r="AK153" s="221"/>
      <c r="AL153" s="221"/>
      <c r="AM153" s="222"/>
      <c r="AO153" s="59"/>
    </row>
    <row r="154" customFormat="false" ht="14.5" hidden="false" customHeight="false" outlineLevel="0" collapsed="false">
      <c r="B154" s="211" t="n">
        <v>2019</v>
      </c>
      <c r="C154" s="211" t="s">
        <v>471</v>
      </c>
      <c r="D154" s="212" t="s">
        <v>498</v>
      </c>
      <c r="E154" s="213" t="n">
        <v>0</v>
      </c>
      <c r="F154" s="213"/>
      <c r="G154" s="213" t="n">
        <v>0</v>
      </c>
      <c r="H154" s="213" t="n">
        <v>0.9</v>
      </c>
      <c r="I154" s="213" t="n">
        <v>0</v>
      </c>
      <c r="J154" s="213" t="n">
        <v>0</v>
      </c>
      <c r="K154" s="213" t="n">
        <v>0</v>
      </c>
      <c r="L154" s="213" t="n">
        <v>0</v>
      </c>
      <c r="M154" s="213" t="n">
        <v>0</v>
      </c>
      <c r="N154" s="213" t="n">
        <v>0</v>
      </c>
      <c r="O154" s="213" t="n">
        <v>0.1</v>
      </c>
      <c r="P154" s="213" t="n">
        <v>0</v>
      </c>
      <c r="Q154" s="213" t="n">
        <v>0</v>
      </c>
      <c r="R154" s="213" t="n">
        <v>0</v>
      </c>
      <c r="S154" s="214" t="n">
        <f aca="false">SUM(E154:R154)</f>
        <v>1</v>
      </c>
      <c r="U154" s="211" t="n">
        <v>2019</v>
      </c>
      <c r="V154" s="211" t="s">
        <v>471</v>
      </c>
      <c r="W154" s="211" t="n">
        <v>2019</v>
      </c>
      <c r="X154" s="212" t="s">
        <v>498</v>
      </c>
      <c r="Y154" s="215" t="n">
        <f aca="false">INDEX(X$11:X$35,MATCH($V154,$V$11:$V$35,0))/INDEX($AL$11:$AL$35,MATCH($V154,$V$11:$V$35,0))</f>
        <v>0</v>
      </c>
      <c r="Z154" s="215" t="n">
        <f aca="false">INDEX(Y$11:Y$35,MATCH($V154,$V$11:$V$35,0))/INDEX($AL$11:$AL$35,MATCH($V154,$V$11:$V$35,0))</f>
        <v>0</v>
      </c>
      <c r="AA154" s="215" t="n">
        <f aca="false">INDEX(Z$11:Z$35,MATCH($V154,$V$11:$V$35,0))/INDEX($AL$11:$AL$35,MATCH($V154,$V$11:$V$35,0))</f>
        <v>0.0246193395293652</v>
      </c>
      <c r="AB154" s="215" t="n">
        <f aca="false">INDEX(AA$11:AA$35,MATCH($V154,$V$11:$V$35,0))/INDEX($AL$11:$AL$35,MATCH($V154,$V$11:$V$35,0))</f>
        <v>0.639905082064465</v>
      </c>
      <c r="AC154" s="215" t="n">
        <f aca="false">INDEX(AB$11:AB$35,MATCH($V154,$V$11:$V$35,0))/INDEX($AL$11:$AL$35,MATCH($V154,$V$11:$V$35,0))</f>
        <v>0</v>
      </c>
      <c r="AD154" s="215" t="n">
        <f aca="false">INDEX(AC$11:AC$35,MATCH($V154,$V$11:$V$35,0))/INDEX($AL$11:$AL$35,MATCH($V154,$V$11:$V$35,0))</f>
        <v>0</v>
      </c>
      <c r="AE154" s="215" t="n">
        <f aca="false">INDEX(AD$11:AD$35,MATCH($V154,$V$11:$V$35,0))/INDEX($AL$11:$AL$35,MATCH($V154,$V$11:$V$35,0))</f>
        <v>0</v>
      </c>
      <c r="AF154" s="215" t="n">
        <f aca="false">INDEX(AE$11:AE$35,MATCH($V154,$V$11:$V$35,0))/INDEX($AL$11:$AL$35,MATCH($V154,$V$11:$V$35,0))</f>
        <v>0</v>
      </c>
      <c r="AG154" s="215" t="n">
        <f aca="false">INDEX(AF$11:AF$35,MATCH($V154,$V$11:$V$35,0))/INDEX($AL$11:$AL$35,MATCH($V154,$V$11:$V$35,0))</f>
        <v>0</v>
      </c>
      <c r="AH154" s="215" t="n">
        <f aca="false">INDEX(AG$11:AG$35,MATCH($V154,$V$11:$V$35,0))/INDEX($AL$11:$AL$35,MATCH($V154,$V$11:$V$35,0))</f>
        <v>0</v>
      </c>
      <c r="AI154" s="215" t="n">
        <f aca="false">INDEX(AH$11:AH$35,MATCH($V154,$V$11:$V$35,0))/INDEX($AL$11:$AL$35,MATCH($V154,$V$11:$V$35,0))</f>
        <v>0.33547557840617</v>
      </c>
      <c r="AJ154" s="215" t="n">
        <f aca="false">INDEX(AI$11:AI$35,MATCH($V154,$V$11:$V$35,0))/INDEX($AL$11:$AL$35,MATCH($V154,$V$11:$V$35,0))</f>
        <v>0</v>
      </c>
      <c r="AK154" s="215" t="n">
        <f aca="false">INDEX(AJ$11:AJ$35,MATCH($V154,$V$11:$V$35,0))/INDEX($AL$11:$AL$35,MATCH($V154,$V$11:$V$35,0))</f>
        <v>0</v>
      </c>
      <c r="AL154" s="215" t="n">
        <f aca="false">INDEX(AK$11:AK$35,MATCH($V154,$V$11:$V$35,0))/INDEX($AL$11:$AL$35,MATCH($V154,$V$11:$V$35,0))</f>
        <v>0</v>
      </c>
      <c r="AM154" s="208" t="n">
        <f aca="false">INDEX(AL$11:AL$35,MATCH($V154,$V$11:$V$35,0))/INDEX($AL$11:$AL$35,MATCH($V154,$V$11:$V$35,0))</f>
        <v>1</v>
      </c>
      <c r="AO154" s="59" t="s">
        <v>525</v>
      </c>
    </row>
    <row r="155" customFormat="false" ht="14.5" hidden="false" customHeight="false" outlineLevel="0" collapsed="false">
      <c r="B155" s="211" t="n">
        <v>2025</v>
      </c>
      <c r="C155" s="211" t="s">
        <v>471</v>
      </c>
      <c r="D155" s="212" t="s">
        <v>498</v>
      </c>
      <c r="E155" s="213" t="n">
        <v>0</v>
      </c>
      <c r="F155" s="213" t="n">
        <v>0</v>
      </c>
      <c r="G155" s="213" t="n">
        <v>0</v>
      </c>
      <c r="H155" s="213" t="n">
        <v>0.9</v>
      </c>
      <c r="I155" s="213" t="n">
        <v>0</v>
      </c>
      <c r="J155" s="213" t="n">
        <v>0</v>
      </c>
      <c r="K155" s="213" t="n">
        <v>0</v>
      </c>
      <c r="L155" s="213" t="n">
        <v>0</v>
      </c>
      <c r="M155" s="213" t="n">
        <v>0</v>
      </c>
      <c r="N155" s="213" t="n">
        <v>0</v>
      </c>
      <c r="O155" s="213" t="n">
        <v>0.1</v>
      </c>
      <c r="P155" s="213" t="n">
        <v>0</v>
      </c>
      <c r="Q155" s="213" t="n">
        <v>0</v>
      </c>
      <c r="R155" s="213" t="n">
        <v>0</v>
      </c>
      <c r="S155" s="214" t="n">
        <f aca="false">SUM(E155:R155)</f>
        <v>1</v>
      </c>
      <c r="U155" s="211" t="n">
        <v>2025</v>
      </c>
      <c r="V155" s="211" t="s">
        <v>471</v>
      </c>
      <c r="W155" s="211" t="n">
        <v>2025</v>
      </c>
      <c r="X155" s="212" t="s">
        <v>498</v>
      </c>
      <c r="Y155" s="215" t="n">
        <f aca="false">+E155</f>
        <v>0</v>
      </c>
      <c r="Z155" s="215" t="n">
        <f aca="false">+F155</f>
        <v>0</v>
      </c>
      <c r="AA155" s="215" t="n">
        <f aca="false">AA154</f>
        <v>0.0246193395293652</v>
      </c>
      <c r="AB155" s="215" t="n">
        <f aca="false">AB154</f>
        <v>0.639905082064465</v>
      </c>
      <c r="AC155" s="215" t="n">
        <f aca="false">+I155</f>
        <v>0</v>
      </c>
      <c r="AD155" s="215" t="n">
        <f aca="false">+J155</f>
        <v>0</v>
      </c>
      <c r="AE155" s="215" t="n">
        <f aca="false">+K155</f>
        <v>0</v>
      </c>
      <c r="AF155" s="215" t="n">
        <f aca="false">+L155</f>
        <v>0</v>
      </c>
      <c r="AG155" s="215" t="n">
        <f aca="false">+M155</f>
        <v>0</v>
      </c>
      <c r="AH155" s="215" t="n">
        <f aca="false">+N155</f>
        <v>0</v>
      </c>
      <c r="AI155" s="215" t="n">
        <f aca="false">1-SUM(Y155:AH155)</f>
        <v>0.33547557840617</v>
      </c>
      <c r="AJ155" s="215" t="n">
        <f aca="false">+P155</f>
        <v>0</v>
      </c>
      <c r="AK155" s="215" t="n">
        <f aca="false">+Q155</f>
        <v>0</v>
      </c>
      <c r="AL155" s="215" t="n">
        <f aca="false">+R155</f>
        <v>0</v>
      </c>
      <c r="AM155" s="208" t="n">
        <f aca="false">SUM(Y155:AL155)</f>
        <v>1</v>
      </c>
      <c r="AO155" s="59" t="s">
        <v>527</v>
      </c>
    </row>
    <row r="156" customFormat="false" ht="14.5" hidden="false" customHeight="false" outlineLevel="0" collapsed="false">
      <c r="B156" s="211" t="n">
        <v>2050</v>
      </c>
      <c r="C156" s="211" t="s">
        <v>471</v>
      </c>
      <c r="D156" s="212" t="s">
        <v>498</v>
      </c>
      <c r="E156" s="213" t="n">
        <v>0</v>
      </c>
      <c r="F156" s="213" t="n">
        <v>0</v>
      </c>
      <c r="G156" s="213" t="n">
        <v>0</v>
      </c>
      <c r="H156" s="213" t="n">
        <v>0.8</v>
      </c>
      <c r="I156" s="213" t="n">
        <v>0</v>
      </c>
      <c r="J156" s="213" t="n">
        <v>0</v>
      </c>
      <c r="K156" s="213" t="n">
        <v>0</v>
      </c>
      <c r="L156" s="213" t="n">
        <v>0</v>
      </c>
      <c r="M156" s="213" t="n">
        <v>0</v>
      </c>
      <c r="N156" s="213" t="n">
        <v>0</v>
      </c>
      <c r="O156" s="213" t="n">
        <v>0.2</v>
      </c>
      <c r="P156" s="213" t="n">
        <v>0</v>
      </c>
      <c r="Q156" s="213" t="n">
        <v>0</v>
      </c>
      <c r="R156" s="213" t="n">
        <v>0</v>
      </c>
      <c r="S156" s="214" t="n">
        <f aca="false">SUM(E156:R156)</f>
        <v>1</v>
      </c>
      <c r="U156" s="211" t="n">
        <v>2050</v>
      </c>
      <c r="V156" s="211" t="s">
        <v>471</v>
      </c>
      <c r="W156" s="211" t="n">
        <v>2050</v>
      </c>
      <c r="X156" s="212" t="s">
        <v>498</v>
      </c>
      <c r="Y156" s="215" t="n">
        <f aca="false">+E156</f>
        <v>0</v>
      </c>
      <c r="Z156" s="215" t="n">
        <f aca="false">+F156</f>
        <v>0</v>
      </c>
      <c r="AA156" s="215" t="n">
        <f aca="false">+AA155</f>
        <v>0.0246193395293652</v>
      </c>
      <c r="AB156" s="215" t="n">
        <f aca="false">+AB155</f>
        <v>0.639905082064465</v>
      </c>
      <c r="AC156" s="215" t="n">
        <f aca="false">+I156</f>
        <v>0</v>
      </c>
      <c r="AD156" s="215" t="n">
        <f aca="false">+J156</f>
        <v>0</v>
      </c>
      <c r="AE156" s="215" t="n">
        <f aca="false">+K156</f>
        <v>0</v>
      </c>
      <c r="AF156" s="215" t="n">
        <f aca="false">+L156</f>
        <v>0</v>
      </c>
      <c r="AG156" s="215" t="n">
        <f aca="false">+M156</f>
        <v>0</v>
      </c>
      <c r="AH156" s="215" t="n">
        <f aca="false">+N156</f>
        <v>0</v>
      </c>
      <c r="AI156" s="215" t="n">
        <f aca="false">+AI155</f>
        <v>0.33547557840617</v>
      </c>
      <c r="AJ156" s="215" t="n">
        <f aca="false">+P156</f>
        <v>0</v>
      </c>
      <c r="AK156" s="215" t="n">
        <f aca="false">+Q156</f>
        <v>0</v>
      </c>
      <c r="AL156" s="215" t="n">
        <f aca="false">+R156</f>
        <v>0</v>
      </c>
      <c r="AM156" s="208" t="n">
        <f aca="false">SUM(Y156:AL156)</f>
        <v>1</v>
      </c>
      <c r="AO156" s="59"/>
    </row>
    <row r="157" customFormat="false" ht="14.5" hidden="false" customHeight="false" outlineLevel="0" collapsed="false">
      <c r="B157" s="217"/>
      <c r="C157" s="217"/>
      <c r="D157" s="218"/>
      <c r="E157" s="219"/>
      <c r="F157" s="219"/>
      <c r="G157" s="219"/>
      <c r="H157" s="219"/>
      <c r="I157" s="219"/>
      <c r="J157" s="219"/>
      <c r="K157" s="219"/>
      <c r="L157" s="219"/>
      <c r="M157" s="219"/>
      <c r="N157" s="219"/>
      <c r="O157" s="219"/>
      <c r="P157" s="219"/>
      <c r="Q157" s="219"/>
      <c r="R157" s="219"/>
      <c r="S157" s="220"/>
      <c r="U157" s="217"/>
      <c r="V157" s="217"/>
      <c r="W157" s="217"/>
      <c r="X157" s="218"/>
      <c r="Y157" s="221"/>
      <c r="Z157" s="221"/>
      <c r="AA157" s="221"/>
      <c r="AB157" s="221"/>
      <c r="AC157" s="221"/>
      <c r="AD157" s="221"/>
      <c r="AE157" s="221"/>
      <c r="AF157" s="221"/>
      <c r="AG157" s="221"/>
      <c r="AH157" s="221"/>
      <c r="AI157" s="221"/>
      <c r="AJ157" s="221"/>
      <c r="AK157" s="221"/>
      <c r="AL157" s="221"/>
      <c r="AM157" s="222"/>
      <c r="AO157" s="59"/>
    </row>
    <row r="158" customFormat="false" ht="14.5" hidden="false" customHeight="false" outlineLevel="0" collapsed="false">
      <c r="B158" s="211" t="n">
        <v>2019</v>
      </c>
      <c r="C158" s="211" t="s">
        <v>473</v>
      </c>
      <c r="D158" s="212" t="s">
        <v>498</v>
      </c>
      <c r="E158" s="213" t="n">
        <v>0.000220389913911493</v>
      </c>
      <c r="F158" s="213"/>
      <c r="G158" s="213" t="n">
        <v>0.166835456962417</v>
      </c>
      <c r="H158" s="213" t="n">
        <v>0.157128528851314</v>
      </c>
      <c r="I158" s="213" t="n">
        <v>0.000220389913911493</v>
      </c>
      <c r="J158" s="213" t="n">
        <v>0</v>
      </c>
      <c r="K158" s="213" t="n">
        <v>0</v>
      </c>
      <c r="L158" s="213" t="n">
        <v>0</v>
      </c>
      <c r="M158" s="213" t="n">
        <v>0</v>
      </c>
      <c r="N158" s="213" t="n">
        <v>0</v>
      </c>
      <c r="O158" s="213" t="n">
        <v>0.675599380753927</v>
      </c>
      <c r="P158" s="213" t="n">
        <v>0</v>
      </c>
      <c r="Q158" s="213" t="n">
        <v>0</v>
      </c>
      <c r="R158" s="213" t="n">
        <v>0</v>
      </c>
      <c r="S158" s="214" t="n">
        <f aca="false">SUM(E158:R158)</f>
        <v>1.00000414639548</v>
      </c>
      <c r="U158" s="211" t="n">
        <v>2019</v>
      </c>
      <c r="V158" s="211" t="s">
        <v>473</v>
      </c>
      <c r="W158" s="211" t="n">
        <v>2019</v>
      </c>
      <c r="X158" s="212" t="s">
        <v>498</v>
      </c>
      <c r="Y158" s="215" t="n">
        <f aca="false">INDEX(X$11:X$35,MATCH($V158,$V$11:$V$35,0))/INDEX($AL$11:$AL$35,MATCH($V158,$V$11:$V$35,0))</f>
        <v>0.000265209318614752</v>
      </c>
      <c r="Z158" s="215" t="n">
        <f aca="false">INDEX(Y$11:Y$35,MATCH($V158,$V$11:$V$35,0))/INDEX($AL$11:$AL$35,MATCH($V158,$V$11:$V$35,0))</f>
        <v>0</v>
      </c>
      <c r="AA158" s="215" t="n">
        <f aca="false">INDEX(Z$11:Z$35,MATCH($V158,$V$11:$V$35,0))/INDEX($AL$11:$AL$35,MATCH($V158,$V$11:$V$35,0))</f>
        <v>0.195162513110024</v>
      </c>
      <c r="AB158" s="215" t="n">
        <f aca="false">INDEX(AA$11:AA$35,MATCH($V158,$V$11:$V$35,0))/INDEX($AL$11:$AL$35,MATCH($V158,$V$11:$V$35,0))</f>
        <v>0.0871680724973376</v>
      </c>
      <c r="AC158" s="215" t="n">
        <f aca="false">INDEX(AB$11:AB$35,MATCH($V158,$V$11:$V$35,0))/INDEX($AL$11:$AL$35,MATCH($V158,$V$11:$V$35,0))</f>
        <v>0.000265209318614752</v>
      </c>
      <c r="AD158" s="215" t="n">
        <f aca="false">INDEX(AC$11:AC$35,MATCH($V158,$V$11:$V$35,0))/INDEX($AL$11:$AL$35,MATCH($V158,$V$11:$V$35,0))</f>
        <v>0</v>
      </c>
      <c r="AE158" s="215" t="n">
        <f aca="false">INDEX(AD$11:AD$35,MATCH($V158,$V$11:$V$35,0))/INDEX($AL$11:$AL$35,MATCH($V158,$V$11:$V$35,0))</f>
        <v>0</v>
      </c>
      <c r="AF158" s="215" t="n">
        <f aca="false">INDEX(AE$11:AE$35,MATCH($V158,$V$11:$V$35,0))/INDEX($AL$11:$AL$35,MATCH($V158,$V$11:$V$35,0))</f>
        <v>0</v>
      </c>
      <c r="AG158" s="215" t="n">
        <f aca="false">INDEX(AF$11:AF$35,MATCH($V158,$V$11:$V$35,0))/INDEX($AL$11:$AL$35,MATCH($V158,$V$11:$V$35,0))</f>
        <v>0</v>
      </c>
      <c r="AH158" s="215" t="n">
        <f aca="false">INDEX(AG$11:AG$35,MATCH($V158,$V$11:$V$35,0))/INDEX($AL$11:$AL$35,MATCH($V158,$V$11:$V$35,0))</f>
        <v>0</v>
      </c>
      <c r="AI158" s="215" t="n">
        <f aca="false">INDEX(AH$11:AH$35,MATCH($V158,$V$11:$V$35,0))/INDEX($AL$11:$AL$35,MATCH($V158,$V$11:$V$35,0))</f>
        <v>0.728566484469445</v>
      </c>
      <c r="AJ158" s="215" t="n">
        <f aca="false">INDEX(AI$11:AI$35,MATCH($V158,$V$11:$V$35,0))/INDEX($AL$11:$AL$35,MATCH($V158,$V$11:$V$35,0))</f>
        <v>0</v>
      </c>
      <c r="AK158" s="215" t="n">
        <f aca="false">INDEX(AJ$11:AJ$35,MATCH($V158,$V$11:$V$35,0))/INDEX($AL$11:$AL$35,MATCH($V158,$V$11:$V$35,0))</f>
        <v>0</v>
      </c>
      <c r="AL158" s="215" t="n">
        <f aca="false">INDEX(AK$11:AK$35,MATCH($V158,$V$11:$V$35,0))/INDEX($AL$11:$AL$35,MATCH($V158,$V$11:$V$35,0))</f>
        <v>0</v>
      </c>
      <c r="AM158" s="208" t="n">
        <f aca="false">INDEX(AL$11:AL$35,MATCH($V158,$V$11:$V$35,0))/INDEX($AL$11:$AL$35,MATCH($V158,$V$11:$V$35,0))</f>
        <v>1</v>
      </c>
      <c r="AO158" s="59" t="s">
        <v>528</v>
      </c>
    </row>
    <row r="159" customFormat="false" ht="14.5" hidden="false" customHeight="false" outlineLevel="0" collapsed="false">
      <c r="B159" s="211" t="n">
        <v>2025</v>
      </c>
      <c r="C159" s="211" t="s">
        <v>473</v>
      </c>
      <c r="D159" s="212" t="s">
        <v>498</v>
      </c>
      <c r="E159" s="213" t="n">
        <v>0.000218316716171187</v>
      </c>
      <c r="F159" s="213" t="n">
        <v>0</v>
      </c>
      <c r="G159" s="213" t="n">
        <v>0.152259671871665</v>
      </c>
      <c r="H159" s="213" t="n">
        <v>0.157128528851314</v>
      </c>
      <c r="I159" s="213" t="n">
        <v>0.000218316716171187</v>
      </c>
      <c r="J159" s="213" t="n">
        <v>0.000218316716171187</v>
      </c>
      <c r="K159" s="213" t="n">
        <v>0.000218316716171187</v>
      </c>
      <c r="L159" s="213" t="n">
        <v>0.000218316716171187</v>
      </c>
      <c r="M159" s="213" t="n">
        <v>0.000218316716171187</v>
      </c>
      <c r="N159" s="213" t="n">
        <v>0.000218316716171187</v>
      </c>
      <c r="O159" s="213" t="n">
        <v>0.675599380753927</v>
      </c>
      <c r="P159" s="213" t="n">
        <v>0</v>
      </c>
      <c r="Q159" s="213" t="n">
        <v>0.0145757850907516</v>
      </c>
      <c r="R159" s="213" t="n">
        <v>0.000218316716171187</v>
      </c>
      <c r="S159" s="214" t="n">
        <f aca="false">SUM(E159:R159)</f>
        <v>1.00130990029703</v>
      </c>
      <c r="U159" s="211" t="n">
        <v>2025</v>
      </c>
      <c r="V159" s="211" t="s">
        <v>473</v>
      </c>
      <c r="W159" s="211" t="n">
        <v>2025</v>
      </c>
      <c r="X159" s="212" t="s">
        <v>498</v>
      </c>
      <c r="Y159" s="215" t="n">
        <f aca="false">+E159</f>
        <v>0.000218316716171187</v>
      </c>
      <c r="Z159" s="215" t="n">
        <f aca="false">+F159</f>
        <v>0</v>
      </c>
      <c r="AA159" s="215" t="n">
        <v>0.17</v>
      </c>
      <c r="AB159" s="215" t="n">
        <v>0.085</v>
      </c>
      <c r="AC159" s="215" t="n">
        <f aca="false">+I159</f>
        <v>0.000218316716171187</v>
      </c>
      <c r="AD159" s="215" t="n">
        <f aca="false">+J159</f>
        <v>0.000218316716171187</v>
      </c>
      <c r="AE159" s="215" t="n">
        <f aca="false">+K159</f>
        <v>0.000218316716171187</v>
      </c>
      <c r="AF159" s="215" t="n">
        <f aca="false">+L159</f>
        <v>0.000218316716171187</v>
      </c>
      <c r="AG159" s="215" t="n">
        <f aca="false">+M159</f>
        <v>0.000218316716171187</v>
      </c>
      <c r="AH159" s="215" t="n">
        <f aca="false">+N159</f>
        <v>0.000218316716171187</v>
      </c>
      <c r="AI159" s="215" t="n">
        <f aca="false">AI158</f>
        <v>0.728566484469445</v>
      </c>
      <c r="AJ159" s="215" t="n">
        <f aca="false">+P159</f>
        <v>0</v>
      </c>
      <c r="AK159" s="215" t="n">
        <f aca="false">+Q159</f>
        <v>0.0145757850907516</v>
      </c>
      <c r="AL159" s="215" t="n">
        <f aca="false">+R159</f>
        <v>0.000218316716171187</v>
      </c>
      <c r="AM159" s="208" t="n">
        <f aca="false">SUM(Y159:AL159)</f>
        <v>0.999888803289566</v>
      </c>
      <c r="AO159" s="59"/>
    </row>
    <row r="160" customFormat="false" ht="14.5" hidden="false" customHeight="false" outlineLevel="0" collapsed="false">
      <c r="B160" s="211" t="n">
        <v>2050</v>
      </c>
      <c r="C160" s="211" t="s">
        <v>473</v>
      </c>
      <c r="D160" s="212" t="s">
        <v>498</v>
      </c>
      <c r="E160" s="213" t="n">
        <v>0.000218316716171187</v>
      </c>
      <c r="F160" s="213" t="n">
        <v>0</v>
      </c>
      <c r="G160" s="213" t="n">
        <v>0.152259671871665</v>
      </c>
      <c r="H160" s="213" t="n">
        <v>0.157128528851314</v>
      </c>
      <c r="I160" s="213" t="n">
        <v>0.000218316716171187</v>
      </c>
      <c r="J160" s="213" t="n">
        <v>0.000218316716171187</v>
      </c>
      <c r="K160" s="213" t="n">
        <v>0.000218316716171187</v>
      </c>
      <c r="L160" s="213" t="n">
        <v>0.000218316716171187</v>
      </c>
      <c r="M160" s="213" t="n">
        <v>0.000218316716171187</v>
      </c>
      <c r="N160" s="213" t="n">
        <v>0.000218316716171187</v>
      </c>
      <c r="O160" s="213" t="n">
        <v>0.675599380753927</v>
      </c>
      <c r="P160" s="213" t="n">
        <v>0</v>
      </c>
      <c r="Q160" s="213" t="n">
        <v>0.0145757850907516</v>
      </c>
      <c r="R160" s="213" t="n">
        <v>0.000218316716171187</v>
      </c>
      <c r="S160" s="214" t="n">
        <f aca="false">SUM(E160:R160)</f>
        <v>1.00130990029703</v>
      </c>
      <c r="U160" s="211" t="n">
        <v>2050</v>
      </c>
      <c r="V160" s="211" t="s">
        <v>473</v>
      </c>
      <c r="W160" s="211" t="n">
        <v>2050</v>
      </c>
      <c r="X160" s="212" t="s">
        <v>498</v>
      </c>
      <c r="Y160" s="215" t="n">
        <f aca="false">+E160</f>
        <v>0.000218316716171187</v>
      </c>
      <c r="Z160" s="215" t="n">
        <f aca="false">+F160</f>
        <v>0</v>
      </c>
      <c r="AA160" s="215" t="n">
        <f aca="false">AA159</f>
        <v>0.17</v>
      </c>
      <c r="AB160" s="215" t="n">
        <f aca="false">AB159</f>
        <v>0.085</v>
      </c>
      <c r="AC160" s="215" t="n">
        <f aca="false">+I160</f>
        <v>0.000218316716171187</v>
      </c>
      <c r="AD160" s="215" t="n">
        <f aca="false">+J160</f>
        <v>0.000218316716171187</v>
      </c>
      <c r="AE160" s="215" t="n">
        <f aca="false">+K160</f>
        <v>0.000218316716171187</v>
      </c>
      <c r="AF160" s="215" t="n">
        <f aca="false">+L160</f>
        <v>0.000218316716171187</v>
      </c>
      <c r="AG160" s="215" t="n">
        <f aca="false">+M160</f>
        <v>0.000218316716171187</v>
      </c>
      <c r="AH160" s="215" t="n">
        <f aca="false">+N160</f>
        <v>0.000218316716171187</v>
      </c>
      <c r="AI160" s="215" t="n">
        <f aca="false">AI159</f>
        <v>0.728566484469445</v>
      </c>
      <c r="AJ160" s="215" t="n">
        <f aca="false">+P160</f>
        <v>0</v>
      </c>
      <c r="AK160" s="215" t="n">
        <f aca="false">+Q160</f>
        <v>0.0145757850907516</v>
      </c>
      <c r="AL160" s="215" t="n">
        <f aca="false">+R160</f>
        <v>0.000218316716171187</v>
      </c>
      <c r="AM160" s="208" t="n">
        <f aca="false">SUM(Y160:AL160)</f>
        <v>0.999888803289566</v>
      </c>
      <c r="AO160" s="59"/>
    </row>
    <row r="161" customFormat="false" ht="14.5" hidden="false" customHeight="false" outlineLevel="0" collapsed="false">
      <c r="B161" s="217"/>
      <c r="C161" s="217"/>
      <c r="D161" s="218"/>
      <c r="E161" s="219"/>
      <c r="F161" s="219"/>
      <c r="G161" s="219"/>
      <c r="H161" s="219"/>
      <c r="I161" s="219"/>
      <c r="J161" s="219"/>
      <c r="K161" s="219"/>
      <c r="L161" s="219"/>
      <c r="M161" s="219"/>
      <c r="N161" s="219"/>
      <c r="O161" s="219"/>
      <c r="P161" s="219"/>
      <c r="Q161" s="219"/>
      <c r="R161" s="219"/>
      <c r="S161" s="220"/>
      <c r="U161" s="217"/>
      <c r="V161" s="217"/>
      <c r="W161" s="217"/>
      <c r="X161" s="218"/>
      <c r="Y161" s="221"/>
      <c r="Z161" s="221"/>
      <c r="AA161" s="221"/>
      <c r="AB161" s="221"/>
      <c r="AC161" s="221"/>
      <c r="AD161" s="221"/>
      <c r="AE161" s="221"/>
      <c r="AF161" s="221"/>
      <c r="AG161" s="221"/>
      <c r="AH161" s="221"/>
      <c r="AI161" s="221"/>
      <c r="AJ161" s="221"/>
      <c r="AK161" s="221"/>
      <c r="AL161" s="221"/>
      <c r="AM161" s="222"/>
      <c r="AO161" s="59"/>
    </row>
    <row r="162" customFormat="false" ht="14.5" hidden="false" customHeight="false" outlineLevel="0" collapsed="false">
      <c r="B162" s="206"/>
      <c r="C162" s="206" t="s">
        <v>25</v>
      </c>
      <c r="D162" s="206"/>
      <c r="E162" s="225"/>
      <c r="F162" s="225"/>
      <c r="G162" s="225"/>
      <c r="H162" s="225"/>
      <c r="I162" s="225"/>
      <c r="J162" s="225"/>
      <c r="K162" s="225"/>
      <c r="L162" s="225"/>
      <c r="M162" s="225"/>
      <c r="N162" s="225"/>
      <c r="O162" s="225"/>
      <c r="P162" s="225"/>
      <c r="Q162" s="225"/>
      <c r="R162" s="225"/>
      <c r="S162" s="214"/>
      <c r="U162" s="206"/>
      <c r="V162" s="209" t="s">
        <v>25</v>
      </c>
      <c r="W162" s="209"/>
      <c r="X162" s="209"/>
      <c r="Y162" s="207"/>
      <c r="Z162" s="207"/>
      <c r="AA162" s="207"/>
      <c r="AB162" s="207"/>
      <c r="AC162" s="207"/>
      <c r="AD162" s="207"/>
      <c r="AE162" s="207"/>
      <c r="AF162" s="207"/>
      <c r="AG162" s="207"/>
      <c r="AH162" s="207"/>
      <c r="AI162" s="207"/>
      <c r="AJ162" s="207"/>
      <c r="AK162" s="207"/>
      <c r="AL162" s="207"/>
      <c r="AM162" s="208"/>
      <c r="AO162" s="59"/>
    </row>
    <row r="163" customFormat="false" ht="14.5" hidden="false" customHeight="false" outlineLevel="0" collapsed="false">
      <c r="B163" s="211" t="n">
        <v>2019</v>
      </c>
      <c r="C163" s="211" t="s">
        <v>475</v>
      </c>
      <c r="D163" s="212" t="s">
        <v>498</v>
      </c>
      <c r="E163" s="213" t="n">
        <v>0</v>
      </c>
      <c r="F163" s="213"/>
      <c r="G163" s="213" t="n">
        <v>0.005</v>
      </c>
      <c r="H163" s="213" t="n">
        <v>0.93</v>
      </c>
      <c r="I163" s="213" t="n">
        <v>0.005</v>
      </c>
      <c r="J163" s="213" t="n">
        <v>0</v>
      </c>
      <c r="K163" s="213" t="n">
        <v>0</v>
      </c>
      <c r="L163" s="213" t="n">
        <v>0</v>
      </c>
      <c r="M163" s="213" t="n">
        <v>0</v>
      </c>
      <c r="N163" s="213" t="n">
        <v>0</v>
      </c>
      <c r="O163" s="213" t="n">
        <v>0.06</v>
      </c>
      <c r="P163" s="213" t="n">
        <v>0</v>
      </c>
      <c r="Q163" s="213" t="n">
        <v>0</v>
      </c>
      <c r="R163" s="213" t="n">
        <v>0</v>
      </c>
      <c r="S163" s="214" t="n">
        <f aca="false">SUM(E163:R163)</f>
        <v>1</v>
      </c>
      <c r="U163" s="211" t="n">
        <v>2019</v>
      </c>
      <c r="V163" s="211" t="s">
        <v>475</v>
      </c>
      <c r="W163" s="211" t="n">
        <v>2019</v>
      </c>
      <c r="X163" s="212" t="s">
        <v>498</v>
      </c>
      <c r="Y163" s="215" t="n">
        <f aca="false">INDEX(X$11:X$35,MATCH($V163,$V$11:$V$35,0))/INDEX($AL$11:$AL$35,MATCH($V163,$V$11:$V$35,0))</f>
        <v>0</v>
      </c>
      <c r="Z163" s="215" t="n">
        <f aca="false">INDEX(Y$11:Y$35,MATCH($V163,$V$11:$V$35,0))/INDEX($AL$11:$AL$35,MATCH($V163,$V$11:$V$35,0))</f>
        <v>0</v>
      </c>
      <c r="AA163" s="215" t="n">
        <f aca="false">INDEX(Z$11:Z$35,MATCH($V163,$V$11:$V$35,0))/INDEX($AL$11:$AL$35,MATCH($V163,$V$11:$V$35,0))</f>
        <v>0.005</v>
      </c>
      <c r="AB163" s="215" t="n">
        <f aca="false">INDEX(AA$11:AA$35,MATCH($V163,$V$11:$V$35,0))/INDEX($AL$11:$AL$35,MATCH($V163,$V$11:$V$35,0))</f>
        <v>0.93</v>
      </c>
      <c r="AC163" s="215" t="n">
        <f aca="false">INDEX(AB$11:AB$35,MATCH($V163,$V$11:$V$35,0))/INDEX($AL$11:$AL$35,MATCH($V163,$V$11:$V$35,0))</f>
        <v>0.005</v>
      </c>
      <c r="AD163" s="215" t="n">
        <f aca="false">INDEX(AC$11:AC$35,MATCH($V163,$V$11:$V$35,0))/INDEX($AL$11:$AL$35,MATCH($V163,$V$11:$V$35,0))</f>
        <v>0</v>
      </c>
      <c r="AE163" s="215" t="n">
        <f aca="false">INDEX(AD$11:AD$35,MATCH($V163,$V$11:$V$35,0))/INDEX($AL$11:$AL$35,MATCH($V163,$V$11:$V$35,0))</f>
        <v>0</v>
      </c>
      <c r="AF163" s="215" t="n">
        <f aca="false">INDEX(AE$11:AE$35,MATCH($V163,$V$11:$V$35,0))/INDEX($AL$11:$AL$35,MATCH($V163,$V$11:$V$35,0))</f>
        <v>0</v>
      </c>
      <c r="AG163" s="215" t="n">
        <f aca="false">INDEX(AF$11:AF$35,MATCH($V163,$V$11:$V$35,0))/INDEX($AL$11:$AL$35,MATCH($V163,$V$11:$V$35,0))</f>
        <v>0</v>
      </c>
      <c r="AH163" s="215" t="n">
        <f aca="false">INDEX(AG$11:AG$35,MATCH($V163,$V$11:$V$35,0))/INDEX($AL$11:$AL$35,MATCH($V163,$V$11:$V$35,0))</f>
        <v>0</v>
      </c>
      <c r="AI163" s="215" t="n">
        <f aca="false">INDEX(AH$11:AH$35,MATCH($V163,$V$11:$V$35,0))/INDEX($AL$11:$AL$35,MATCH($V163,$V$11:$V$35,0))</f>
        <v>0.06</v>
      </c>
      <c r="AJ163" s="215" t="n">
        <f aca="false">INDEX(AI$11:AI$35,MATCH($V163,$V$11:$V$35,0))/INDEX($AL$11:$AL$35,MATCH($V163,$V$11:$V$35,0))</f>
        <v>0</v>
      </c>
      <c r="AK163" s="215" t="n">
        <f aca="false">INDEX(AJ$11:AJ$35,MATCH($V163,$V$11:$V$35,0))/INDEX($AL$11:$AL$35,MATCH($V163,$V$11:$V$35,0))</f>
        <v>0</v>
      </c>
      <c r="AL163" s="215" t="n">
        <f aca="false">INDEX(AK$11:AK$35,MATCH($V163,$V$11:$V$35,0))/INDEX($AL$11:$AL$35,MATCH($V163,$V$11:$V$35,0))</f>
        <v>0</v>
      </c>
      <c r="AM163" s="208" t="n">
        <f aca="false">INDEX(AL$11:AL$35,MATCH($V163,$V$11:$V$35,0))/INDEX($AL$11:$AL$35,MATCH($V163,$V$11:$V$35,0))</f>
        <v>1</v>
      </c>
      <c r="AO163" s="59" t="s">
        <v>529</v>
      </c>
    </row>
    <row r="164" customFormat="false" ht="14.5" hidden="false" customHeight="false" outlineLevel="0" collapsed="false">
      <c r="B164" s="211" t="n">
        <v>2025</v>
      </c>
      <c r="C164" s="211" t="s">
        <v>475</v>
      </c>
      <c r="D164" s="212" t="s">
        <v>498</v>
      </c>
      <c r="E164" s="213" t="n">
        <v>0</v>
      </c>
      <c r="F164" s="213" t="n">
        <v>0</v>
      </c>
      <c r="G164" s="213" t="n">
        <v>0.005</v>
      </c>
      <c r="H164" s="213" t="n">
        <v>0.93</v>
      </c>
      <c r="I164" s="213" t="n">
        <v>0.005</v>
      </c>
      <c r="J164" s="213" t="n">
        <v>0</v>
      </c>
      <c r="K164" s="213" t="n">
        <v>0</v>
      </c>
      <c r="L164" s="213" t="n">
        <v>0</v>
      </c>
      <c r="M164" s="213" t="n">
        <v>0</v>
      </c>
      <c r="N164" s="213" t="n">
        <v>0</v>
      </c>
      <c r="O164" s="213" t="n">
        <v>0.06</v>
      </c>
      <c r="P164" s="213" t="n">
        <v>0</v>
      </c>
      <c r="Q164" s="213" t="n">
        <v>0</v>
      </c>
      <c r="R164" s="213" t="n">
        <v>0</v>
      </c>
      <c r="S164" s="214" t="n">
        <f aca="false">SUM(E164:R164)</f>
        <v>1</v>
      </c>
      <c r="U164" s="211" t="n">
        <v>2025</v>
      </c>
      <c r="V164" s="211" t="s">
        <v>475</v>
      </c>
      <c r="W164" s="211" t="n">
        <v>2025</v>
      </c>
      <c r="X164" s="212" t="s">
        <v>498</v>
      </c>
      <c r="Y164" s="215" t="n">
        <f aca="false">+E164</f>
        <v>0</v>
      </c>
      <c r="Z164" s="215" t="n">
        <f aca="false">+F164</f>
        <v>0</v>
      </c>
      <c r="AA164" s="215" t="n">
        <f aca="false">+G164</f>
        <v>0.005</v>
      </c>
      <c r="AB164" s="215" t="n">
        <f aca="false">+H164</f>
        <v>0.93</v>
      </c>
      <c r="AC164" s="215" t="n">
        <f aca="false">+I164</f>
        <v>0.005</v>
      </c>
      <c r="AD164" s="215" t="n">
        <f aca="false">+J164</f>
        <v>0</v>
      </c>
      <c r="AE164" s="215" t="n">
        <f aca="false">+K164</f>
        <v>0</v>
      </c>
      <c r="AF164" s="215" t="n">
        <f aca="false">+L164</f>
        <v>0</v>
      </c>
      <c r="AG164" s="215" t="n">
        <f aca="false">+M164</f>
        <v>0</v>
      </c>
      <c r="AH164" s="215" t="n">
        <f aca="false">+N164</f>
        <v>0</v>
      </c>
      <c r="AI164" s="215" t="n">
        <f aca="false">+O164</f>
        <v>0.06</v>
      </c>
      <c r="AJ164" s="215" t="n">
        <f aca="false">+P164</f>
        <v>0</v>
      </c>
      <c r="AK164" s="215" t="n">
        <f aca="false">+Q164</f>
        <v>0</v>
      </c>
      <c r="AL164" s="215" t="n">
        <f aca="false">+R164</f>
        <v>0</v>
      </c>
      <c r="AM164" s="208" t="n">
        <f aca="false">SUM(Y164:AL164)</f>
        <v>1</v>
      </c>
      <c r="AO164" s="59"/>
    </row>
    <row r="165" customFormat="false" ht="14.5" hidden="false" customHeight="false" outlineLevel="0" collapsed="false">
      <c r="B165" s="211" t="n">
        <v>2050</v>
      </c>
      <c r="C165" s="211" t="s">
        <v>475</v>
      </c>
      <c r="D165" s="212" t="s">
        <v>498</v>
      </c>
      <c r="E165" s="213" t="n">
        <v>0</v>
      </c>
      <c r="F165" s="213" t="n">
        <v>0</v>
      </c>
      <c r="G165" s="213" t="n">
        <v>0.005</v>
      </c>
      <c r="H165" s="213" t="n">
        <v>0.23</v>
      </c>
      <c r="I165" s="213" t="n">
        <v>0.005</v>
      </c>
      <c r="J165" s="213" t="n">
        <v>0</v>
      </c>
      <c r="K165" s="213" t="n">
        <v>0</v>
      </c>
      <c r="L165" s="213" t="n">
        <v>0</v>
      </c>
      <c r="M165" s="213" t="n">
        <v>0</v>
      </c>
      <c r="N165" s="213" t="n">
        <v>0</v>
      </c>
      <c r="O165" s="213" t="n">
        <v>0.76</v>
      </c>
      <c r="P165" s="213" t="n">
        <v>0</v>
      </c>
      <c r="Q165" s="213" t="n">
        <v>0</v>
      </c>
      <c r="R165" s="213" t="n">
        <v>0</v>
      </c>
      <c r="S165" s="214" t="n">
        <f aca="false">SUM(E165:R165)</f>
        <v>1</v>
      </c>
      <c r="U165" s="211" t="n">
        <v>2050</v>
      </c>
      <c r="V165" s="211" t="s">
        <v>475</v>
      </c>
      <c r="W165" s="211" t="n">
        <v>2050</v>
      </c>
      <c r="X165" s="212" t="s">
        <v>498</v>
      </c>
      <c r="Y165" s="215" t="n">
        <f aca="false">+E165</f>
        <v>0</v>
      </c>
      <c r="Z165" s="215" t="n">
        <f aca="false">+F165</f>
        <v>0</v>
      </c>
      <c r="AA165" s="215" t="n">
        <f aca="false">+G165</f>
        <v>0.005</v>
      </c>
      <c r="AB165" s="215" t="n">
        <f aca="false">+AB164</f>
        <v>0.93</v>
      </c>
      <c r="AC165" s="215" t="n">
        <f aca="false">+I165</f>
        <v>0.005</v>
      </c>
      <c r="AD165" s="215" t="n">
        <f aca="false">+J165</f>
        <v>0</v>
      </c>
      <c r="AE165" s="215" t="n">
        <f aca="false">+K165</f>
        <v>0</v>
      </c>
      <c r="AF165" s="215" t="n">
        <f aca="false">+L165</f>
        <v>0</v>
      </c>
      <c r="AG165" s="215" t="n">
        <f aca="false">+M165</f>
        <v>0</v>
      </c>
      <c r="AH165" s="215" t="n">
        <f aca="false">+N165</f>
        <v>0</v>
      </c>
      <c r="AI165" s="215" t="n">
        <f aca="false">+AI164</f>
        <v>0.06</v>
      </c>
      <c r="AJ165" s="215" t="n">
        <f aca="false">+P165</f>
        <v>0</v>
      </c>
      <c r="AK165" s="215" t="n">
        <f aca="false">+Q165</f>
        <v>0</v>
      </c>
      <c r="AL165" s="215" t="n">
        <f aca="false">+R165</f>
        <v>0</v>
      </c>
      <c r="AM165" s="208" t="n">
        <f aca="false">SUM(Y165:AL165)</f>
        <v>1</v>
      </c>
      <c r="AO165" s="59"/>
    </row>
    <row r="166" customFormat="false" ht="14.5" hidden="false" customHeight="false" outlineLevel="0" collapsed="false">
      <c r="B166" s="217"/>
      <c r="C166" s="217"/>
      <c r="D166" s="218"/>
      <c r="E166" s="219"/>
      <c r="F166" s="219"/>
      <c r="G166" s="219"/>
      <c r="H166" s="219"/>
      <c r="I166" s="219"/>
      <c r="J166" s="219"/>
      <c r="K166" s="219"/>
      <c r="L166" s="219"/>
      <c r="M166" s="219"/>
      <c r="N166" s="219"/>
      <c r="O166" s="219"/>
      <c r="P166" s="219"/>
      <c r="Q166" s="219"/>
      <c r="R166" s="219"/>
      <c r="S166" s="220"/>
      <c r="U166" s="217"/>
      <c r="V166" s="217"/>
      <c r="W166" s="217"/>
      <c r="X166" s="218"/>
      <c r="Y166" s="221"/>
      <c r="Z166" s="221"/>
      <c r="AA166" s="221"/>
      <c r="AB166" s="221"/>
      <c r="AC166" s="221"/>
      <c r="AD166" s="221"/>
      <c r="AE166" s="221"/>
      <c r="AF166" s="221"/>
      <c r="AG166" s="221"/>
      <c r="AH166" s="221"/>
      <c r="AI166" s="221"/>
      <c r="AJ166" s="221"/>
      <c r="AK166" s="221"/>
      <c r="AL166" s="221"/>
      <c r="AM166" s="222"/>
      <c r="AO166" s="59"/>
    </row>
    <row r="167" customFormat="false" ht="14.5" hidden="false" customHeight="false" outlineLevel="0" collapsed="false">
      <c r="B167" s="211" t="n">
        <v>2019</v>
      </c>
      <c r="C167" s="211" t="s">
        <v>476</v>
      </c>
      <c r="D167" s="212" t="s">
        <v>498</v>
      </c>
      <c r="E167" s="213" t="n">
        <v>0</v>
      </c>
      <c r="F167" s="213"/>
      <c r="G167" s="213" t="n">
        <v>0.0684032934311778</v>
      </c>
      <c r="H167" s="213" t="n">
        <v>0.494979970656034</v>
      </c>
      <c r="I167" s="213" t="n">
        <v>0.030411115934224</v>
      </c>
      <c r="J167" s="213" t="n">
        <v>0</v>
      </c>
      <c r="K167" s="213" t="n">
        <v>0</v>
      </c>
      <c r="L167" s="213" t="n">
        <v>0</v>
      </c>
      <c r="M167" s="213" t="n">
        <v>0</v>
      </c>
      <c r="N167" s="213" t="n">
        <v>0</v>
      </c>
      <c r="O167" s="213" t="n">
        <v>0.22808336950668</v>
      </c>
      <c r="P167" s="213" t="n">
        <v>0</v>
      </c>
      <c r="Q167" s="213" t="n">
        <v>0.178122250471884</v>
      </c>
      <c r="R167" s="213" t="n">
        <v>0</v>
      </c>
      <c r="S167" s="214" t="n">
        <f aca="false">SUM(E167:R167)</f>
        <v>1</v>
      </c>
      <c r="U167" s="211" t="n">
        <v>2019</v>
      </c>
      <c r="V167" s="211" t="s">
        <v>476</v>
      </c>
      <c r="W167" s="211" t="n">
        <v>2019</v>
      </c>
      <c r="X167" s="212" t="s">
        <v>498</v>
      </c>
      <c r="Y167" s="215" t="n">
        <f aca="false">INDEX(X$11:X$35,MATCH($V167,$V$11:$V$35,0))/INDEX($AL$11:$AL$35,MATCH($V167,$V$11:$V$35,0))</f>
        <v>0</v>
      </c>
      <c r="Z167" s="215" t="n">
        <f aca="false">INDEX(Y$11:Y$35,MATCH($V167,$V$11:$V$35,0))/INDEX($AL$11:$AL$35,MATCH($V167,$V$11:$V$35,0))</f>
        <v>0</v>
      </c>
      <c r="AA167" s="215" t="n">
        <f aca="false">INDEX(Z$11:Z$35,MATCH($V167,$V$11:$V$35,0))/INDEX($AL$11:$AL$35,MATCH($V167,$V$11:$V$35,0))</f>
        <v>0.0365253854101824</v>
      </c>
      <c r="AB167" s="215" t="n">
        <f aca="false">INDEX(AA$11:AA$35,MATCH($V167,$V$11:$V$35,0))/INDEX($AL$11:$AL$35,MATCH($V167,$V$11:$V$35,0))</f>
        <v>0.657456937383284</v>
      </c>
      <c r="AC167" s="215" t="n">
        <f aca="false">INDEX(AB$11:AB$35,MATCH($V167,$V$11:$V$35,0))/INDEX($AL$11:$AL$35,MATCH($V167,$V$11:$V$35,0))</f>
        <v>0.0132846371353045</v>
      </c>
      <c r="AD167" s="215" t="n">
        <f aca="false">INDEX(AC$11:AC$35,MATCH($V167,$V$11:$V$35,0))/INDEX($AL$11:$AL$35,MATCH($V167,$V$11:$V$35,0))</f>
        <v>0</v>
      </c>
      <c r="AE167" s="215" t="n">
        <f aca="false">INDEX(AD$11:AD$35,MATCH($V167,$V$11:$V$35,0))/INDEX($AL$11:$AL$35,MATCH($V167,$V$11:$V$35,0))</f>
        <v>0</v>
      </c>
      <c r="AF167" s="215" t="n">
        <f aca="false">INDEX(AE$11:AE$35,MATCH($V167,$V$11:$V$35,0))/INDEX($AL$11:$AL$35,MATCH($V167,$V$11:$V$35,0))</f>
        <v>0</v>
      </c>
      <c r="AG167" s="215" t="n">
        <f aca="false">INDEX(AF$11:AF$35,MATCH($V167,$V$11:$V$35,0))/INDEX($AL$11:$AL$35,MATCH($V167,$V$11:$V$35,0))</f>
        <v>0</v>
      </c>
      <c r="AH167" s="215" t="n">
        <f aca="false">INDEX(AG$11:AG$35,MATCH($V167,$V$11:$V$35,0))/INDEX($AL$11:$AL$35,MATCH($V167,$V$11:$V$35,0))</f>
        <v>0</v>
      </c>
      <c r="AI167" s="215" t="n">
        <f aca="false">INDEX(AH$11:AH$35,MATCH($V167,$V$11:$V$35,0))/INDEX($AL$11:$AL$35,MATCH($V167,$V$11:$V$35,0))</f>
        <v>0.160438055942587</v>
      </c>
      <c r="AJ167" s="215" t="n">
        <f aca="false">INDEX(AI$11:AI$35,MATCH($V167,$V$11:$V$35,0))/INDEX($AL$11:$AL$35,MATCH($V167,$V$11:$V$35,0))</f>
        <v>0</v>
      </c>
      <c r="AK167" s="215" t="n">
        <f aca="false">INDEX(AJ$11:AJ$35,MATCH($V167,$V$11:$V$35,0))/INDEX($AL$11:$AL$35,MATCH($V167,$V$11:$V$35,0))</f>
        <v>0.132294984128642</v>
      </c>
      <c r="AL167" s="215" t="n">
        <f aca="false">INDEX(AK$11:AK$35,MATCH($V167,$V$11:$V$35,0))/INDEX($AL$11:$AL$35,MATCH($V167,$V$11:$V$35,0))</f>
        <v>0</v>
      </c>
      <c r="AM167" s="208" t="n">
        <f aca="false">INDEX(AL$11:AL$35,MATCH($V167,$V$11:$V$35,0))/INDEX($AL$11:$AL$35,MATCH($V167,$V$11:$V$35,0))</f>
        <v>1</v>
      </c>
      <c r="AO167" s="59" t="s">
        <v>528</v>
      </c>
    </row>
    <row r="168" customFormat="false" ht="14.5" hidden="false" customHeight="false" outlineLevel="0" collapsed="false">
      <c r="B168" s="211" t="n">
        <v>2025</v>
      </c>
      <c r="C168" s="211" t="s">
        <v>476</v>
      </c>
      <c r="D168" s="212" t="s">
        <v>498</v>
      </c>
      <c r="E168" s="213" t="n">
        <v>0</v>
      </c>
      <c r="F168" s="213" t="n">
        <v>0</v>
      </c>
      <c r="G168" s="213" t="n">
        <v>0.0365190272306893</v>
      </c>
      <c r="H168" s="213" t="n">
        <v>0.494979970656034</v>
      </c>
      <c r="I168" s="213" t="n">
        <v>0.030411115934224</v>
      </c>
      <c r="J168" s="213" t="n">
        <v>0</v>
      </c>
      <c r="K168" s="213" t="n">
        <v>0</v>
      </c>
      <c r="L168" s="213" t="n">
        <v>0</v>
      </c>
      <c r="M168" s="213" t="n">
        <v>0</v>
      </c>
      <c r="N168" s="213" t="n">
        <v>0</v>
      </c>
      <c r="O168" s="213" t="n">
        <v>0.248219525480862</v>
      </c>
      <c r="P168" s="213" t="n">
        <v>0</v>
      </c>
      <c r="Q168" s="213" t="n">
        <v>0.178122250471884</v>
      </c>
      <c r="R168" s="213" t="n">
        <v>0.0117</v>
      </c>
      <c r="S168" s="214" t="n">
        <f aca="false">SUM(E168:R168)</f>
        <v>0.999951889773693</v>
      </c>
      <c r="U168" s="211" t="n">
        <v>2025</v>
      </c>
      <c r="V168" s="211" t="s">
        <v>476</v>
      </c>
      <c r="W168" s="211" t="n">
        <v>2025</v>
      </c>
      <c r="X168" s="212" t="s">
        <v>498</v>
      </c>
      <c r="Y168" s="215" t="n">
        <f aca="false">+E168</f>
        <v>0</v>
      </c>
      <c r="Z168" s="215" t="n">
        <f aca="false">+F168</f>
        <v>0</v>
      </c>
      <c r="AA168" s="215" t="n">
        <v>0.03</v>
      </c>
      <c r="AB168" s="215" t="n">
        <v>0.64</v>
      </c>
      <c r="AC168" s="215" t="n">
        <f aca="false">+I168</f>
        <v>0.030411115934224</v>
      </c>
      <c r="AD168" s="215" t="n">
        <f aca="false">+J168</f>
        <v>0</v>
      </c>
      <c r="AE168" s="215" t="n">
        <f aca="false">+K168</f>
        <v>0</v>
      </c>
      <c r="AF168" s="215" t="n">
        <f aca="false">+L168</f>
        <v>0</v>
      </c>
      <c r="AG168" s="215" t="n">
        <f aca="false">+M168</f>
        <v>0</v>
      </c>
      <c r="AH168" s="215" t="n">
        <f aca="false">+N168</f>
        <v>0</v>
      </c>
      <c r="AI168" s="215" t="n">
        <v>0.17</v>
      </c>
      <c r="AJ168" s="215" t="n">
        <f aca="false">+P168</f>
        <v>0</v>
      </c>
      <c r="AK168" s="215" t="n">
        <v>0.12</v>
      </c>
      <c r="AL168" s="215" t="n">
        <v>0.01</v>
      </c>
      <c r="AM168" s="208" t="n">
        <f aca="false">SUM(Y168:AL168)</f>
        <v>1.00041111593422</v>
      </c>
      <c r="AO168" s="59" t="s">
        <v>530</v>
      </c>
    </row>
    <row r="169" customFormat="false" ht="14.5" hidden="false" customHeight="false" outlineLevel="0" collapsed="false">
      <c r="B169" s="211" t="n">
        <v>2050</v>
      </c>
      <c r="C169" s="211" t="s">
        <v>476</v>
      </c>
      <c r="D169" s="212" t="s">
        <v>498</v>
      </c>
      <c r="E169" s="213" t="n">
        <v>0</v>
      </c>
      <c r="F169" s="213" t="n">
        <v>0</v>
      </c>
      <c r="G169" s="213" t="n">
        <v>0.01</v>
      </c>
      <c r="H169" s="213" t="n">
        <v>0.521498997886724</v>
      </c>
      <c r="I169" s="213" t="n">
        <v>0.030411115934224</v>
      </c>
      <c r="J169" s="213" t="n">
        <v>0</v>
      </c>
      <c r="K169" s="213" t="n">
        <v>0</v>
      </c>
      <c r="L169" s="213" t="n">
        <v>0</v>
      </c>
      <c r="M169" s="213" t="n">
        <v>0</v>
      </c>
      <c r="N169" s="213" t="n">
        <v>0</v>
      </c>
      <c r="O169" s="213" t="n">
        <v>0.298219525480862</v>
      </c>
      <c r="P169" s="213" t="n">
        <v>0</v>
      </c>
      <c r="Q169" s="213" t="n">
        <v>0.128122250471884</v>
      </c>
      <c r="R169" s="213" t="n">
        <v>0.0117481102263071</v>
      </c>
      <c r="S169" s="214" t="n">
        <f aca="false">SUM(E169:R169)</f>
        <v>1</v>
      </c>
      <c r="U169" s="211" t="n">
        <v>2050</v>
      </c>
      <c r="V169" s="211" t="s">
        <v>476</v>
      </c>
      <c r="W169" s="211" t="n">
        <v>2050</v>
      </c>
      <c r="X169" s="212" t="s">
        <v>498</v>
      </c>
      <c r="Y169" s="215" t="n">
        <f aca="false">+E169</f>
        <v>0</v>
      </c>
      <c r="Z169" s="215" t="n">
        <f aca="false">+F169</f>
        <v>0</v>
      </c>
      <c r="AA169" s="215" t="n">
        <f aca="false">+G169</f>
        <v>0.01</v>
      </c>
      <c r="AB169" s="215" t="n">
        <v>0.64</v>
      </c>
      <c r="AC169" s="215" t="n">
        <v>0.05</v>
      </c>
      <c r="AD169" s="215" t="n">
        <f aca="false">+J169</f>
        <v>0</v>
      </c>
      <c r="AE169" s="215" t="n">
        <f aca="false">+K169</f>
        <v>0</v>
      </c>
      <c r="AF169" s="215" t="n">
        <f aca="false">+L169</f>
        <v>0</v>
      </c>
      <c r="AG169" s="215" t="n">
        <f aca="false">+M169</f>
        <v>0</v>
      </c>
      <c r="AH169" s="215" t="n">
        <f aca="false">+N169</f>
        <v>0</v>
      </c>
      <c r="AI169" s="215" t="n">
        <f aca="false">1-SUM(Y169:AH169,AJ169:AL169)</f>
        <v>0.2</v>
      </c>
      <c r="AJ169" s="215" t="n">
        <f aca="false">+P169</f>
        <v>0</v>
      </c>
      <c r="AK169" s="215" t="n">
        <v>0.09</v>
      </c>
      <c r="AL169" s="215" t="n">
        <v>0.01</v>
      </c>
      <c r="AM169" s="208" t="n">
        <f aca="false">SUM(Y169:AL169)</f>
        <v>1</v>
      </c>
      <c r="AO169" s="59"/>
    </row>
    <row r="170" customFormat="false" ht="14.5" hidden="false" customHeight="false" outlineLevel="0" collapsed="false">
      <c r="B170" s="217"/>
      <c r="C170" s="217"/>
      <c r="D170" s="218"/>
      <c r="E170" s="219"/>
      <c r="F170" s="219"/>
      <c r="G170" s="219"/>
      <c r="H170" s="219"/>
      <c r="I170" s="219"/>
      <c r="J170" s="219"/>
      <c r="K170" s="219"/>
      <c r="L170" s="219"/>
      <c r="M170" s="219"/>
      <c r="N170" s="219"/>
      <c r="O170" s="219"/>
      <c r="P170" s="219"/>
      <c r="Q170" s="219"/>
      <c r="R170" s="219"/>
      <c r="S170" s="220"/>
      <c r="U170" s="217"/>
      <c r="V170" s="217"/>
      <c r="W170" s="217"/>
      <c r="X170" s="218"/>
      <c r="Y170" s="221"/>
      <c r="Z170" s="221"/>
      <c r="AA170" s="221"/>
      <c r="AB170" s="221"/>
      <c r="AC170" s="221"/>
      <c r="AD170" s="221"/>
      <c r="AE170" s="221"/>
      <c r="AF170" s="221"/>
      <c r="AG170" s="221"/>
      <c r="AH170" s="221"/>
      <c r="AI170" s="221"/>
      <c r="AJ170" s="221"/>
      <c r="AK170" s="221"/>
      <c r="AL170" s="221"/>
      <c r="AM170" s="222"/>
      <c r="AO170" s="59"/>
    </row>
    <row r="171" customFormat="false" ht="14.5" hidden="false" customHeight="false" outlineLevel="0" collapsed="false">
      <c r="B171" s="211" t="n">
        <v>2019</v>
      </c>
      <c r="C171" s="211" t="s">
        <v>479</v>
      </c>
      <c r="D171" s="212" t="s">
        <v>498</v>
      </c>
      <c r="E171" s="213" t="n">
        <v>0.0817901031588238</v>
      </c>
      <c r="F171" s="213"/>
      <c r="G171" s="213" t="n">
        <v>0.0585958942995415</v>
      </c>
      <c r="H171" s="213" t="n">
        <v>0.402131720179468</v>
      </c>
      <c r="I171" s="213" t="n">
        <v>0.00649716478233428</v>
      </c>
      <c r="J171" s="213" t="n">
        <v>0</v>
      </c>
      <c r="K171" s="213" t="n">
        <v>0</v>
      </c>
      <c r="L171" s="213" t="n">
        <v>0</v>
      </c>
      <c r="M171" s="213" t="n">
        <v>0</v>
      </c>
      <c r="N171" s="213" t="n">
        <v>0</v>
      </c>
      <c r="O171" s="213" t="n">
        <v>0.299028350919066</v>
      </c>
      <c r="P171" s="213" t="n">
        <v>0</v>
      </c>
      <c r="Q171" s="213" t="n">
        <v>0.151945108379177</v>
      </c>
      <c r="R171" s="213" t="n">
        <v>0</v>
      </c>
      <c r="S171" s="214" t="n">
        <f aca="false">SUM(E171:R171)</f>
        <v>0.999988341718411</v>
      </c>
      <c r="U171" s="211" t="n">
        <v>2019</v>
      </c>
      <c r="V171" s="211" t="s">
        <v>479</v>
      </c>
      <c r="W171" s="211" t="n">
        <v>2019</v>
      </c>
      <c r="X171" s="212" t="s">
        <v>498</v>
      </c>
      <c r="Y171" s="215" t="n">
        <f aca="false">INDEX(X$11:X$35,MATCH($V171,$V$11:$V$35,0))/INDEX($AL$11:$AL$35,MATCH($V171,$V$11:$V$35,0))</f>
        <v>0.139793762938352</v>
      </c>
      <c r="Z171" s="215" t="n">
        <f aca="false">INDEX(Y$11:Y$35,MATCH($V171,$V$11:$V$35,0))/INDEX($AL$11:$AL$35,MATCH($V171,$V$11:$V$35,0))</f>
        <v>0.00263196074168966</v>
      </c>
      <c r="AA171" s="215" t="n">
        <f aca="false">INDEX(Z$11:Z$35,MATCH($V171,$V$11:$V$35,0))/INDEX($AL$11:$AL$35,MATCH($V171,$V$11:$V$35,0))</f>
        <v>0.105278099071273</v>
      </c>
      <c r="AB171" s="215" t="n">
        <f aca="false">INDEX(AA$11:AA$35,MATCH($V171,$V$11:$V$35,0))/INDEX($AL$11:$AL$35,MATCH($V171,$V$11:$V$35,0))</f>
        <v>0.0583431690234113</v>
      </c>
      <c r="AC171" s="215" t="n">
        <f aca="false">INDEX(AB$11:AB$35,MATCH($V171,$V$11:$V$35,0))/INDEX($AL$11:$AL$35,MATCH($V171,$V$11:$V$35,0))</f>
        <v>0.0177593934538462</v>
      </c>
      <c r="AD171" s="215" t="n">
        <f aca="false">INDEX(AC$11:AC$35,MATCH($V171,$V$11:$V$35,0))/INDEX($AL$11:$AL$35,MATCH($V171,$V$11:$V$35,0))</f>
        <v>0</v>
      </c>
      <c r="AE171" s="215" t="n">
        <f aca="false">INDEX(AD$11:AD$35,MATCH($V171,$V$11:$V$35,0))/INDEX($AL$11:$AL$35,MATCH($V171,$V$11:$V$35,0))</f>
        <v>0</v>
      </c>
      <c r="AF171" s="215" t="n">
        <f aca="false">INDEX(AE$11:AE$35,MATCH($V171,$V$11:$V$35,0))/INDEX($AL$11:$AL$35,MATCH($V171,$V$11:$V$35,0))</f>
        <v>0</v>
      </c>
      <c r="AG171" s="215" t="n">
        <f aca="false">INDEX(AF$11:AF$35,MATCH($V171,$V$11:$V$35,0))/INDEX($AL$11:$AL$35,MATCH($V171,$V$11:$V$35,0))</f>
        <v>0</v>
      </c>
      <c r="AH171" s="215" t="n">
        <f aca="false">INDEX(AG$11:AG$35,MATCH($V171,$V$11:$V$35,0))/INDEX($AL$11:$AL$35,MATCH($V171,$V$11:$V$35,0))</f>
        <v>0</v>
      </c>
      <c r="AI171" s="215" t="n">
        <f aca="false">INDEX(AH$11:AH$35,MATCH($V171,$V$11:$V$35,0))/INDEX($AL$11:$AL$35,MATCH($V171,$V$11:$V$35,0))</f>
        <v>0.466089994193565</v>
      </c>
      <c r="AJ171" s="215" t="n">
        <f aca="false">INDEX(AI$11:AI$35,MATCH($V171,$V$11:$V$35,0))/INDEX($AL$11:$AL$35,MATCH($V171,$V$11:$V$35,0))</f>
        <v>0</v>
      </c>
      <c r="AK171" s="215" t="n">
        <f aca="false">INDEX(AJ$11:AJ$35,MATCH($V171,$V$11:$V$35,0))/INDEX($AL$11:$AL$35,MATCH($V171,$V$11:$V$35,0))</f>
        <v>0.210103620577863</v>
      </c>
      <c r="AL171" s="215" t="n">
        <f aca="false">INDEX(AK$11:AK$35,MATCH($V171,$V$11:$V$35,0))/INDEX($AL$11:$AL$35,MATCH($V171,$V$11:$V$35,0))</f>
        <v>0</v>
      </c>
      <c r="AM171" s="208" t="n">
        <f aca="false">INDEX(AL$11:AL$35,MATCH($V171,$V$11:$V$35,0))/INDEX($AL$11:$AL$35,MATCH($V171,$V$11:$V$35,0))</f>
        <v>1</v>
      </c>
      <c r="AO171" s="59" t="s">
        <v>528</v>
      </c>
    </row>
    <row r="172" customFormat="false" ht="14.5" hidden="false" customHeight="false" outlineLevel="0" collapsed="false">
      <c r="B172" s="211" t="n">
        <v>2025</v>
      </c>
      <c r="C172" s="211" t="s">
        <v>479</v>
      </c>
      <c r="D172" s="212" t="s">
        <v>498</v>
      </c>
      <c r="E172" s="213" t="n">
        <v>0.0625506275145885</v>
      </c>
      <c r="F172" s="213" t="n">
        <v>0</v>
      </c>
      <c r="G172" s="213" t="n">
        <v>0.0585958942995415</v>
      </c>
      <c r="H172" s="213" t="n">
        <v>0.39124178724877</v>
      </c>
      <c r="I172" s="213" t="n">
        <v>0.0173870977130318</v>
      </c>
      <c r="J172" s="213" t="n">
        <v>0</v>
      </c>
      <c r="K172" s="213" t="n">
        <v>0</v>
      </c>
      <c r="L172" s="213" t="n">
        <v>0</v>
      </c>
      <c r="M172" s="213" t="n">
        <v>0</v>
      </c>
      <c r="N172" s="213" t="n">
        <v>0</v>
      </c>
      <c r="O172" s="213" t="n">
        <v>0.30482105840412</v>
      </c>
      <c r="P172" s="213" t="n">
        <v>0</v>
      </c>
      <c r="Q172" s="213" t="n">
        <v>0.163891876538359</v>
      </c>
      <c r="R172" s="213" t="n">
        <v>0</v>
      </c>
      <c r="S172" s="214" t="n">
        <f aca="false">SUM(E172:R172)</f>
        <v>0.998488341718411</v>
      </c>
      <c r="U172" s="211" t="n">
        <v>2025</v>
      </c>
      <c r="V172" s="211" t="s">
        <v>479</v>
      </c>
      <c r="W172" s="211" t="n">
        <v>2025</v>
      </c>
      <c r="X172" s="212" t="s">
        <v>498</v>
      </c>
      <c r="Y172" s="215" t="n">
        <v>0.11</v>
      </c>
      <c r="Z172" s="215" t="n">
        <f aca="false">+F172</f>
        <v>0</v>
      </c>
      <c r="AA172" s="215" t="n">
        <v>0.09</v>
      </c>
      <c r="AB172" s="215" t="n">
        <f aca="false">AB171+1%</f>
        <v>0.0683431690234113</v>
      </c>
      <c r="AC172" s="215" t="n">
        <f aca="false">+I172</f>
        <v>0.0173870977130318</v>
      </c>
      <c r="AD172" s="215" t="n">
        <f aca="false">+J172</f>
        <v>0</v>
      </c>
      <c r="AE172" s="215" t="n">
        <f aca="false">+K172</f>
        <v>0</v>
      </c>
      <c r="AF172" s="215" t="n">
        <f aca="false">+L172</f>
        <v>0</v>
      </c>
      <c r="AG172" s="215" t="n">
        <f aca="false">+M172</f>
        <v>0</v>
      </c>
      <c r="AH172" s="215" t="n">
        <f aca="false">+N172</f>
        <v>0</v>
      </c>
      <c r="AI172" s="215" t="n">
        <f aca="false">1-SUM(Y172:AH172,AJ172:AL172)</f>
        <v>0.494269733263557</v>
      </c>
      <c r="AJ172" s="215" t="n">
        <f aca="false">+P172</f>
        <v>0</v>
      </c>
      <c r="AK172" s="215" t="n">
        <v>0.22</v>
      </c>
      <c r="AL172" s="215" t="n">
        <f aca="false">+R172</f>
        <v>0</v>
      </c>
      <c r="AM172" s="208" t="n">
        <f aca="false">SUM(Y172:AL172)</f>
        <v>1</v>
      </c>
      <c r="AO172" s="59" t="s">
        <v>530</v>
      </c>
    </row>
    <row r="173" customFormat="false" ht="14.5" hidden="false" customHeight="false" outlineLevel="0" collapsed="false">
      <c r="B173" s="211" t="n">
        <v>2050</v>
      </c>
      <c r="C173" s="211" t="s">
        <v>479</v>
      </c>
      <c r="D173" s="212" t="s">
        <v>498</v>
      </c>
      <c r="E173" s="213" t="n">
        <v>0</v>
      </c>
      <c r="F173" s="213" t="n">
        <v>0</v>
      </c>
      <c r="G173" s="213" t="n">
        <v>0.0585958942995415</v>
      </c>
      <c r="H173" s="213" t="n">
        <v>0.39124178724877</v>
      </c>
      <c r="I173" s="213" t="n">
        <v>0.0173870977130318</v>
      </c>
      <c r="J173" s="213" t="n">
        <v>0</v>
      </c>
      <c r="K173" s="213" t="n">
        <v>0</v>
      </c>
      <c r="L173" s="213" t="n">
        <v>0</v>
      </c>
      <c r="M173" s="213" t="n">
        <v>0</v>
      </c>
      <c r="N173" s="213" t="n">
        <v>0</v>
      </c>
      <c r="O173" s="213" t="n">
        <v>0.32482105840412</v>
      </c>
      <c r="P173" s="213" t="n">
        <v>0</v>
      </c>
      <c r="Q173" s="213" t="n">
        <v>0.207954162334536</v>
      </c>
      <c r="R173" s="213" t="n">
        <v>0</v>
      </c>
      <c r="S173" s="214" t="n">
        <f aca="false">SUM(E173:R173)</f>
        <v>0.999999999999999</v>
      </c>
      <c r="U173" s="211" t="n">
        <v>2050</v>
      </c>
      <c r="V173" s="211" t="s">
        <v>479</v>
      </c>
      <c r="W173" s="211" t="n">
        <v>2050</v>
      </c>
      <c r="X173" s="212" t="s">
        <v>498</v>
      </c>
      <c r="Y173" s="215" t="n">
        <v>0</v>
      </c>
      <c r="Z173" s="215" t="n">
        <f aca="false">+F173</f>
        <v>0</v>
      </c>
      <c r="AA173" s="215" t="n">
        <f aca="false">AA172</f>
        <v>0.09</v>
      </c>
      <c r="AB173" s="215" t="n">
        <f aca="false">AB172</f>
        <v>0.0683431690234113</v>
      </c>
      <c r="AC173" s="215" t="n">
        <f aca="false">AC172+3%</f>
        <v>0.0473870977130318</v>
      </c>
      <c r="AD173" s="215" t="n">
        <f aca="false">+J173</f>
        <v>0</v>
      </c>
      <c r="AE173" s="215" t="n">
        <f aca="false">+K173</f>
        <v>0</v>
      </c>
      <c r="AF173" s="215" t="n">
        <f aca="false">+L173</f>
        <v>0</v>
      </c>
      <c r="AG173" s="215" t="n">
        <f aca="false">+M173</f>
        <v>0</v>
      </c>
      <c r="AH173" s="215" t="n">
        <f aca="false">+N173</f>
        <v>0</v>
      </c>
      <c r="AI173" s="215" t="n">
        <f aca="false">1-SUM(Y173:AH173,AJ173:AL173)</f>
        <v>0.544166112685694</v>
      </c>
      <c r="AJ173" s="215" t="n">
        <f aca="false">+P173</f>
        <v>0</v>
      </c>
      <c r="AK173" s="215" t="n">
        <f aca="false">AK171+4%</f>
        <v>0.250103620577863</v>
      </c>
      <c r="AL173" s="215" t="n">
        <f aca="false">+R173</f>
        <v>0</v>
      </c>
      <c r="AM173" s="208" t="n">
        <f aca="false">SUM(Y173:AL173)</f>
        <v>1</v>
      </c>
      <c r="AO173" s="59"/>
    </row>
    <row r="174" customFormat="false" ht="14.5" hidden="false" customHeight="false" outlineLevel="0" collapsed="false">
      <c r="B174" s="217"/>
      <c r="C174" s="217"/>
      <c r="D174" s="218"/>
      <c r="E174" s="219"/>
      <c r="F174" s="219"/>
      <c r="G174" s="219"/>
      <c r="H174" s="219"/>
      <c r="I174" s="219"/>
      <c r="J174" s="219"/>
      <c r="K174" s="219"/>
      <c r="L174" s="219"/>
      <c r="M174" s="219"/>
      <c r="N174" s="219"/>
      <c r="O174" s="219"/>
      <c r="P174" s="219"/>
      <c r="Q174" s="219"/>
      <c r="R174" s="219"/>
      <c r="S174" s="220"/>
      <c r="U174" s="217"/>
      <c r="V174" s="217"/>
      <c r="W174" s="217"/>
      <c r="X174" s="218"/>
      <c r="Y174" s="221"/>
      <c r="Z174" s="221"/>
      <c r="AA174" s="221"/>
      <c r="AB174" s="221"/>
      <c r="AC174" s="221"/>
      <c r="AD174" s="221"/>
      <c r="AE174" s="221"/>
      <c r="AF174" s="221"/>
      <c r="AG174" s="221"/>
      <c r="AH174" s="221"/>
      <c r="AI174" s="221"/>
      <c r="AJ174" s="221"/>
      <c r="AK174" s="221"/>
      <c r="AL174" s="221"/>
      <c r="AM174" s="222"/>
      <c r="AO174" s="59"/>
    </row>
    <row r="175" customFormat="false" ht="14.5" hidden="false" customHeight="false" outlineLevel="0" collapsed="false">
      <c r="B175" s="206"/>
      <c r="C175" s="206" t="s">
        <v>480</v>
      </c>
      <c r="D175" s="206"/>
      <c r="E175" s="225"/>
      <c r="F175" s="225"/>
      <c r="G175" s="225"/>
      <c r="H175" s="225"/>
      <c r="I175" s="225"/>
      <c r="J175" s="225"/>
      <c r="K175" s="225"/>
      <c r="L175" s="225"/>
      <c r="M175" s="225"/>
      <c r="N175" s="225"/>
      <c r="O175" s="225"/>
      <c r="P175" s="225"/>
      <c r="Q175" s="225"/>
      <c r="R175" s="225"/>
      <c r="S175" s="214"/>
      <c r="U175" s="206"/>
      <c r="V175" s="209" t="s">
        <v>480</v>
      </c>
      <c r="W175" s="209"/>
      <c r="X175" s="209"/>
      <c r="Y175" s="207"/>
      <c r="Z175" s="207"/>
      <c r="AA175" s="207"/>
      <c r="AB175" s="207"/>
      <c r="AC175" s="207"/>
      <c r="AD175" s="207"/>
      <c r="AE175" s="207"/>
      <c r="AF175" s="207"/>
      <c r="AG175" s="207"/>
      <c r="AH175" s="207"/>
      <c r="AI175" s="207"/>
      <c r="AJ175" s="207"/>
      <c r="AK175" s="207"/>
      <c r="AL175" s="207"/>
      <c r="AM175" s="208"/>
      <c r="AO175" s="59"/>
    </row>
    <row r="176" customFormat="false" ht="14.5" hidden="false" customHeight="false" outlineLevel="0" collapsed="false">
      <c r="B176" s="211" t="n">
        <v>2019</v>
      </c>
      <c r="C176" s="211" t="s">
        <v>481</v>
      </c>
      <c r="D176" s="212" t="s">
        <v>498</v>
      </c>
      <c r="E176" s="213" t="n">
        <v>0.14</v>
      </c>
      <c r="F176" s="213"/>
      <c r="G176" s="213" t="n">
        <v>0.385</v>
      </c>
      <c r="H176" s="213" t="n">
        <v>0.02</v>
      </c>
      <c r="I176" s="213" t="n">
        <v>0.425</v>
      </c>
      <c r="J176" s="213" t="n">
        <v>0</v>
      </c>
      <c r="K176" s="213" t="n">
        <v>0</v>
      </c>
      <c r="L176" s="213" t="n">
        <v>0</v>
      </c>
      <c r="M176" s="213" t="n">
        <v>0</v>
      </c>
      <c r="N176" s="213" t="n">
        <v>0</v>
      </c>
      <c r="O176" s="213" t="n">
        <v>0.03</v>
      </c>
      <c r="P176" s="213" t="n">
        <v>0</v>
      </c>
      <c r="Q176" s="213" t="n">
        <v>0</v>
      </c>
      <c r="R176" s="213" t="n">
        <v>0</v>
      </c>
      <c r="S176" s="214" t="n">
        <f aca="false">SUM(E176:R176)</f>
        <v>1</v>
      </c>
      <c r="U176" s="211" t="n">
        <v>2019</v>
      </c>
      <c r="V176" s="211" t="s">
        <v>481</v>
      </c>
      <c r="W176" s="211" t="n">
        <v>2019</v>
      </c>
      <c r="X176" s="212" t="s">
        <v>498</v>
      </c>
      <c r="Y176" s="215" t="n">
        <f aca="false">INDEX(X$11:X$35,MATCH($V176,$V$11:$V$35,0))/INDEX($AL$11:$AL$35,MATCH($V176,$V$11:$V$35,0))</f>
        <v>0.126163525772835</v>
      </c>
      <c r="Z176" s="215" t="n">
        <f aca="false">INDEX(Y$11:Y$35,MATCH($V176,$V$11:$V$35,0))/INDEX($AL$11:$AL$35,MATCH($V176,$V$11:$V$35,0))</f>
        <v>0</v>
      </c>
      <c r="AA176" s="215" t="n">
        <f aca="false">INDEX(Z$11:Z$35,MATCH($V176,$V$11:$V$35,0))/INDEX($AL$11:$AL$35,MATCH($V176,$V$11:$V$35,0))</f>
        <v>0.346949695875296</v>
      </c>
      <c r="AB176" s="215" t="n">
        <f aca="false">INDEX(AA$11:AA$35,MATCH($V176,$V$11:$V$35,0))/INDEX($AL$11:$AL$35,MATCH($V176,$V$11:$V$35,0))</f>
        <v>0.0180233608246907</v>
      </c>
      <c r="AC176" s="215" t="n">
        <f aca="false">INDEX(AB$11:AB$35,MATCH($V176,$V$11:$V$35,0))/INDEX($AL$11:$AL$35,MATCH($V176,$V$11:$V$35,0))</f>
        <v>0.153198567009871</v>
      </c>
      <c r="AD176" s="215" t="n">
        <f aca="false">INDEX(AC$11:AC$35,MATCH($V176,$V$11:$V$35,0))/INDEX($AL$11:$AL$35,MATCH($V176,$V$11:$V$35,0))</f>
        <v>0.229797850514806</v>
      </c>
      <c r="AE176" s="215" t="n">
        <f aca="false">INDEX(AD$11:AD$35,MATCH($V176,$V$11:$V$35,0))/INDEX($AL$11:$AL$35,MATCH($V176,$V$11:$V$35,0))</f>
        <v>0</v>
      </c>
      <c r="AF176" s="215" t="n">
        <f aca="false">INDEX(AE$11:AE$35,MATCH($V176,$V$11:$V$35,0))/INDEX($AL$11:$AL$35,MATCH($V176,$V$11:$V$35,0))</f>
        <v>0</v>
      </c>
      <c r="AG176" s="215" t="n">
        <f aca="false">INDEX(AF$11:AF$35,MATCH($V176,$V$11:$V$35,0))/INDEX($AL$11:$AL$35,MATCH($V176,$V$11:$V$35,0))</f>
        <v>0</v>
      </c>
      <c r="AH176" s="215" t="n">
        <f aca="false">INDEX(AG$11:AG$35,MATCH($V176,$V$11:$V$35,0))/INDEX($AL$11:$AL$35,MATCH($V176,$V$11:$V$35,0))</f>
        <v>0</v>
      </c>
      <c r="AI176" s="215" t="n">
        <f aca="false">INDEX(AH$11:AH$35,MATCH($V176,$V$11:$V$35,0))/INDEX($AL$11:$AL$35,MATCH($V176,$V$11:$V$35,0))</f>
        <v>0.125867000002501</v>
      </c>
      <c r="AJ176" s="215" t="n">
        <f aca="false">INDEX(AI$11:AI$35,MATCH($V176,$V$11:$V$35,0))/INDEX($AL$11:$AL$35,MATCH($V176,$V$11:$V$35,0))</f>
        <v>0</v>
      </c>
      <c r="AK176" s="215" t="n">
        <f aca="false">INDEX(AJ$11:AJ$35,MATCH($V176,$V$11:$V$35,0))/INDEX($AL$11:$AL$35,MATCH($V176,$V$11:$V$35,0))</f>
        <v>0</v>
      </c>
      <c r="AL176" s="215" t="n">
        <f aca="false">INDEX(AK$11:AK$35,MATCH($V176,$V$11:$V$35,0))/INDEX($AL$11:$AL$35,MATCH($V176,$V$11:$V$35,0))</f>
        <v>0</v>
      </c>
      <c r="AM176" s="208" t="n">
        <f aca="false">INDEX(AL$11:AL$35,MATCH($V176,$V$11:$V$35,0))/INDEX($AL$11:$AL$35,MATCH($V176,$V$11:$V$35,0))</f>
        <v>1</v>
      </c>
      <c r="AO176" s="59" t="s">
        <v>528</v>
      </c>
      <c r="AP176" s="4"/>
      <c r="AQ176" s="4"/>
    </row>
    <row r="177" customFormat="false" ht="14.5" hidden="false" customHeight="false" outlineLevel="0" collapsed="false">
      <c r="B177" s="211" t="n">
        <v>2025</v>
      </c>
      <c r="C177" s="211" t="s">
        <v>481</v>
      </c>
      <c r="D177" s="212" t="s">
        <v>498</v>
      </c>
      <c r="E177" s="213" t="n">
        <v>0.138067512085551</v>
      </c>
      <c r="F177" s="213" t="n">
        <v>0</v>
      </c>
      <c r="G177" s="213" t="n">
        <v>0.385</v>
      </c>
      <c r="H177" s="213" t="n">
        <v>0.02</v>
      </c>
      <c r="I177" s="213" t="n">
        <v>0.426932487914449</v>
      </c>
      <c r="J177" s="213" t="n">
        <v>0</v>
      </c>
      <c r="K177" s="213" t="n">
        <v>0</v>
      </c>
      <c r="L177" s="213" t="n">
        <v>0</v>
      </c>
      <c r="M177" s="213" t="n">
        <v>0</v>
      </c>
      <c r="N177" s="213" t="n">
        <v>0</v>
      </c>
      <c r="O177" s="213" t="n">
        <v>0.03</v>
      </c>
      <c r="P177" s="213" t="n">
        <v>0</v>
      </c>
      <c r="Q177" s="213" t="n">
        <v>0</v>
      </c>
      <c r="R177" s="213" t="n">
        <v>0</v>
      </c>
      <c r="S177" s="214" t="n">
        <f aca="false">SUM(E177:R177)</f>
        <v>1</v>
      </c>
      <c r="U177" s="211" t="n">
        <v>2025</v>
      </c>
      <c r="V177" s="211" t="s">
        <v>481</v>
      </c>
      <c r="W177" s="211" t="n">
        <v>2025</v>
      </c>
      <c r="X177" s="212" t="s">
        <v>498</v>
      </c>
      <c r="Y177" s="215" t="n">
        <v>0.09</v>
      </c>
      <c r="Z177" s="215" t="n">
        <f aca="false">+F177</f>
        <v>0</v>
      </c>
      <c r="AA177" s="215" t="n">
        <f aca="false">AA176</f>
        <v>0.346949695875296</v>
      </c>
      <c r="AB177" s="215" t="n">
        <f aca="false">+H177</f>
        <v>0.02</v>
      </c>
      <c r="AC177" s="215" t="n">
        <v>0.17</v>
      </c>
      <c r="AD177" s="215" t="n">
        <v>0.24</v>
      </c>
      <c r="AE177" s="215" t="n">
        <f aca="false">+K177</f>
        <v>0</v>
      </c>
      <c r="AF177" s="215" t="n">
        <f aca="false">+L177</f>
        <v>0</v>
      </c>
      <c r="AG177" s="215" t="n">
        <f aca="false">+M177</f>
        <v>0</v>
      </c>
      <c r="AH177" s="215" t="n">
        <f aca="false">+N177</f>
        <v>0</v>
      </c>
      <c r="AI177" s="215" t="n">
        <f aca="false">1-SUM(Y177:AH177)</f>
        <v>0.133050304124704</v>
      </c>
      <c r="AJ177" s="215" t="n">
        <f aca="false">+P177</f>
        <v>0</v>
      </c>
      <c r="AK177" s="215" t="n">
        <f aca="false">+Q177</f>
        <v>0</v>
      </c>
      <c r="AL177" s="215" t="n">
        <f aca="false">+R177</f>
        <v>0</v>
      </c>
      <c r="AM177" s="208" t="n">
        <f aca="false">SUM(Y177:AL177)</f>
        <v>1</v>
      </c>
      <c r="AO177" s="59" t="s">
        <v>530</v>
      </c>
      <c r="AP177" s="4"/>
      <c r="AQ177" s="4"/>
    </row>
    <row r="178" customFormat="false" ht="14.5" hidden="false" customHeight="false" outlineLevel="0" collapsed="false">
      <c r="B178" s="211" t="n">
        <v>2050</v>
      </c>
      <c r="C178" s="211" t="s">
        <v>481</v>
      </c>
      <c r="D178" s="212" t="s">
        <v>498</v>
      </c>
      <c r="E178" s="213" t="n">
        <v>0.0880675120855511</v>
      </c>
      <c r="F178" s="213" t="n">
        <v>0</v>
      </c>
      <c r="G178" s="213" t="n">
        <v>0.335</v>
      </c>
      <c r="H178" s="213" t="n">
        <v>0</v>
      </c>
      <c r="I178" s="213" t="n">
        <v>0.526932487914449</v>
      </c>
      <c r="J178" s="213" t="n">
        <v>0</v>
      </c>
      <c r="K178" s="213" t="n">
        <v>0</v>
      </c>
      <c r="L178" s="213" t="n">
        <v>0</v>
      </c>
      <c r="M178" s="213" t="n">
        <v>0</v>
      </c>
      <c r="N178" s="213" t="n">
        <v>0</v>
      </c>
      <c r="O178" s="213" t="n">
        <v>0.03</v>
      </c>
      <c r="P178" s="213" t="n">
        <v>0</v>
      </c>
      <c r="Q178" s="213" t="n">
        <v>0</v>
      </c>
      <c r="R178" s="213" t="n">
        <v>0</v>
      </c>
      <c r="S178" s="214" t="n">
        <f aca="false">SUM(E178:R178)</f>
        <v>0.98</v>
      </c>
      <c r="U178" s="211" t="n">
        <v>2050</v>
      </c>
      <c r="V178" s="211" t="s">
        <v>481</v>
      </c>
      <c r="W178" s="211" t="n">
        <v>2050</v>
      </c>
      <c r="X178" s="212" t="s">
        <v>498</v>
      </c>
      <c r="Y178" s="215" t="n">
        <f aca="false">+E178</f>
        <v>0.0880675120855511</v>
      </c>
      <c r="Z178" s="215" t="n">
        <f aca="false">+F178</f>
        <v>0</v>
      </c>
      <c r="AA178" s="215" t="n">
        <f aca="false">AA177-5%</f>
        <v>0.296949695875296</v>
      </c>
      <c r="AB178" s="215" t="n">
        <f aca="false">+H178</f>
        <v>0</v>
      </c>
      <c r="AC178" s="215" t="n">
        <f aca="false">AC177+4%</f>
        <v>0.21</v>
      </c>
      <c r="AD178" s="215" t="n">
        <f aca="false">AD177+3%</f>
        <v>0.27</v>
      </c>
      <c r="AE178" s="215" t="n">
        <f aca="false">+K178</f>
        <v>0</v>
      </c>
      <c r="AF178" s="215" t="n">
        <f aca="false">+L178</f>
        <v>0</v>
      </c>
      <c r="AG178" s="215" t="n">
        <f aca="false">+M178</f>
        <v>0</v>
      </c>
      <c r="AH178" s="215" t="n">
        <f aca="false">+N178</f>
        <v>0</v>
      </c>
      <c r="AI178" s="215" t="n">
        <f aca="false">1-SUM(Y178:AH178)</f>
        <v>0.134982792039153</v>
      </c>
      <c r="AJ178" s="215" t="n">
        <f aca="false">+P178</f>
        <v>0</v>
      </c>
      <c r="AK178" s="215" t="n">
        <f aca="false">+Q178</f>
        <v>0</v>
      </c>
      <c r="AL178" s="215" t="n">
        <f aca="false">+R178</f>
        <v>0</v>
      </c>
      <c r="AM178" s="208" t="n">
        <f aca="false">SUM(Y178:AL178)</f>
        <v>1</v>
      </c>
      <c r="AO178" s="59"/>
      <c r="AP178" s="4"/>
      <c r="AQ178" s="4"/>
    </row>
    <row r="179" customFormat="false" ht="14.5" hidden="false" customHeight="false" outlineLevel="0" collapsed="false">
      <c r="B179" s="217"/>
      <c r="C179" s="217"/>
      <c r="D179" s="218"/>
      <c r="E179" s="219"/>
      <c r="F179" s="219"/>
      <c r="G179" s="219"/>
      <c r="H179" s="219"/>
      <c r="I179" s="219"/>
      <c r="J179" s="219"/>
      <c r="K179" s="219"/>
      <c r="L179" s="219"/>
      <c r="M179" s="219"/>
      <c r="N179" s="219"/>
      <c r="O179" s="219"/>
      <c r="P179" s="219"/>
      <c r="Q179" s="219"/>
      <c r="R179" s="219"/>
      <c r="S179" s="220"/>
      <c r="U179" s="217"/>
      <c r="V179" s="217"/>
      <c r="W179" s="217"/>
      <c r="X179" s="218"/>
      <c r="Y179" s="221"/>
      <c r="Z179" s="221"/>
      <c r="AA179" s="221"/>
      <c r="AB179" s="221"/>
      <c r="AC179" s="221"/>
      <c r="AD179" s="221"/>
      <c r="AE179" s="221"/>
      <c r="AF179" s="221"/>
      <c r="AG179" s="221"/>
      <c r="AH179" s="221"/>
      <c r="AI179" s="221"/>
      <c r="AJ179" s="221"/>
      <c r="AK179" s="221"/>
      <c r="AL179" s="221"/>
      <c r="AM179" s="222"/>
      <c r="AO179" s="59"/>
    </row>
    <row r="180" customFormat="false" ht="14.5" hidden="false" customHeight="false" outlineLevel="0" collapsed="false">
      <c r="B180" s="211" t="n">
        <v>2019</v>
      </c>
      <c r="C180" s="211" t="s">
        <v>482</v>
      </c>
      <c r="D180" s="212" t="s">
        <v>498</v>
      </c>
      <c r="E180" s="213" t="n">
        <v>0</v>
      </c>
      <c r="F180" s="213"/>
      <c r="G180" s="213" t="n">
        <v>0.09</v>
      </c>
      <c r="H180" s="213" t="n">
        <v>0.67</v>
      </c>
      <c r="I180" s="213" t="n">
        <v>0</v>
      </c>
      <c r="J180" s="213" t="n">
        <v>0</v>
      </c>
      <c r="K180" s="213" t="n">
        <v>0</v>
      </c>
      <c r="L180" s="213" t="n">
        <v>0</v>
      </c>
      <c r="M180" s="213" t="n">
        <v>0</v>
      </c>
      <c r="N180" s="213" t="n">
        <v>0</v>
      </c>
      <c r="O180" s="213" t="n">
        <v>0.24</v>
      </c>
      <c r="P180" s="213" t="n">
        <v>0</v>
      </c>
      <c r="Q180" s="213" t="n">
        <v>0</v>
      </c>
      <c r="R180" s="213" t="n">
        <v>0</v>
      </c>
      <c r="S180" s="214" t="n">
        <f aca="false">SUM(E180:R180)</f>
        <v>1</v>
      </c>
      <c r="U180" s="211" t="n">
        <v>2019</v>
      </c>
      <c r="V180" s="211" t="s">
        <v>482</v>
      </c>
      <c r="W180" s="211" t="n">
        <v>2019</v>
      </c>
      <c r="X180" s="212" t="s">
        <v>498</v>
      </c>
      <c r="Y180" s="232" t="n">
        <f aca="false">INDEX(X$11:X$35,MATCH($V180,$V$11:$V$35,0))/INDEX($AL$11:$AL$35,MATCH($V180,$V$11:$V$35,0))</f>
        <v>0</v>
      </c>
      <c r="Z180" s="232" t="n">
        <f aca="false">INDEX(Y$11:Y$35,MATCH($V180,$V$11:$V$35,0))/INDEX($AL$11:$AL$35,MATCH($V180,$V$11:$V$35,0))</f>
        <v>0</v>
      </c>
      <c r="AA180" s="232" t="n">
        <f aca="false">INDEX(Z$11:Z$35,MATCH($V180,$V$11:$V$35,0))/INDEX($AL$11:$AL$35,MATCH($V180,$V$11:$V$35,0))</f>
        <v>0.09</v>
      </c>
      <c r="AB180" s="232" t="n">
        <f aca="false">INDEX(AA$11:AA$35,MATCH($V180,$V$11:$V$35,0))/INDEX($AL$11:$AL$35,MATCH($V180,$V$11:$V$35,0))</f>
        <v>0.67</v>
      </c>
      <c r="AC180" s="232" t="n">
        <f aca="false">INDEX(AB$11:AB$35,MATCH($V180,$V$11:$V$35,0))/INDEX($AL$11:$AL$35,MATCH($V180,$V$11:$V$35,0))</f>
        <v>0</v>
      </c>
      <c r="AD180" s="232" t="n">
        <f aca="false">INDEX(AC$11:AC$35,MATCH($V180,$V$11:$V$35,0))/INDEX($AL$11:$AL$35,MATCH($V180,$V$11:$V$35,0))</f>
        <v>0</v>
      </c>
      <c r="AE180" s="232" t="n">
        <f aca="false">INDEX(AD$11:AD$35,MATCH($V180,$V$11:$V$35,0))/INDEX($AL$11:$AL$35,MATCH($V180,$V$11:$V$35,0))</f>
        <v>0</v>
      </c>
      <c r="AF180" s="232" t="n">
        <f aca="false">INDEX(AE$11:AE$35,MATCH($V180,$V$11:$V$35,0))/INDEX($AL$11:$AL$35,MATCH($V180,$V$11:$V$35,0))</f>
        <v>0</v>
      </c>
      <c r="AG180" s="232" t="n">
        <f aca="false">INDEX(AF$11:AF$35,MATCH($V180,$V$11:$V$35,0))/INDEX($AL$11:$AL$35,MATCH($V180,$V$11:$V$35,0))</f>
        <v>0</v>
      </c>
      <c r="AH180" s="232" t="n">
        <f aca="false">INDEX(AG$11:AG$35,MATCH($V180,$V$11:$V$35,0))/INDEX($AL$11:$AL$35,MATCH($V180,$V$11:$V$35,0))</f>
        <v>0</v>
      </c>
      <c r="AI180" s="232" t="n">
        <f aca="false">INDEX(AH$11:AH$35,MATCH($V180,$V$11:$V$35,0))/INDEX($AL$11:$AL$35,MATCH($V180,$V$11:$V$35,0))</f>
        <v>0.24</v>
      </c>
      <c r="AJ180" s="232" t="n">
        <f aca="false">INDEX(AI$11:AI$35,MATCH($V180,$V$11:$V$35,0))/INDEX($AL$11:$AL$35,MATCH($V180,$V$11:$V$35,0))</f>
        <v>0</v>
      </c>
      <c r="AK180" s="232" t="n">
        <f aca="false">INDEX(AJ$11:AJ$35,MATCH($V180,$V$11:$V$35,0))/INDEX($AL$11:$AL$35,MATCH($V180,$V$11:$V$35,0))</f>
        <v>0</v>
      </c>
      <c r="AL180" s="232" t="n">
        <f aca="false">INDEX(AK$11:AK$35,MATCH($V180,$V$11:$V$35,0))/INDEX($AL$11:$AL$35,MATCH($V180,$V$11:$V$35,0))</f>
        <v>0</v>
      </c>
      <c r="AM180" s="208" t="n">
        <f aca="false">INDEX(AL$11:AL$35,MATCH($V180,$V$11:$V$35,0))/INDEX($AL$11:$AL$35,MATCH($V180,$V$11:$V$35,0))</f>
        <v>1</v>
      </c>
      <c r="AO180" s="59" t="s">
        <v>506</v>
      </c>
    </row>
    <row r="181" customFormat="false" ht="14.5" hidden="false" customHeight="false" outlineLevel="0" collapsed="false">
      <c r="B181" s="211" t="n">
        <v>2025</v>
      </c>
      <c r="C181" s="211" t="s">
        <v>482</v>
      </c>
      <c r="D181" s="212" t="s">
        <v>498</v>
      </c>
      <c r="E181" s="213" t="n">
        <v>0</v>
      </c>
      <c r="F181" s="213" t="n">
        <v>0</v>
      </c>
      <c r="G181" s="213" t="n">
        <v>0.09</v>
      </c>
      <c r="H181" s="213" t="n">
        <v>0.67</v>
      </c>
      <c r="I181" s="213" t="n">
        <v>0</v>
      </c>
      <c r="J181" s="213" t="n">
        <v>0</v>
      </c>
      <c r="K181" s="213" t="n">
        <v>0</v>
      </c>
      <c r="L181" s="213" t="n">
        <v>0</v>
      </c>
      <c r="M181" s="213" t="n">
        <v>0</v>
      </c>
      <c r="N181" s="213" t="n">
        <v>0</v>
      </c>
      <c r="O181" s="213" t="n">
        <v>0.24</v>
      </c>
      <c r="P181" s="213" t="n">
        <v>0</v>
      </c>
      <c r="Q181" s="213" t="n">
        <v>0</v>
      </c>
      <c r="R181" s="213" t="n">
        <v>0</v>
      </c>
      <c r="S181" s="214" t="n">
        <f aca="false">SUM(E181:R181)</f>
        <v>1</v>
      </c>
      <c r="U181" s="211" t="n">
        <v>2025</v>
      </c>
      <c r="V181" s="211" t="s">
        <v>482</v>
      </c>
      <c r="W181" s="211" t="n">
        <v>2025</v>
      </c>
      <c r="X181" s="212" t="s">
        <v>498</v>
      </c>
      <c r="Y181" s="232" t="n">
        <f aca="false">+E181</f>
        <v>0</v>
      </c>
      <c r="Z181" s="232" t="n">
        <f aca="false">+F181</f>
        <v>0</v>
      </c>
      <c r="AA181" s="232" t="n">
        <f aca="false">+G181</f>
        <v>0.09</v>
      </c>
      <c r="AB181" s="232" t="n">
        <f aca="false">+H181</f>
        <v>0.67</v>
      </c>
      <c r="AC181" s="232" t="n">
        <f aca="false">+I181</f>
        <v>0</v>
      </c>
      <c r="AD181" s="232" t="n">
        <f aca="false">+J181</f>
        <v>0</v>
      </c>
      <c r="AE181" s="232" t="n">
        <f aca="false">+K181</f>
        <v>0</v>
      </c>
      <c r="AF181" s="232" t="n">
        <f aca="false">+L181</f>
        <v>0</v>
      </c>
      <c r="AG181" s="232" t="n">
        <f aca="false">+M181</f>
        <v>0</v>
      </c>
      <c r="AH181" s="232" t="n">
        <f aca="false">+N181</f>
        <v>0</v>
      </c>
      <c r="AI181" s="232" t="n">
        <f aca="false">+O181</f>
        <v>0.24</v>
      </c>
      <c r="AJ181" s="232" t="n">
        <f aca="false">+P181</f>
        <v>0</v>
      </c>
      <c r="AK181" s="232" t="n">
        <f aca="false">+Q181</f>
        <v>0</v>
      </c>
      <c r="AL181" s="232" t="n">
        <f aca="false">+R181</f>
        <v>0</v>
      </c>
      <c r="AM181" s="208" t="n">
        <f aca="false">SUM(Y181:AL181)</f>
        <v>1</v>
      </c>
      <c r="AO181" s="59"/>
    </row>
    <row r="182" customFormat="false" ht="14.5" hidden="false" customHeight="false" outlineLevel="0" collapsed="false">
      <c r="B182" s="211" t="n">
        <v>2050</v>
      </c>
      <c r="C182" s="211" t="s">
        <v>482</v>
      </c>
      <c r="D182" s="212" t="s">
        <v>498</v>
      </c>
      <c r="E182" s="213" t="n">
        <v>0</v>
      </c>
      <c r="F182" s="213" t="n">
        <v>0</v>
      </c>
      <c r="G182" s="213" t="n">
        <v>0.02</v>
      </c>
      <c r="H182" s="213" t="n">
        <v>0.67</v>
      </c>
      <c r="I182" s="213" t="n">
        <v>0</v>
      </c>
      <c r="J182" s="213" t="n">
        <v>0</v>
      </c>
      <c r="K182" s="213" t="n">
        <v>0</v>
      </c>
      <c r="L182" s="213" t="n">
        <v>0</v>
      </c>
      <c r="M182" s="213" t="n">
        <v>0</v>
      </c>
      <c r="N182" s="213" t="n">
        <v>0</v>
      </c>
      <c r="O182" s="213" t="n">
        <v>0.31</v>
      </c>
      <c r="P182" s="213" t="n">
        <v>0</v>
      </c>
      <c r="Q182" s="213" t="n">
        <v>0</v>
      </c>
      <c r="R182" s="213" t="n">
        <v>0</v>
      </c>
      <c r="S182" s="214" t="n">
        <f aca="false">SUM(E182:R182)</f>
        <v>1</v>
      </c>
      <c r="U182" s="211" t="n">
        <v>2050</v>
      </c>
      <c r="V182" s="211" t="s">
        <v>482</v>
      </c>
      <c r="W182" s="211" t="n">
        <v>2050</v>
      </c>
      <c r="X182" s="212" t="s">
        <v>498</v>
      </c>
      <c r="Y182" s="232" t="n">
        <f aca="false">+E182</f>
        <v>0</v>
      </c>
      <c r="Z182" s="232" t="n">
        <f aca="false">+F182</f>
        <v>0</v>
      </c>
      <c r="AA182" s="232" t="n">
        <f aca="false">+G182</f>
        <v>0.02</v>
      </c>
      <c r="AB182" s="232" t="n">
        <f aca="false">+H182</f>
        <v>0.67</v>
      </c>
      <c r="AC182" s="232" t="n">
        <f aca="false">+I182</f>
        <v>0</v>
      </c>
      <c r="AD182" s="232" t="n">
        <f aca="false">+J182</f>
        <v>0</v>
      </c>
      <c r="AE182" s="232" t="n">
        <f aca="false">+K182</f>
        <v>0</v>
      </c>
      <c r="AF182" s="232" t="n">
        <f aca="false">+L182</f>
        <v>0</v>
      </c>
      <c r="AG182" s="232" t="n">
        <f aca="false">+M182</f>
        <v>0</v>
      </c>
      <c r="AH182" s="232" t="n">
        <f aca="false">+N182</f>
        <v>0</v>
      </c>
      <c r="AI182" s="232" t="n">
        <f aca="false">+O182</f>
        <v>0.31</v>
      </c>
      <c r="AJ182" s="232" t="n">
        <f aca="false">+P182</f>
        <v>0</v>
      </c>
      <c r="AK182" s="232" t="n">
        <f aca="false">+Q182</f>
        <v>0</v>
      </c>
      <c r="AL182" s="232" t="n">
        <f aca="false">+R182</f>
        <v>0</v>
      </c>
      <c r="AM182" s="208" t="n">
        <f aca="false">SUM(Y182:AL182)</f>
        <v>1</v>
      </c>
      <c r="AO182" s="59"/>
    </row>
    <row r="183" customFormat="false" ht="14.5" hidden="false" customHeight="false" outlineLevel="0" collapsed="false">
      <c r="B183" s="217"/>
      <c r="C183" s="217"/>
      <c r="D183" s="218"/>
      <c r="E183" s="219"/>
      <c r="F183" s="219"/>
      <c r="G183" s="219"/>
      <c r="H183" s="219"/>
      <c r="I183" s="219"/>
      <c r="J183" s="219"/>
      <c r="K183" s="219"/>
      <c r="L183" s="219"/>
      <c r="M183" s="219"/>
      <c r="N183" s="219"/>
      <c r="O183" s="219"/>
      <c r="P183" s="219"/>
      <c r="Q183" s="219"/>
      <c r="R183" s="219"/>
      <c r="S183" s="220"/>
      <c r="U183" s="217"/>
      <c r="V183" s="217"/>
      <c r="W183" s="217"/>
      <c r="X183" s="218"/>
      <c r="Y183" s="221"/>
      <c r="Z183" s="221"/>
      <c r="AA183" s="221"/>
      <c r="AB183" s="221"/>
      <c r="AC183" s="221"/>
      <c r="AD183" s="221"/>
      <c r="AE183" s="221"/>
      <c r="AF183" s="221"/>
      <c r="AG183" s="221"/>
      <c r="AH183" s="221"/>
      <c r="AI183" s="221"/>
      <c r="AJ183" s="221"/>
      <c r="AK183" s="221"/>
      <c r="AL183" s="221"/>
      <c r="AM183" s="222"/>
      <c r="AO183" s="59"/>
    </row>
    <row r="184" customFormat="false" ht="14.5" hidden="false" customHeight="false" outlineLevel="0" collapsed="false">
      <c r="B184" s="211" t="n">
        <v>2019</v>
      </c>
      <c r="C184" s="211" t="s">
        <v>483</v>
      </c>
      <c r="D184" s="212" t="s">
        <v>498</v>
      </c>
      <c r="E184" s="213" t="n">
        <v>0.0722722840523214</v>
      </c>
      <c r="F184" s="213"/>
      <c r="G184" s="213" t="n">
        <v>0.0201689588256188</v>
      </c>
      <c r="H184" s="213" t="n">
        <v>0.599440916636692</v>
      </c>
      <c r="I184" s="213" t="n">
        <v>0.0195195779195001</v>
      </c>
      <c r="J184" s="213" t="n">
        <v>0</v>
      </c>
      <c r="K184" s="213" t="n">
        <v>0</v>
      </c>
      <c r="L184" s="213" t="n">
        <v>0</v>
      </c>
      <c r="M184" s="213" t="n">
        <v>0</v>
      </c>
      <c r="N184" s="213" t="n">
        <v>0</v>
      </c>
      <c r="O184" s="213" t="n">
        <v>0.288564567726652</v>
      </c>
      <c r="P184" s="213" t="n">
        <v>0</v>
      </c>
      <c r="Q184" s="213" t="n">
        <v>0</v>
      </c>
      <c r="R184" s="213" t="n">
        <v>0</v>
      </c>
      <c r="S184" s="214" t="n">
        <f aca="false">SUM(E184:R184)</f>
        <v>0.999966305160784</v>
      </c>
      <c r="U184" s="211" t="n">
        <v>2019</v>
      </c>
      <c r="V184" s="211" t="s">
        <v>483</v>
      </c>
      <c r="W184" s="211" t="n">
        <v>2019</v>
      </c>
      <c r="X184" s="212" t="s">
        <v>498</v>
      </c>
      <c r="Y184" s="215" t="n">
        <f aca="false">INDEX(X$11:X$35,MATCH($V184,$V$11:$V$35,0))/INDEX($AL$11:$AL$35,MATCH($V184,$V$11:$V$35,0))</f>
        <v>0.0509746894930156</v>
      </c>
      <c r="Z184" s="215" t="n">
        <f aca="false">INDEX(Y$11:Y$35,MATCH($V184,$V$11:$V$35,0))/INDEX($AL$11:$AL$35,MATCH($V184,$V$11:$V$35,0))</f>
        <v>0.028679360398211</v>
      </c>
      <c r="AA184" s="215" t="n">
        <f aca="false">INDEX(Z$11:Z$35,MATCH($V184,$V$11:$V$35,0))/INDEX($AL$11:$AL$35,MATCH($V184,$V$11:$V$35,0))</f>
        <v>0.0222186225424019</v>
      </c>
      <c r="AB184" s="215" t="n">
        <f aca="false">INDEX(AA$11:AA$35,MATCH($V184,$V$11:$V$35,0))/INDEX($AL$11:$AL$35,MATCH($V184,$V$11:$V$35,0))</f>
        <v>0.660358899949981</v>
      </c>
      <c r="AC184" s="215" t="n">
        <f aca="false">INDEX(AB$11:AB$35,MATCH($V184,$V$11:$V$35,0))/INDEX($AL$11:$AL$35,MATCH($V184,$V$11:$V$35,0))</f>
        <v>0.0300413677355685</v>
      </c>
      <c r="AD184" s="215" t="n">
        <f aca="false">INDEX(AC$11:AC$35,MATCH($V184,$V$11:$V$35,0))/INDEX($AL$11:$AL$35,MATCH($V184,$V$11:$V$35,0))</f>
        <v>0</v>
      </c>
      <c r="AE184" s="215" t="n">
        <f aca="false">INDEX(AD$11:AD$35,MATCH($V184,$V$11:$V$35,0))/INDEX($AL$11:$AL$35,MATCH($V184,$V$11:$V$35,0))</f>
        <v>0</v>
      </c>
      <c r="AF184" s="215" t="n">
        <f aca="false">INDEX(AE$11:AE$35,MATCH($V184,$V$11:$V$35,0))/INDEX($AL$11:$AL$35,MATCH($V184,$V$11:$V$35,0))</f>
        <v>0</v>
      </c>
      <c r="AG184" s="215" t="n">
        <f aca="false">INDEX(AF$11:AF$35,MATCH($V184,$V$11:$V$35,0))/INDEX($AL$11:$AL$35,MATCH($V184,$V$11:$V$35,0))</f>
        <v>0</v>
      </c>
      <c r="AH184" s="215" t="n">
        <f aca="false">INDEX(AG$11:AG$35,MATCH($V184,$V$11:$V$35,0))/INDEX($AL$11:$AL$35,MATCH($V184,$V$11:$V$35,0))</f>
        <v>0</v>
      </c>
      <c r="AI184" s="215" t="n">
        <f aca="false">INDEX(AH$11:AH$35,MATCH($V184,$V$11:$V$35,0))/INDEX($AL$11:$AL$35,MATCH($V184,$V$11:$V$35,0))</f>
        <v>0.207727059880822</v>
      </c>
      <c r="AJ184" s="215" t="n">
        <f aca="false">INDEX(AI$11:AI$35,MATCH($V184,$V$11:$V$35,0))/INDEX($AL$11:$AL$35,MATCH($V184,$V$11:$V$35,0))</f>
        <v>0</v>
      </c>
      <c r="AK184" s="215" t="n">
        <f aca="false">INDEX(AJ$11:AJ$35,MATCH($V184,$V$11:$V$35,0))/INDEX($AL$11:$AL$35,MATCH($V184,$V$11:$V$35,0))</f>
        <v>0</v>
      </c>
      <c r="AL184" s="215" t="n">
        <f aca="false">INDEX(AK$11:AK$35,MATCH($V184,$V$11:$V$35,0))/INDEX($AL$11:$AL$35,MATCH($V184,$V$11:$V$35,0))</f>
        <v>0</v>
      </c>
      <c r="AM184" s="208" t="n">
        <f aca="false">INDEX(AL$11:AL$35,MATCH($V184,$V$11:$V$35,0))/INDEX($AL$11:$AL$35,MATCH($V184,$V$11:$V$35,0))</f>
        <v>1</v>
      </c>
      <c r="AO184" s="59" t="s">
        <v>531</v>
      </c>
    </row>
    <row r="185" customFormat="false" ht="14.5" hidden="false" customHeight="false" outlineLevel="0" collapsed="false">
      <c r="B185" s="211" t="n">
        <v>2025</v>
      </c>
      <c r="C185" s="211" t="s">
        <v>483</v>
      </c>
      <c r="D185" s="212" t="s">
        <v>498</v>
      </c>
      <c r="E185" s="213" t="n">
        <v>0.0718828948153757</v>
      </c>
      <c r="F185" s="213" t="n">
        <v>0</v>
      </c>
      <c r="G185" s="213" t="n">
        <v>0.0201689588256188</v>
      </c>
      <c r="H185" s="213" t="n">
        <v>0.59670049547708</v>
      </c>
      <c r="I185" s="213" t="n">
        <v>0.0222599990791127</v>
      </c>
      <c r="J185" s="213" t="n">
        <v>0</v>
      </c>
      <c r="K185" s="213" t="n">
        <v>0</v>
      </c>
      <c r="L185" s="213" t="n">
        <v>0</v>
      </c>
      <c r="M185" s="213" t="n">
        <v>0</v>
      </c>
      <c r="N185" s="213" t="n">
        <v>0</v>
      </c>
      <c r="O185" s="213" t="n">
        <v>0.288835432404667</v>
      </c>
      <c r="P185" s="213" t="n">
        <v>0</v>
      </c>
      <c r="Q185" s="213" t="n">
        <v>0</v>
      </c>
      <c r="R185" s="213" t="n">
        <v>0</v>
      </c>
      <c r="S185" s="214" t="n">
        <f aca="false">SUM(E185:R185)</f>
        <v>0.999847780601854</v>
      </c>
      <c r="U185" s="211" t="n">
        <v>2025</v>
      </c>
      <c r="V185" s="211" t="s">
        <v>483</v>
      </c>
      <c r="W185" s="211" t="n">
        <v>2025</v>
      </c>
      <c r="X185" s="212" t="s">
        <v>498</v>
      </c>
      <c r="Y185" s="215" t="n">
        <v>0.045</v>
      </c>
      <c r="Z185" s="215" t="n">
        <f aca="false">+F185</f>
        <v>0</v>
      </c>
      <c r="AA185" s="215" t="n">
        <f aca="false">+G185</f>
        <v>0.0201689588256188</v>
      </c>
      <c r="AB185" s="215" t="n">
        <v>0.645</v>
      </c>
      <c r="AC185" s="215" t="n">
        <v>0.04</v>
      </c>
      <c r="AD185" s="215" t="n">
        <f aca="false">+J185</f>
        <v>0</v>
      </c>
      <c r="AE185" s="215" t="n">
        <f aca="false">+K185</f>
        <v>0</v>
      </c>
      <c r="AF185" s="215" t="n">
        <f aca="false">+L185</f>
        <v>0</v>
      </c>
      <c r="AG185" s="215" t="n">
        <f aca="false">+M185</f>
        <v>0</v>
      </c>
      <c r="AH185" s="215" t="n">
        <f aca="false">+N185</f>
        <v>0</v>
      </c>
      <c r="AI185" s="215" t="n">
        <v>0.25</v>
      </c>
      <c r="AJ185" s="215" t="n">
        <f aca="false">+P185</f>
        <v>0</v>
      </c>
      <c r="AK185" s="215" t="n">
        <f aca="false">+Q185</f>
        <v>0</v>
      </c>
      <c r="AL185" s="215" t="n">
        <f aca="false">+R185</f>
        <v>0</v>
      </c>
      <c r="AM185" s="208" t="n">
        <f aca="false">SUM(Y185:AL185)</f>
        <v>1.00016895882562</v>
      </c>
      <c r="AO185" s="59" t="s">
        <v>530</v>
      </c>
    </row>
    <row r="186" customFormat="false" ht="14.5" hidden="false" customHeight="false" outlineLevel="0" collapsed="false">
      <c r="B186" s="211" t="n">
        <v>2050</v>
      </c>
      <c r="C186" s="211" t="s">
        <v>483</v>
      </c>
      <c r="D186" s="212" t="s">
        <v>498</v>
      </c>
      <c r="E186" s="213" t="n">
        <v>0.0718828948153757</v>
      </c>
      <c r="F186" s="213" t="n">
        <v>0</v>
      </c>
      <c r="G186" s="213" t="n">
        <v>0.0201689588256188</v>
      </c>
      <c r="H186" s="213" t="n">
        <v>0.589079019115123</v>
      </c>
      <c r="I186" s="213" t="n">
        <v>0</v>
      </c>
      <c r="J186" s="213" t="n">
        <v>0</v>
      </c>
      <c r="K186" s="213" t="n">
        <v>0</v>
      </c>
      <c r="L186" s="213" t="n">
        <v>0</v>
      </c>
      <c r="M186" s="213" t="n">
        <v>0</v>
      </c>
      <c r="N186" s="213" t="n">
        <v>0</v>
      </c>
      <c r="O186" s="213" t="n">
        <v>0.318835432404667</v>
      </c>
      <c r="P186" s="213" t="n">
        <v>0</v>
      </c>
      <c r="Q186" s="213" t="n">
        <v>0</v>
      </c>
      <c r="R186" s="213" t="n">
        <v>0</v>
      </c>
      <c r="S186" s="214" t="n">
        <f aca="false">SUM(E186:R186)</f>
        <v>0.999966305160784</v>
      </c>
      <c r="U186" s="211" t="n">
        <v>2050</v>
      </c>
      <c r="V186" s="211" t="s">
        <v>483</v>
      </c>
      <c r="W186" s="211" t="n">
        <v>2050</v>
      </c>
      <c r="X186" s="212" t="s">
        <v>498</v>
      </c>
      <c r="Y186" s="215" t="n">
        <v>0</v>
      </c>
      <c r="Z186" s="215" t="n">
        <f aca="false">+F186</f>
        <v>0</v>
      </c>
      <c r="AA186" s="215" t="n">
        <v>0.01</v>
      </c>
      <c r="AB186" s="215" t="n">
        <v>0.59</v>
      </c>
      <c r="AC186" s="215" t="n">
        <v>0.05</v>
      </c>
      <c r="AD186" s="215" t="n">
        <f aca="false">+J186</f>
        <v>0</v>
      </c>
      <c r="AE186" s="215" t="n">
        <f aca="false">+K186</f>
        <v>0</v>
      </c>
      <c r="AF186" s="215" t="n">
        <f aca="false">+L186</f>
        <v>0</v>
      </c>
      <c r="AG186" s="215" t="n">
        <f aca="false">+M186</f>
        <v>0</v>
      </c>
      <c r="AH186" s="215" t="n">
        <f aca="false">+N186</f>
        <v>0</v>
      </c>
      <c r="AI186" s="215" t="n">
        <v>0.35</v>
      </c>
      <c r="AJ186" s="215" t="n">
        <f aca="false">+P186</f>
        <v>0</v>
      </c>
      <c r="AK186" s="215" t="n">
        <f aca="false">+Q186</f>
        <v>0</v>
      </c>
      <c r="AL186" s="215" t="n">
        <f aca="false">+R186</f>
        <v>0</v>
      </c>
      <c r="AM186" s="208" t="n">
        <f aca="false">SUM(Y186:AL186)</f>
        <v>1</v>
      </c>
      <c r="AO186" s="59"/>
    </row>
    <row r="187" customFormat="false" ht="14.5" hidden="false" customHeight="false" outlineLevel="0" collapsed="false">
      <c r="B187" s="217"/>
      <c r="C187" s="217"/>
      <c r="D187" s="218"/>
      <c r="E187" s="219"/>
      <c r="F187" s="219"/>
      <c r="G187" s="219"/>
      <c r="H187" s="219"/>
      <c r="I187" s="219"/>
      <c r="J187" s="219"/>
      <c r="K187" s="219"/>
      <c r="L187" s="219"/>
      <c r="M187" s="219"/>
      <c r="N187" s="219"/>
      <c r="O187" s="219"/>
      <c r="P187" s="219"/>
      <c r="Q187" s="219"/>
      <c r="R187" s="219"/>
      <c r="S187" s="220"/>
      <c r="U187" s="217"/>
      <c r="V187" s="217"/>
      <c r="W187" s="217"/>
      <c r="X187" s="218"/>
      <c r="Y187" s="221"/>
      <c r="Z187" s="221"/>
      <c r="AA187" s="221"/>
      <c r="AB187" s="221"/>
      <c r="AC187" s="221"/>
      <c r="AD187" s="221"/>
      <c r="AE187" s="221"/>
      <c r="AF187" s="221"/>
      <c r="AG187" s="221"/>
      <c r="AH187" s="221"/>
      <c r="AI187" s="221"/>
      <c r="AJ187" s="221"/>
      <c r="AK187" s="221"/>
      <c r="AL187" s="221"/>
      <c r="AM187" s="222"/>
      <c r="AO187" s="59"/>
    </row>
    <row r="188" customFormat="false" ht="14.5" hidden="false" customHeight="false" outlineLevel="0" collapsed="false">
      <c r="B188" s="206"/>
      <c r="C188" s="206" t="s">
        <v>484</v>
      </c>
      <c r="D188" s="206"/>
      <c r="E188" s="225"/>
      <c r="F188" s="225"/>
      <c r="G188" s="225"/>
      <c r="H188" s="225"/>
      <c r="I188" s="225"/>
      <c r="J188" s="225"/>
      <c r="K188" s="225"/>
      <c r="L188" s="225"/>
      <c r="M188" s="225"/>
      <c r="N188" s="225"/>
      <c r="O188" s="225"/>
      <c r="P188" s="225"/>
      <c r="Q188" s="225"/>
      <c r="R188" s="225"/>
      <c r="S188" s="214"/>
      <c r="U188" s="206"/>
      <c r="V188" s="209" t="s">
        <v>484</v>
      </c>
      <c r="W188" s="209"/>
      <c r="X188" s="209"/>
      <c r="Y188" s="207"/>
      <c r="Z188" s="207"/>
      <c r="AA188" s="207"/>
      <c r="AB188" s="207"/>
      <c r="AC188" s="207"/>
      <c r="AD188" s="207"/>
      <c r="AE188" s="207"/>
      <c r="AF188" s="207"/>
      <c r="AG188" s="207"/>
      <c r="AH188" s="207"/>
      <c r="AI188" s="207"/>
      <c r="AJ188" s="207"/>
      <c r="AK188" s="207"/>
      <c r="AL188" s="207"/>
      <c r="AM188" s="208"/>
      <c r="AO188" s="59"/>
    </row>
    <row r="189" customFormat="false" ht="14.5" hidden="false" customHeight="false" outlineLevel="0" collapsed="false">
      <c r="B189" s="211" t="n">
        <v>2019</v>
      </c>
      <c r="C189" s="211" t="s">
        <v>485</v>
      </c>
      <c r="D189" s="212" t="s">
        <v>498</v>
      </c>
      <c r="E189" s="213" t="n">
        <v>0.186</v>
      </c>
      <c r="F189" s="213"/>
      <c r="G189" s="213" t="n">
        <v>0.09</v>
      </c>
      <c r="H189" s="213" t="n">
        <v>0.67</v>
      </c>
      <c r="I189" s="213" t="n">
        <v>0.004</v>
      </c>
      <c r="J189" s="213" t="n">
        <v>0</v>
      </c>
      <c r="K189" s="213" t="n">
        <v>0</v>
      </c>
      <c r="L189" s="213" t="n">
        <v>0</v>
      </c>
      <c r="M189" s="213" t="n">
        <v>0</v>
      </c>
      <c r="N189" s="213" t="n">
        <v>0</v>
      </c>
      <c r="O189" s="213" t="n">
        <v>0.05</v>
      </c>
      <c r="P189" s="213" t="n">
        <v>0</v>
      </c>
      <c r="Q189" s="213" t="n">
        <v>0</v>
      </c>
      <c r="R189" s="213" t="n">
        <v>0</v>
      </c>
      <c r="S189" s="214" t="n">
        <f aca="false">SUM(E189:R189)</f>
        <v>1</v>
      </c>
      <c r="U189" s="211" t="n">
        <v>2019</v>
      </c>
      <c r="V189" s="211" t="s">
        <v>485</v>
      </c>
      <c r="W189" s="211" t="n">
        <v>2019</v>
      </c>
      <c r="X189" s="212" t="s">
        <v>498</v>
      </c>
      <c r="Y189" s="232" t="n">
        <f aca="false">INDEX(X$11:X$35,MATCH($V189,$V$11:$V$35,0))/INDEX($AL$11:$AL$35,MATCH($V189,$V$11:$V$35,0))</f>
        <v>0.186</v>
      </c>
      <c r="Z189" s="232" t="n">
        <f aca="false">INDEX(Y$11:Y$35,MATCH($V189,$V$11:$V$35,0))/INDEX($AL$11:$AL$35,MATCH($V189,$V$11:$V$35,0))</f>
        <v>0</v>
      </c>
      <c r="AA189" s="232" t="n">
        <f aca="false">INDEX(Z$11:Z$35,MATCH($V189,$V$11:$V$35,0))/INDEX($AL$11:$AL$35,MATCH($V189,$V$11:$V$35,0))</f>
        <v>0.09</v>
      </c>
      <c r="AB189" s="232" t="n">
        <f aca="false">INDEX(AA$11:AA$35,MATCH($V189,$V$11:$V$35,0))/INDEX($AL$11:$AL$35,MATCH($V189,$V$11:$V$35,0))</f>
        <v>0.67</v>
      </c>
      <c r="AC189" s="232" t="n">
        <f aca="false">INDEX(AB$11:AB$35,MATCH($V189,$V$11:$V$35,0))/INDEX($AL$11:$AL$35,MATCH($V189,$V$11:$V$35,0))</f>
        <v>0.004</v>
      </c>
      <c r="AD189" s="232" t="n">
        <f aca="false">INDEX(AC$11:AC$35,MATCH($V189,$V$11:$V$35,0))/INDEX($AL$11:$AL$35,MATCH($V189,$V$11:$V$35,0))</f>
        <v>0</v>
      </c>
      <c r="AE189" s="232" t="n">
        <f aca="false">INDEX(AD$11:AD$35,MATCH($V189,$V$11:$V$35,0))/INDEX($AL$11:$AL$35,MATCH($V189,$V$11:$V$35,0))</f>
        <v>0</v>
      </c>
      <c r="AF189" s="232" t="n">
        <f aca="false">INDEX(AE$11:AE$35,MATCH($V189,$V$11:$V$35,0))/INDEX($AL$11:$AL$35,MATCH($V189,$V$11:$V$35,0))</f>
        <v>0</v>
      </c>
      <c r="AG189" s="232" t="n">
        <f aca="false">INDEX(AF$11:AF$35,MATCH($V189,$V$11:$V$35,0))/INDEX($AL$11:$AL$35,MATCH($V189,$V$11:$V$35,0))</f>
        <v>0</v>
      </c>
      <c r="AH189" s="232" t="n">
        <f aca="false">INDEX(AG$11:AG$35,MATCH($V189,$V$11:$V$35,0))/INDEX($AL$11:$AL$35,MATCH($V189,$V$11:$V$35,0))</f>
        <v>0</v>
      </c>
      <c r="AI189" s="232" t="n">
        <f aca="false">INDEX(AH$11:AH$35,MATCH($V189,$V$11:$V$35,0))/INDEX($AL$11:$AL$35,MATCH($V189,$V$11:$V$35,0))</f>
        <v>0.05</v>
      </c>
      <c r="AJ189" s="232" t="n">
        <f aca="false">INDEX(AI$11:AI$35,MATCH($V189,$V$11:$V$35,0))/INDEX($AL$11:$AL$35,MATCH($V189,$V$11:$V$35,0))</f>
        <v>0</v>
      </c>
      <c r="AK189" s="232" t="n">
        <f aca="false">INDEX(AJ$11:AJ$35,MATCH($V189,$V$11:$V$35,0))/INDEX($AL$11:$AL$35,MATCH($V189,$V$11:$V$35,0))</f>
        <v>0</v>
      </c>
      <c r="AL189" s="232" t="n">
        <f aca="false">INDEX(AK$11:AK$35,MATCH($V189,$V$11:$V$35,0))/INDEX($AL$11:$AL$35,MATCH($V189,$V$11:$V$35,0))</f>
        <v>0</v>
      </c>
      <c r="AM189" s="208" t="n">
        <f aca="false">INDEX(AL$11:AL$35,MATCH($V189,$V$11:$V$35,0))/INDEX($AL$11:$AL$35,MATCH($V189,$V$11:$V$35,0))</f>
        <v>1</v>
      </c>
      <c r="AO189" s="59" t="s">
        <v>532</v>
      </c>
    </row>
    <row r="190" customFormat="false" ht="14.5" hidden="false" customHeight="false" outlineLevel="0" collapsed="false">
      <c r="B190" s="211" t="n">
        <v>2025</v>
      </c>
      <c r="C190" s="211" t="s">
        <v>485</v>
      </c>
      <c r="D190" s="212" t="s">
        <v>498</v>
      </c>
      <c r="E190" s="213" t="n">
        <v>0.151758764368625</v>
      </c>
      <c r="F190" s="213" t="n">
        <v>0</v>
      </c>
      <c r="G190" s="213" t="n">
        <v>0.09</v>
      </c>
      <c r="H190" s="213" t="n">
        <v>0.67</v>
      </c>
      <c r="I190" s="213" t="n">
        <v>0</v>
      </c>
      <c r="J190" s="213" t="n">
        <v>0</v>
      </c>
      <c r="K190" s="213" t="n">
        <v>0</v>
      </c>
      <c r="L190" s="213" t="n">
        <v>0</v>
      </c>
      <c r="M190" s="213" t="n">
        <v>0</v>
      </c>
      <c r="N190" s="213" t="n">
        <v>0</v>
      </c>
      <c r="O190" s="213" t="n">
        <v>0.0747785579782601</v>
      </c>
      <c r="P190" s="213" t="n">
        <v>0</v>
      </c>
      <c r="Q190" s="213" t="n">
        <v>0.00946267765311507</v>
      </c>
      <c r="R190" s="213" t="n">
        <v>0</v>
      </c>
      <c r="S190" s="214" t="n">
        <f aca="false">SUM(E190:R190)</f>
        <v>0.996</v>
      </c>
      <c r="U190" s="211" t="n">
        <v>2025</v>
      </c>
      <c r="V190" s="211" t="s">
        <v>485</v>
      </c>
      <c r="W190" s="211" t="n">
        <v>2025</v>
      </c>
      <c r="X190" s="212" t="s">
        <v>498</v>
      </c>
      <c r="Y190" s="215" t="n">
        <v>0.16</v>
      </c>
      <c r="Z190" s="215" t="n">
        <f aca="false">+F190</f>
        <v>0</v>
      </c>
      <c r="AA190" s="215" t="n">
        <f aca="false">8.5%</f>
        <v>0.085</v>
      </c>
      <c r="AB190" s="215" t="n">
        <v>0.666</v>
      </c>
      <c r="AC190" s="215" t="n">
        <v>0.02</v>
      </c>
      <c r="AD190" s="215" t="n">
        <f aca="false">+J190</f>
        <v>0</v>
      </c>
      <c r="AE190" s="215" t="n">
        <f aca="false">+K190</f>
        <v>0</v>
      </c>
      <c r="AF190" s="215" t="n">
        <f aca="false">+L190</f>
        <v>0</v>
      </c>
      <c r="AG190" s="215" t="n">
        <f aca="false">+M190</f>
        <v>0</v>
      </c>
      <c r="AH190" s="215" t="n">
        <f aca="false">+N190</f>
        <v>0</v>
      </c>
      <c r="AI190" s="215" t="n">
        <v>0.06</v>
      </c>
      <c r="AJ190" s="215" t="n">
        <f aca="false">+P190</f>
        <v>0</v>
      </c>
      <c r="AK190" s="215" t="n">
        <f aca="false">+Q190</f>
        <v>0.00946267765311507</v>
      </c>
      <c r="AL190" s="215" t="n">
        <f aca="false">+R190</f>
        <v>0</v>
      </c>
      <c r="AM190" s="208" t="n">
        <f aca="false">SUM(Y190:AL190)</f>
        <v>1.00046267765312</v>
      </c>
      <c r="AO190" s="59" t="s">
        <v>530</v>
      </c>
    </row>
    <row r="191" customFormat="false" ht="14.5" hidden="false" customHeight="false" outlineLevel="0" collapsed="false">
      <c r="B191" s="211" t="n">
        <v>2050</v>
      </c>
      <c r="C191" s="211" t="s">
        <v>485</v>
      </c>
      <c r="D191" s="212" t="s">
        <v>498</v>
      </c>
      <c r="E191" s="213" t="n">
        <v>0</v>
      </c>
      <c r="F191" s="213" t="n">
        <v>0</v>
      </c>
      <c r="G191" s="213" t="n">
        <v>0.045</v>
      </c>
      <c r="H191" s="213" t="n">
        <v>0.766758764368625</v>
      </c>
      <c r="I191" s="213" t="n">
        <v>0</v>
      </c>
      <c r="J191" s="213" t="n">
        <v>0</v>
      </c>
      <c r="K191" s="213" t="n">
        <v>0</v>
      </c>
      <c r="L191" s="213" t="n">
        <v>0</v>
      </c>
      <c r="M191" s="213" t="n">
        <v>0</v>
      </c>
      <c r="N191" s="213" t="n">
        <v>0</v>
      </c>
      <c r="O191" s="213" t="n">
        <v>0.17477855797826</v>
      </c>
      <c r="P191" s="213" t="n">
        <v>0</v>
      </c>
      <c r="Q191" s="213" t="n">
        <v>0.00946267765311507</v>
      </c>
      <c r="R191" s="213" t="n">
        <v>0</v>
      </c>
      <c r="S191" s="214" t="n">
        <f aca="false">SUM(E191:R191)</f>
        <v>0.996</v>
      </c>
      <c r="U191" s="211" t="n">
        <v>2050</v>
      </c>
      <c r="V191" s="211" t="s">
        <v>485</v>
      </c>
      <c r="W191" s="211" t="n">
        <v>2050</v>
      </c>
      <c r="X191" s="212" t="s">
        <v>498</v>
      </c>
      <c r="Y191" s="215" t="n">
        <f aca="false">+E191</f>
        <v>0</v>
      </c>
      <c r="Z191" s="215" t="n">
        <f aca="false">+F191</f>
        <v>0</v>
      </c>
      <c r="AA191" s="215" t="n">
        <v>0.02</v>
      </c>
      <c r="AB191" s="215" t="n">
        <v>0.746</v>
      </c>
      <c r="AC191" s="215" t="n">
        <v>0.05</v>
      </c>
      <c r="AD191" s="215" t="n">
        <f aca="false">+J191</f>
        <v>0</v>
      </c>
      <c r="AE191" s="215" t="n">
        <f aca="false">+K191</f>
        <v>0</v>
      </c>
      <c r="AF191" s="215" t="n">
        <f aca="false">+L191</f>
        <v>0</v>
      </c>
      <c r="AG191" s="215" t="n">
        <f aca="false">+M191</f>
        <v>0</v>
      </c>
      <c r="AH191" s="215" t="n">
        <f aca="false">+N191</f>
        <v>0</v>
      </c>
      <c r="AI191" s="215" t="n">
        <f aca="false">+O191</f>
        <v>0.17477855797826</v>
      </c>
      <c r="AJ191" s="215" t="n">
        <f aca="false">+P191</f>
        <v>0</v>
      </c>
      <c r="AK191" s="215" t="n">
        <f aca="false">+Q191</f>
        <v>0.00946267765311507</v>
      </c>
      <c r="AL191" s="215" t="n">
        <f aca="false">+R191</f>
        <v>0</v>
      </c>
      <c r="AM191" s="208" t="n">
        <f aca="false">SUM(Y191:AL191)</f>
        <v>1.00024123563138</v>
      </c>
      <c r="AO191" s="59"/>
    </row>
    <row r="192" customFormat="false" ht="14.5" hidden="false" customHeight="false" outlineLevel="0" collapsed="false">
      <c r="B192" s="217"/>
      <c r="C192" s="217"/>
      <c r="D192" s="218"/>
      <c r="E192" s="219"/>
      <c r="F192" s="219"/>
      <c r="G192" s="219"/>
      <c r="H192" s="219"/>
      <c r="I192" s="219"/>
      <c r="J192" s="219"/>
      <c r="K192" s="219"/>
      <c r="L192" s="219"/>
      <c r="M192" s="219"/>
      <c r="N192" s="219"/>
      <c r="O192" s="219"/>
      <c r="P192" s="219"/>
      <c r="Q192" s="219"/>
      <c r="R192" s="219"/>
      <c r="S192" s="220"/>
      <c r="U192" s="217"/>
      <c r="V192" s="217"/>
      <c r="W192" s="217"/>
      <c r="X192" s="218"/>
      <c r="Y192" s="221"/>
      <c r="Z192" s="221"/>
      <c r="AA192" s="221"/>
      <c r="AB192" s="221"/>
      <c r="AC192" s="221"/>
      <c r="AD192" s="221"/>
      <c r="AE192" s="221"/>
      <c r="AF192" s="221"/>
      <c r="AG192" s="221"/>
      <c r="AH192" s="221"/>
      <c r="AI192" s="221"/>
      <c r="AJ192" s="221"/>
      <c r="AK192" s="221"/>
      <c r="AL192" s="221"/>
      <c r="AM192" s="222"/>
      <c r="AO192" s="59"/>
    </row>
    <row r="193" customFormat="false" ht="14.5" hidden="false" customHeight="false" outlineLevel="0" collapsed="false">
      <c r="B193" s="211" t="n">
        <v>2019</v>
      </c>
      <c r="C193" s="211" t="s">
        <v>486</v>
      </c>
      <c r="D193" s="212" t="s">
        <v>498</v>
      </c>
      <c r="E193" s="213" t="n">
        <v>0.00803964224786013</v>
      </c>
      <c r="F193" s="213"/>
      <c r="G193" s="213" t="n">
        <v>0.0409872430787003</v>
      </c>
      <c r="H193" s="213" t="n">
        <v>0.395545727063551</v>
      </c>
      <c r="I193" s="213" t="n">
        <v>0.0435570057014643</v>
      </c>
      <c r="J193" s="213" t="n">
        <v>0</v>
      </c>
      <c r="K193" s="213" t="n">
        <v>0</v>
      </c>
      <c r="L193" s="213" t="n">
        <v>0</v>
      </c>
      <c r="M193" s="213" t="n">
        <v>0</v>
      </c>
      <c r="N193" s="213" t="n">
        <v>0</v>
      </c>
      <c r="O193" s="213" t="n">
        <v>0.456122458026273</v>
      </c>
      <c r="P193" s="213" t="n">
        <v>0</v>
      </c>
      <c r="Q193" s="213" t="n">
        <v>0.0557826812813297</v>
      </c>
      <c r="R193" s="213" t="n">
        <v>0</v>
      </c>
      <c r="S193" s="214" t="n">
        <f aca="false">SUM(E193:R193)</f>
        <v>1.00003475739918</v>
      </c>
      <c r="U193" s="211" t="n">
        <v>2019</v>
      </c>
      <c r="V193" s="211" t="s">
        <v>486</v>
      </c>
      <c r="W193" s="211" t="n">
        <v>2019</v>
      </c>
      <c r="X193" s="212" t="s">
        <v>498</v>
      </c>
      <c r="Y193" s="232" t="n">
        <f aca="false">INDEX(X$11:X$35,MATCH($V193,$V$11:$V$35,0))/INDEX($AL$11:$AL$35,MATCH($V193,$V$11:$V$35,0))</f>
        <v>0.00453964224786013</v>
      </c>
      <c r="Z193" s="232" t="n">
        <f aca="false">INDEX(Y$11:Y$35,MATCH($V193,$V$11:$V$35,0))/INDEX($AL$11:$AL$35,MATCH($V193,$V$11:$V$35,0))</f>
        <v>0.00346524260082149</v>
      </c>
      <c r="AA193" s="232" t="n">
        <f aca="false">INDEX(Z$11:Z$35,MATCH($V193,$V$11:$V$35,0))/INDEX($AL$11:$AL$35,MATCH($V193,$V$11:$V$35,0))</f>
        <v>0.0409872430787003</v>
      </c>
      <c r="AB193" s="232" t="n">
        <f aca="false">INDEX(AA$11:AA$35,MATCH($V193,$V$11:$V$35,0))/INDEX($AL$11:$AL$35,MATCH($V193,$V$11:$V$35,0))</f>
        <v>0.395545727063551</v>
      </c>
      <c r="AC193" s="232" t="n">
        <f aca="false">INDEX(AB$11:AB$35,MATCH($V193,$V$11:$V$35,0))/INDEX($AL$11:$AL$35,MATCH($V193,$V$11:$V$35,0))</f>
        <v>0.0435570057014643</v>
      </c>
      <c r="AD193" s="232" t="n">
        <f aca="false">INDEX(AC$11:AC$35,MATCH($V193,$V$11:$V$35,0))/INDEX($AL$11:$AL$35,MATCH($V193,$V$11:$V$35,0))</f>
        <v>0</v>
      </c>
      <c r="AE193" s="232" t="n">
        <f aca="false">INDEX(AD$11:AD$35,MATCH($V193,$V$11:$V$35,0))/INDEX($AL$11:$AL$35,MATCH($V193,$V$11:$V$35,0))</f>
        <v>0</v>
      </c>
      <c r="AF193" s="232" t="n">
        <f aca="false">INDEX(AE$11:AE$35,MATCH($V193,$V$11:$V$35,0))/INDEX($AL$11:$AL$35,MATCH($V193,$V$11:$V$35,0))</f>
        <v>0</v>
      </c>
      <c r="AG193" s="232" t="n">
        <f aca="false">INDEX(AF$11:AF$35,MATCH($V193,$V$11:$V$35,0))/INDEX($AL$11:$AL$35,MATCH($V193,$V$11:$V$35,0))</f>
        <v>0</v>
      </c>
      <c r="AH193" s="232" t="n">
        <f aca="false">INDEX(AG$11:AG$35,MATCH($V193,$V$11:$V$35,0))/INDEX($AL$11:$AL$35,MATCH($V193,$V$11:$V$35,0))</f>
        <v>0</v>
      </c>
      <c r="AI193" s="232" t="n">
        <f aca="false">INDEX(AH$11:AH$35,MATCH($V193,$V$11:$V$35,0))/INDEX($AL$11:$AL$35,MATCH($V193,$V$11:$V$35,0))</f>
        <v>0.456122458026273</v>
      </c>
      <c r="AJ193" s="232" t="n">
        <f aca="false">INDEX(AI$11:AI$35,MATCH($V193,$V$11:$V$35,0))/INDEX($AL$11:$AL$35,MATCH($V193,$V$11:$V$35,0))</f>
        <v>0</v>
      </c>
      <c r="AK193" s="232" t="n">
        <f aca="false">INDEX(AJ$11:AJ$35,MATCH($V193,$V$11:$V$35,0))/INDEX($AL$11:$AL$35,MATCH($V193,$V$11:$V$35,0))</f>
        <v>0.0557826812813297</v>
      </c>
      <c r="AL193" s="232" t="n">
        <f aca="false">INDEX(AK$11:AK$35,MATCH($V193,$V$11:$V$35,0))/INDEX($AL$11:$AL$35,MATCH($V193,$V$11:$V$35,0))</f>
        <v>0</v>
      </c>
      <c r="AM193" s="208" t="n">
        <f aca="false">INDEX(AL$11:AL$35,MATCH($V193,$V$11:$V$35,0))/INDEX($AL$11:$AL$35,MATCH($V193,$V$11:$V$35,0))</f>
        <v>1</v>
      </c>
      <c r="AO193" s="59"/>
    </row>
    <row r="194" customFormat="false" ht="14.5" hidden="false" customHeight="false" outlineLevel="0" collapsed="false">
      <c r="B194" s="211" t="n">
        <v>2025</v>
      </c>
      <c r="C194" s="211" t="s">
        <v>486</v>
      </c>
      <c r="D194" s="212" t="s">
        <v>498</v>
      </c>
      <c r="E194" s="213" t="n">
        <v>0</v>
      </c>
      <c r="F194" s="213" t="n">
        <v>0</v>
      </c>
      <c r="G194" s="213" t="n">
        <v>0.0275400563866537</v>
      </c>
      <c r="H194" s="213" t="n">
        <v>0.379441691839836</v>
      </c>
      <c r="I194" s="213" t="n">
        <v>0.0773664895526031</v>
      </c>
      <c r="J194" s="213" t="n">
        <v>0</v>
      </c>
      <c r="K194" s="213" t="n">
        <v>0</v>
      </c>
      <c r="L194" s="213" t="n">
        <v>0</v>
      </c>
      <c r="M194" s="213" t="n">
        <v>0</v>
      </c>
      <c r="N194" s="213" t="n">
        <v>0</v>
      </c>
      <c r="O194" s="213" t="n">
        <v>0.456363486523695</v>
      </c>
      <c r="P194" s="213" t="n">
        <v>0</v>
      </c>
      <c r="Q194" s="213" t="n">
        <v>0.0558230996804446</v>
      </c>
      <c r="R194" s="213" t="n">
        <v>0</v>
      </c>
      <c r="S194" s="214" t="n">
        <f aca="false">SUM(E194:R194)</f>
        <v>0.996534823983232</v>
      </c>
      <c r="U194" s="211" t="n">
        <v>2025</v>
      </c>
      <c r="V194" s="211" t="s">
        <v>486</v>
      </c>
      <c r="W194" s="211" t="n">
        <v>2025</v>
      </c>
      <c r="X194" s="212" t="s">
        <v>498</v>
      </c>
      <c r="Y194" s="232" t="n">
        <f aca="false">+E194</f>
        <v>0</v>
      </c>
      <c r="Z194" s="232" t="n">
        <f aca="false">+F194</f>
        <v>0</v>
      </c>
      <c r="AA194" s="232" t="n">
        <v>0.025</v>
      </c>
      <c r="AB194" s="232" t="n">
        <f aca="false">+H194</f>
        <v>0.379441691839836</v>
      </c>
      <c r="AC194" s="215" t="n">
        <v>0.06</v>
      </c>
      <c r="AD194" s="232" t="n">
        <f aca="false">+J194</f>
        <v>0</v>
      </c>
      <c r="AE194" s="232" t="n">
        <f aca="false">+K194</f>
        <v>0</v>
      </c>
      <c r="AF194" s="232" t="n">
        <f aca="false">+L194</f>
        <v>0</v>
      </c>
      <c r="AG194" s="232" t="n">
        <f aca="false">+M194</f>
        <v>0</v>
      </c>
      <c r="AH194" s="232" t="n">
        <f aca="false">+N194</f>
        <v>0</v>
      </c>
      <c r="AI194" s="215" t="n">
        <v>0.48</v>
      </c>
      <c r="AJ194" s="232" t="n">
        <f aca="false">+P194</f>
        <v>0</v>
      </c>
      <c r="AK194" s="232" t="n">
        <f aca="false">+Q194</f>
        <v>0.0558230996804446</v>
      </c>
      <c r="AL194" s="232" t="n">
        <f aca="false">+R194</f>
        <v>0</v>
      </c>
      <c r="AM194" s="208" t="n">
        <f aca="false">SUM(Y194:AL194)</f>
        <v>1.00026479152028</v>
      </c>
      <c r="AO194" s="59"/>
    </row>
    <row r="195" customFormat="false" ht="14.5" hidden="false" customHeight="false" outlineLevel="0" collapsed="false">
      <c r="B195" s="211" t="n">
        <v>2050</v>
      </c>
      <c r="C195" s="211" t="s">
        <v>486</v>
      </c>
      <c r="D195" s="212" t="s">
        <v>498</v>
      </c>
      <c r="E195" s="213" t="n">
        <v>0</v>
      </c>
      <c r="F195" s="213" t="n">
        <v>0</v>
      </c>
      <c r="G195" s="213" t="n">
        <v>0</v>
      </c>
      <c r="H195" s="213" t="n">
        <v>0.38</v>
      </c>
      <c r="I195" s="213" t="n">
        <v>0.1</v>
      </c>
      <c r="J195" s="213" t="n">
        <v>0</v>
      </c>
      <c r="K195" s="213" t="n">
        <v>0</v>
      </c>
      <c r="L195" s="213" t="n">
        <v>0</v>
      </c>
      <c r="M195" s="213" t="n">
        <v>0</v>
      </c>
      <c r="N195" s="213" t="n">
        <v>0</v>
      </c>
      <c r="O195" s="213" t="n">
        <v>0.464176900319556</v>
      </c>
      <c r="P195" s="213" t="n">
        <v>0</v>
      </c>
      <c r="Q195" s="213" t="n">
        <v>0.0558230996804446</v>
      </c>
      <c r="R195" s="213" t="n">
        <v>0</v>
      </c>
      <c r="S195" s="214" t="n">
        <f aca="false">SUM(E195:R195)</f>
        <v>1</v>
      </c>
      <c r="U195" s="211" t="n">
        <v>2050</v>
      </c>
      <c r="V195" s="211" t="s">
        <v>486</v>
      </c>
      <c r="W195" s="211" t="n">
        <v>2050</v>
      </c>
      <c r="X195" s="212" t="s">
        <v>498</v>
      </c>
      <c r="Y195" s="232" t="n">
        <f aca="false">+E195</f>
        <v>0</v>
      </c>
      <c r="Z195" s="232" t="n">
        <f aca="false">+F195</f>
        <v>0</v>
      </c>
      <c r="AA195" s="232" t="n">
        <f aca="false">+G195</f>
        <v>0</v>
      </c>
      <c r="AB195" s="232" t="n">
        <f aca="false">+H195</f>
        <v>0.38</v>
      </c>
      <c r="AC195" s="215" t="n">
        <f aca="false">8%</f>
        <v>0.08</v>
      </c>
      <c r="AD195" s="232" t="n">
        <f aca="false">+J195</f>
        <v>0</v>
      </c>
      <c r="AE195" s="232" t="n">
        <f aca="false">+K195</f>
        <v>0</v>
      </c>
      <c r="AF195" s="232" t="n">
        <f aca="false">+L195</f>
        <v>0</v>
      </c>
      <c r="AG195" s="232" t="n">
        <f aca="false">+M195</f>
        <v>0</v>
      </c>
      <c r="AH195" s="232" t="n">
        <f aca="false">+N195</f>
        <v>0</v>
      </c>
      <c r="AI195" s="215" t="n">
        <v>0.484</v>
      </c>
      <c r="AJ195" s="232" t="n">
        <f aca="false">+P195</f>
        <v>0</v>
      </c>
      <c r="AK195" s="232" t="n">
        <f aca="false">+Q195</f>
        <v>0.0558230996804446</v>
      </c>
      <c r="AL195" s="232" t="n">
        <f aca="false">+R195</f>
        <v>0</v>
      </c>
      <c r="AM195" s="208" t="n">
        <f aca="false">SUM(Y195:AL195)</f>
        <v>0.999823099680445</v>
      </c>
      <c r="AO195" s="59"/>
    </row>
    <row r="196" customFormat="false" ht="14.5" hidden="false" customHeight="false" outlineLevel="0" collapsed="false">
      <c r="B196" s="217"/>
      <c r="C196" s="217"/>
      <c r="D196" s="218"/>
      <c r="E196" s="219"/>
      <c r="F196" s="219"/>
      <c r="G196" s="219"/>
      <c r="H196" s="219"/>
      <c r="I196" s="219"/>
      <c r="J196" s="219"/>
      <c r="K196" s="219"/>
      <c r="L196" s="219"/>
      <c r="M196" s="219"/>
      <c r="N196" s="219"/>
      <c r="O196" s="219"/>
      <c r="P196" s="219"/>
      <c r="Q196" s="219"/>
      <c r="R196" s="219"/>
      <c r="S196" s="220"/>
      <c r="U196" s="217"/>
      <c r="V196" s="217"/>
      <c r="W196" s="217"/>
      <c r="X196" s="218"/>
      <c r="Y196" s="207"/>
      <c r="Z196" s="207"/>
      <c r="AA196" s="207"/>
      <c r="AB196" s="207"/>
      <c r="AC196" s="207"/>
      <c r="AD196" s="207"/>
      <c r="AE196" s="207"/>
      <c r="AF196" s="207"/>
      <c r="AG196" s="207"/>
      <c r="AH196" s="207"/>
      <c r="AI196" s="207"/>
      <c r="AJ196" s="207"/>
      <c r="AK196" s="207"/>
      <c r="AL196" s="207"/>
      <c r="AM196" s="222"/>
      <c r="AO196" s="59"/>
    </row>
    <row r="197" customFormat="false" ht="14.5" hidden="false" customHeight="false" outlineLevel="0" collapsed="false">
      <c r="B197" s="206" t="n">
        <v>2019</v>
      </c>
      <c r="C197" s="206" t="s">
        <v>487</v>
      </c>
      <c r="D197" s="206"/>
      <c r="E197" s="213" t="n">
        <v>0.00977673492605233</v>
      </c>
      <c r="F197" s="213"/>
      <c r="G197" s="213" t="n">
        <v>0.0453284982935154</v>
      </c>
      <c r="H197" s="213" t="n">
        <v>0.366218714448237</v>
      </c>
      <c r="I197" s="213" t="n">
        <v>0.00341296928327645</v>
      </c>
      <c r="J197" s="213" t="n">
        <v>0</v>
      </c>
      <c r="K197" s="213" t="n">
        <v>0</v>
      </c>
      <c r="L197" s="213" t="n">
        <v>0</v>
      </c>
      <c r="M197" s="213" t="n">
        <v>0</v>
      </c>
      <c r="N197" s="213" t="n">
        <v>0</v>
      </c>
      <c r="O197" s="213" t="n">
        <v>0.574160978384528</v>
      </c>
      <c r="P197" s="213" t="n">
        <v>0</v>
      </c>
      <c r="Q197" s="213" t="n">
        <v>0.00110210466439135</v>
      </c>
      <c r="R197" s="213" t="n">
        <v>0</v>
      </c>
      <c r="S197" s="214" t="n">
        <f aca="false">SUM(E197:R197)</f>
        <v>1</v>
      </c>
      <c r="U197" s="206" t="n">
        <v>2019</v>
      </c>
      <c r="V197" s="206" t="s">
        <v>487</v>
      </c>
      <c r="W197" s="233" t="n">
        <v>2019</v>
      </c>
      <c r="X197" s="206"/>
      <c r="Y197" s="232" t="n">
        <f aca="false">INDEX(X$11:X$35,MATCH($V197,$V$11:$V$35,0))/INDEX($AL$11:$AL$35,MATCH($V197,$V$11:$V$35,0))</f>
        <v>0.000462172923777018</v>
      </c>
      <c r="Z197" s="232" t="n">
        <f aca="false">INDEX(Y$11:Y$35,MATCH($V197,$V$11:$V$35,0))/INDEX($AL$11:$AL$35,MATCH($V197,$V$11:$V$35,0))</f>
        <v>0.00931456200227531</v>
      </c>
      <c r="AA197" s="232" t="n">
        <f aca="false">INDEX(Z$11:Z$35,MATCH($V197,$V$11:$V$35,0))/INDEX($AL$11:$AL$35,MATCH($V197,$V$11:$V$35,0))</f>
        <v>0.0453284982935154</v>
      </c>
      <c r="AB197" s="215" t="n">
        <f aca="false">INDEX(AA$11:AA$35,MATCH($V197,$V$11:$V$35,0))/INDEX($AL$11:$AL$35,MATCH($V197,$V$11:$V$35,0))</f>
        <v>0.366218714448237</v>
      </c>
      <c r="AC197" s="232" t="n">
        <f aca="false">INDEX(AB$11:AB$35,MATCH($V197,$V$11:$V$35,0))/INDEX($AL$11:$AL$35,MATCH($V197,$V$11:$V$35,0))</f>
        <v>0.00341296928327645</v>
      </c>
      <c r="AD197" s="232" t="n">
        <f aca="false">INDEX(AC$11:AC$35,MATCH($V197,$V$11:$V$35,0))/INDEX($AL$11:$AL$35,MATCH($V197,$V$11:$V$35,0))</f>
        <v>0</v>
      </c>
      <c r="AE197" s="232" t="n">
        <f aca="false">INDEX(AD$11:AD$35,MATCH($V197,$V$11:$V$35,0))/INDEX($AL$11:$AL$35,MATCH($V197,$V$11:$V$35,0))</f>
        <v>0</v>
      </c>
      <c r="AF197" s="232" t="n">
        <f aca="false">INDEX(AE$11:AE$35,MATCH($V197,$V$11:$V$35,0))/INDEX($AL$11:$AL$35,MATCH($V197,$V$11:$V$35,0))</f>
        <v>0</v>
      </c>
      <c r="AG197" s="232" t="n">
        <f aca="false">INDEX(AF$11:AF$35,MATCH($V197,$V$11:$V$35,0))/INDEX($AL$11:$AL$35,MATCH($V197,$V$11:$V$35,0))</f>
        <v>0</v>
      </c>
      <c r="AH197" s="232" t="n">
        <f aca="false">INDEX(AG$11:AG$35,MATCH($V197,$V$11:$V$35,0))/INDEX($AL$11:$AL$35,MATCH($V197,$V$11:$V$35,0))</f>
        <v>0</v>
      </c>
      <c r="AI197" s="232" t="n">
        <f aca="false">INDEX(AH$11:AH$35,MATCH($V197,$V$11:$V$35,0))/INDEX($AL$11:$AL$35,MATCH($V197,$V$11:$V$35,0))</f>
        <v>0.574160978384528</v>
      </c>
      <c r="AJ197" s="232" t="n">
        <f aca="false">INDEX(AI$11:AI$35,MATCH($V197,$V$11:$V$35,0))/INDEX($AL$11:$AL$35,MATCH($V197,$V$11:$V$35,0))</f>
        <v>0</v>
      </c>
      <c r="AK197" s="232" t="n">
        <f aca="false">INDEX(AJ$11:AJ$35,MATCH($V197,$V$11:$V$35,0))/INDEX($AL$11:$AL$35,MATCH($V197,$V$11:$V$35,0))</f>
        <v>0.00110210466439135</v>
      </c>
      <c r="AL197" s="232" t="n">
        <f aca="false">INDEX(AK$11:AK$35,MATCH($V197,$V$11:$V$35,0))/INDEX($AL$11:$AL$35,MATCH($V197,$V$11:$V$35,0))</f>
        <v>0</v>
      </c>
      <c r="AM197" s="208" t="n">
        <f aca="false">INDEX(AL$11:AL$35,MATCH($V197,$V$11:$V$35,0))/INDEX($AL$11:$AL$35,MATCH($V197,$V$11:$V$35,0))</f>
        <v>1</v>
      </c>
      <c r="AO197" s="59" t="s">
        <v>533</v>
      </c>
    </row>
    <row r="198" customFormat="false" ht="14.5" hidden="false" customHeight="false" outlineLevel="0" collapsed="false">
      <c r="B198" s="206" t="n">
        <v>2025</v>
      </c>
      <c r="C198" s="206" t="s">
        <v>487</v>
      </c>
      <c r="D198" s="206"/>
      <c r="E198" s="213" t="n">
        <v>0.00961456200227532</v>
      </c>
      <c r="F198" s="213" t="n">
        <v>0</v>
      </c>
      <c r="G198" s="213" t="n">
        <v>0.0453284982935154</v>
      </c>
      <c r="H198" s="213" t="n">
        <v>0.361811793672361</v>
      </c>
      <c r="I198" s="213" t="n">
        <v>0.00781989005915227</v>
      </c>
      <c r="J198" s="213" t="n">
        <v>0</v>
      </c>
      <c r="K198" s="213" t="n">
        <v>0</v>
      </c>
      <c r="L198" s="213" t="n">
        <v>0</v>
      </c>
      <c r="M198" s="213" t="n">
        <v>0</v>
      </c>
      <c r="N198" s="213" t="n">
        <v>0</v>
      </c>
      <c r="O198" s="213" t="n">
        <v>0.574199220221134</v>
      </c>
      <c r="P198" s="213" t="n">
        <v>0</v>
      </c>
      <c r="Q198" s="213" t="n">
        <v>0.00125971850095424</v>
      </c>
      <c r="R198" s="213" t="n">
        <v>0</v>
      </c>
      <c r="S198" s="214" t="n">
        <f aca="false">SUM(E198:R198)</f>
        <v>1.00003368274939</v>
      </c>
      <c r="U198" s="206" t="n">
        <v>2025</v>
      </c>
      <c r="V198" s="206" t="s">
        <v>487</v>
      </c>
      <c r="W198" s="233" t="n">
        <v>2025</v>
      </c>
      <c r="X198" s="206"/>
      <c r="Y198" s="232" t="n">
        <v>0</v>
      </c>
      <c r="Z198" s="232" t="n">
        <f aca="false">+F198</f>
        <v>0</v>
      </c>
      <c r="AA198" s="232" t="n">
        <f aca="false">+G198</f>
        <v>0.0453284982935154</v>
      </c>
      <c r="AB198" s="215" t="n">
        <v>0.365</v>
      </c>
      <c r="AC198" s="232" t="n">
        <f aca="false">0.8%</f>
        <v>0.008</v>
      </c>
      <c r="AD198" s="232" t="n">
        <f aca="false">+J198</f>
        <v>0</v>
      </c>
      <c r="AE198" s="232" t="n">
        <f aca="false">+K198</f>
        <v>0</v>
      </c>
      <c r="AF198" s="232" t="n">
        <f aca="false">+L198</f>
        <v>0</v>
      </c>
      <c r="AG198" s="232" t="n">
        <f aca="false">+M198</f>
        <v>0</v>
      </c>
      <c r="AH198" s="232" t="n">
        <f aca="false">+N198</f>
        <v>0</v>
      </c>
      <c r="AI198" s="215" t="n">
        <f aca="false">58%</f>
        <v>0.58</v>
      </c>
      <c r="AJ198" s="232" t="n">
        <f aca="false">+P198</f>
        <v>0</v>
      </c>
      <c r="AK198" s="232" t="n">
        <f aca="false">+Q198</f>
        <v>0.00125971850095424</v>
      </c>
      <c r="AL198" s="232" t="n">
        <f aca="false">+R198</f>
        <v>0</v>
      </c>
      <c r="AM198" s="208" t="n">
        <f aca="false">SUM(Y198:AL198)</f>
        <v>0.99958821679447</v>
      </c>
      <c r="AO198" s="59" t="s">
        <v>530</v>
      </c>
    </row>
    <row r="199" customFormat="false" ht="14.5" hidden="false" customHeight="false" outlineLevel="0" collapsed="false">
      <c r="B199" s="206" t="n">
        <v>2050</v>
      </c>
      <c r="C199" s="206" t="s">
        <v>487</v>
      </c>
      <c r="D199" s="206"/>
      <c r="E199" s="213" t="n">
        <v>0.00931456200227532</v>
      </c>
      <c r="F199" s="213" t="n">
        <v>0</v>
      </c>
      <c r="G199" s="213" t="n">
        <v>0.0134147056032757</v>
      </c>
      <c r="H199" s="213" t="n">
        <v>0.321811793672361</v>
      </c>
      <c r="I199" s="213" t="n">
        <v>0.03</v>
      </c>
      <c r="J199" s="213" t="n">
        <v>0</v>
      </c>
      <c r="K199" s="213" t="n">
        <v>0</v>
      </c>
      <c r="L199" s="213" t="n">
        <v>0</v>
      </c>
      <c r="M199" s="213" t="n">
        <v>0</v>
      </c>
      <c r="N199" s="213" t="n">
        <v>0</v>
      </c>
      <c r="O199" s="213" t="n">
        <v>0.624199220221134</v>
      </c>
      <c r="P199" s="213" t="n">
        <v>0</v>
      </c>
      <c r="Q199" s="213" t="n">
        <v>0</v>
      </c>
      <c r="R199" s="213" t="n">
        <v>0</v>
      </c>
      <c r="S199" s="214" t="n">
        <f aca="false">SUM(E199:R199)</f>
        <v>0.998740281499046</v>
      </c>
      <c r="U199" s="206" t="n">
        <v>2050</v>
      </c>
      <c r="V199" s="206" t="s">
        <v>487</v>
      </c>
      <c r="W199" s="233" t="n">
        <v>2050</v>
      </c>
      <c r="X199" s="206"/>
      <c r="Y199" s="232" t="n">
        <v>0</v>
      </c>
      <c r="Z199" s="232" t="n">
        <f aca="false">+F199</f>
        <v>0</v>
      </c>
      <c r="AA199" s="232" t="n">
        <f aca="false">+G199</f>
        <v>0.0134147056032757</v>
      </c>
      <c r="AB199" s="215" t="n">
        <f aca="false">+H199+1%</f>
        <v>0.331811793672361</v>
      </c>
      <c r="AC199" s="232" t="n">
        <f aca="false">+I199</f>
        <v>0.03</v>
      </c>
      <c r="AD199" s="232" t="n">
        <f aca="false">+J199</f>
        <v>0</v>
      </c>
      <c r="AE199" s="232" t="n">
        <f aca="false">+K199</f>
        <v>0</v>
      </c>
      <c r="AF199" s="232" t="n">
        <f aca="false">+L199</f>
        <v>0</v>
      </c>
      <c r="AG199" s="232" t="n">
        <f aca="false">+M199</f>
        <v>0</v>
      </c>
      <c r="AH199" s="232" t="n">
        <f aca="false">+N199</f>
        <v>0</v>
      </c>
      <c r="AI199" s="232" t="n">
        <f aca="false">O199</f>
        <v>0.624199220221134</v>
      </c>
      <c r="AJ199" s="232" t="n">
        <f aca="false">+P199</f>
        <v>0</v>
      </c>
      <c r="AK199" s="232" t="n">
        <v>0.001</v>
      </c>
      <c r="AL199" s="232" t="n">
        <f aca="false">+R199</f>
        <v>0</v>
      </c>
      <c r="AM199" s="208" t="n">
        <f aca="false">SUM(Y199:AL199)</f>
        <v>1.00042571949677</v>
      </c>
      <c r="AO199" s="59"/>
    </row>
    <row r="200" customFormat="false" ht="14.5" hidden="false" customHeight="false" outlineLevel="0" collapsed="false">
      <c r="B200" s="217"/>
      <c r="C200" s="217"/>
      <c r="D200" s="218"/>
      <c r="E200" s="219"/>
      <c r="F200" s="219"/>
      <c r="G200" s="219"/>
      <c r="H200" s="219"/>
      <c r="I200" s="219"/>
      <c r="J200" s="219"/>
      <c r="K200" s="219"/>
      <c r="L200" s="219"/>
      <c r="M200" s="219"/>
      <c r="N200" s="219"/>
      <c r="O200" s="219"/>
      <c r="P200" s="219"/>
      <c r="Q200" s="219"/>
      <c r="R200" s="219"/>
      <c r="S200" s="220"/>
      <c r="U200" s="217"/>
      <c r="V200" s="217"/>
      <c r="W200" s="234"/>
      <c r="X200" s="218"/>
      <c r="Y200" s="221"/>
      <c r="Z200" s="221"/>
      <c r="AA200" s="221"/>
      <c r="AB200" s="221"/>
      <c r="AC200" s="221"/>
      <c r="AD200" s="221"/>
      <c r="AE200" s="221"/>
      <c r="AF200" s="221"/>
      <c r="AG200" s="221"/>
      <c r="AH200" s="221"/>
      <c r="AI200" s="221"/>
      <c r="AJ200" s="221"/>
      <c r="AK200" s="221"/>
      <c r="AL200" s="221"/>
      <c r="AM200" s="222"/>
      <c r="AO200" s="59"/>
    </row>
    <row r="201" customFormat="false" ht="14.5" hidden="false" customHeight="false" outlineLevel="0" collapsed="false">
      <c r="B201" s="206" t="n">
        <v>2019</v>
      </c>
      <c r="C201" s="206" t="s">
        <v>31</v>
      </c>
      <c r="D201" s="229"/>
      <c r="E201" s="213" t="n">
        <v>0</v>
      </c>
      <c r="F201" s="213"/>
      <c r="G201" s="213" t="n">
        <v>0.605486610058785</v>
      </c>
      <c r="H201" s="213" t="n">
        <v>0.124951012410189</v>
      </c>
      <c r="I201" s="213" t="n">
        <v>0.0374265186152841</v>
      </c>
      <c r="J201" s="213" t="n">
        <v>0</v>
      </c>
      <c r="K201" s="213" t="n">
        <v>0</v>
      </c>
      <c r="L201" s="213" t="n">
        <v>0</v>
      </c>
      <c r="M201" s="213" t="n">
        <v>0</v>
      </c>
      <c r="N201" s="213" t="n">
        <v>0</v>
      </c>
      <c r="O201" s="213" t="n">
        <v>0.232135858915741</v>
      </c>
      <c r="P201" s="213" t="n">
        <v>0</v>
      </c>
      <c r="Q201" s="213" t="n">
        <v>0</v>
      </c>
      <c r="R201" s="213" t="n">
        <v>0</v>
      </c>
      <c r="S201" s="214" t="n">
        <f aca="false">SUM(E201:R201)</f>
        <v>0.999999999999999</v>
      </c>
      <c r="U201" s="206" t="n">
        <v>2019</v>
      </c>
      <c r="V201" s="206" t="s">
        <v>31</v>
      </c>
      <c r="W201" s="233" t="n">
        <v>2019</v>
      </c>
      <c r="X201" s="229"/>
      <c r="Y201" s="232" t="n">
        <f aca="false">INDEX(X$11:X$35,MATCH($V201,$V$11:$V$35,0))/INDEX($AL$11:$AL$35,MATCH($V201,$V$11:$V$35,0))</f>
        <v>0</v>
      </c>
      <c r="Z201" s="232" t="n">
        <f aca="false">INDEX(Y$11:Y$35,MATCH($V201,$V$11:$V$35,0))/INDEX($AL$11:$AL$35,MATCH($V201,$V$11:$V$35,0))</f>
        <v>0</v>
      </c>
      <c r="AA201" s="232" t="n">
        <f aca="false">INDEX(Z$11:Z$35,MATCH($V201,$V$11:$V$35,0))/INDEX($AL$11:$AL$35,MATCH($V201,$V$11:$V$35,0))</f>
        <v>0.605486610058785</v>
      </c>
      <c r="AB201" s="232" t="n">
        <f aca="false">INDEX(AA$11:AA$35,MATCH($V201,$V$11:$V$35,0))/INDEX($AL$11:$AL$35,MATCH($V201,$V$11:$V$35,0))</f>
        <v>0.124951012410189</v>
      </c>
      <c r="AC201" s="232" t="n">
        <f aca="false">INDEX(AB$11:AB$35,MATCH($V201,$V$11:$V$35,0))/INDEX($AL$11:$AL$35,MATCH($V201,$V$11:$V$35,0))</f>
        <v>0.0374265186152841</v>
      </c>
      <c r="AD201" s="232" t="n">
        <f aca="false">INDEX(AC$11:AC$35,MATCH($V201,$V$11:$V$35,0))/INDEX($AL$11:$AL$35,MATCH($V201,$V$11:$V$35,0))</f>
        <v>0</v>
      </c>
      <c r="AE201" s="232" t="n">
        <f aca="false">INDEX(AD$11:AD$35,MATCH($V201,$V$11:$V$35,0))/INDEX($AL$11:$AL$35,MATCH($V201,$V$11:$V$35,0))</f>
        <v>0</v>
      </c>
      <c r="AF201" s="232" t="n">
        <f aca="false">INDEX(AE$11:AE$35,MATCH($V201,$V$11:$V$35,0))/INDEX($AL$11:$AL$35,MATCH($V201,$V$11:$V$35,0))</f>
        <v>0</v>
      </c>
      <c r="AG201" s="232" t="n">
        <f aca="false">INDEX(AF$11:AF$35,MATCH($V201,$V$11:$V$35,0))/INDEX($AL$11:$AL$35,MATCH($V201,$V$11:$V$35,0))</f>
        <v>0</v>
      </c>
      <c r="AH201" s="232" t="n">
        <f aca="false">INDEX(AG$11:AG$35,MATCH($V201,$V$11:$V$35,0))/INDEX($AL$11:$AL$35,MATCH($V201,$V$11:$V$35,0))</f>
        <v>0</v>
      </c>
      <c r="AI201" s="232" t="n">
        <f aca="false">INDEX(AH$11:AH$35,MATCH($V201,$V$11:$V$35,0))/INDEX($AL$11:$AL$35,MATCH($V201,$V$11:$V$35,0))</f>
        <v>0.232135858915741</v>
      </c>
      <c r="AJ201" s="232" t="n">
        <f aca="false">INDEX(AI$11:AI$35,MATCH($V201,$V$11:$V$35,0))/INDEX($AL$11:$AL$35,MATCH($V201,$V$11:$V$35,0))</f>
        <v>0</v>
      </c>
      <c r="AK201" s="232" t="n">
        <f aca="false">INDEX(AJ$11:AJ$35,MATCH($V201,$V$11:$V$35,0))/INDEX($AL$11:$AL$35,MATCH($V201,$V$11:$V$35,0))</f>
        <v>0</v>
      </c>
      <c r="AL201" s="232" t="n">
        <f aca="false">INDEX(AK$11:AK$35,MATCH($V201,$V$11:$V$35,0))/INDEX($AL$11:$AL$35,MATCH($V201,$V$11:$V$35,0))</f>
        <v>0</v>
      </c>
      <c r="AM201" s="208" t="n">
        <f aca="false">INDEX(AL$11:AL$35,MATCH($V201,$V$11:$V$35,0))/INDEX($AL$11:$AL$35,MATCH($V201,$V$11:$V$35,0))</f>
        <v>1</v>
      </c>
      <c r="AO201" s="59" t="s">
        <v>506</v>
      </c>
    </row>
    <row r="202" customFormat="false" ht="14.5" hidden="false" customHeight="false" outlineLevel="0" collapsed="false">
      <c r="B202" s="206" t="n">
        <v>2025</v>
      </c>
      <c r="C202" s="206" t="s">
        <v>31</v>
      </c>
      <c r="D202" s="229"/>
      <c r="E202" s="213" t="n">
        <v>0</v>
      </c>
      <c r="F202" s="213" t="n">
        <v>0</v>
      </c>
      <c r="G202" s="213" t="n">
        <v>0.605486610058785</v>
      </c>
      <c r="H202" s="213" t="n">
        <v>0.124951012410189</v>
      </c>
      <c r="I202" s="213" t="n">
        <v>0.0374265186152841</v>
      </c>
      <c r="J202" s="213" t="n">
        <v>0</v>
      </c>
      <c r="K202" s="213" t="n">
        <v>0</v>
      </c>
      <c r="L202" s="213" t="n">
        <v>0</v>
      </c>
      <c r="M202" s="213" t="n">
        <v>0</v>
      </c>
      <c r="N202" s="213" t="n">
        <v>0</v>
      </c>
      <c r="O202" s="213" t="n">
        <v>0.232135858915741</v>
      </c>
      <c r="P202" s="213" t="n">
        <v>0</v>
      </c>
      <c r="Q202" s="213" t="n">
        <v>0.00125971850095424</v>
      </c>
      <c r="R202" s="213" t="n">
        <v>0</v>
      </c>
      <c r="S202" s="214" t="n">
        <f aca="false">SUM(E202:R202)</f>
        <v>1.00125971850095</v>
      </c>
      <c r="U202" s="206" t="n">
        <v>2025</v>
      </c>
      <c r="V202" s="206" t="s">
        <v>31</v>
      </c>
      <c r="W202" s="233" t="n">
        <v>2025</v>
      </c>
      <c r="X202" s="229"/>
      <c r="Y202" s="232" t="n">
        <f aca="false">+E202</f>
        <v>0</v>
      </c>
      <c r="Z202" s="232" t="n">
        <f aca="false">+F202</f>
        <v>0</v>
      </c>
      <c r="AA202" s="232" t="n">
        <f aca="false">+G202</f>
        <v>0.605486610058785</v>
      </c>
      <c r="AB202" s="232" t="n">
        <f aca="false">+H202</f>
        <v>0.124951012410189</v>
      </c>
      <c r="AC202" s="232" t="n">
        <f aca="false">+I202</f>
        <v>0.0374265186152841</v>
      </c>
      <c r="AD202" s="232" t="n">
        <f aca="false">+J202</f>
        <v>0</v>
      </c>
      <c r="AE202" s="232" t="n">
        <f aca="false">+K202</f>
        <v>0</v>
      </c>
      <c r="AF202" s="232" t="n">
        <f aca="false">+L202</f>
        <v>0</v>
      </c>
      <c r="AG202" s="232" t="n">
        <f aca="false">+M202</f>
        <v>0</v>
      </c>
      <c r="AH202" s="232" t="n">
        <f aca="false">+N202</f>
        <v>0</v>
      </c>
      <c r="AI202" s="232" t="n">
        <f aca="false">+O202</f>
        <v>0.232135858915741</v>
      </c>
      <c r="AJ202" s="232" t="n">
        <f aca="false">+P202</f>
        <v>0</v>
      </c>
      <c r="AK202" s="232" t="n">
        <v>0</v>
      </c>
      <c r="AL202" s="232" t="n">
        <f aca="false">+R202</f>
        <v>0</v>
      </c>
      <c r="AM202" s="208" t="n">
        <f aca="false">SUM(Y202:AL202)</f>
        <v>0.999999999999999</v>
      </c>
      <c r="AO202" s="59"/>
    </row>
    <row r="203" customFormat="false" ht="14.5" hidden="false" customHeight="false" outlineLevel="0" collapsed="false">
      <c r="B203" s="206" t="n">
        <v>2050</v>
      </c>
      <c r="C203" s="206" t="s">
        <v>31</v>
      </c>
      <c r="D203" s="229"/>
      <c r="E203" s="213" t="n">
        <v>0</v>
      </c>
      <c r="F203" s="213" t="n">
        <v>0</v>
      </c>
      <c r="G203" s="213" t="n">
        <v>0.605486610058785</v>
      </c>
      <c r="H203" s="213" t="n">
        <v>0.124951012410189</v>
      </c>
      <c r="I203" s="213" t="n">
        <v>0.0374265186152841</v>
      </c>
      <c r="J203" s="213" t="n">
        <v>0</v>
      </c>
      <c r="K203" s="213" t="n">
        <v>0</v>
      </c>
      <c r="L203" s="213" t="n">
        <v>0</v>
      </c>
      <c r="M203" s="213" t="n">
        <v>0</v>
      </c>
      <c r="N203" s="213" t="n">
        <v>0</v>
      </c>
      <c r="O203" s="213" t="n">
        <v>0.232135858915741</v>
      </c>
      <c r="P203" s="213" t="n">
        <v>0</v>
      </c>
      <c r="Q203" s="213" t="n">
        <v>0.00125971850095424</v>
      </c>
      <c r="R203" s="213" t="n">
        <v>0</v>
      </c>
      <c r="S203" s="214" t="n">
        <f aca="false">SUM(E203:R203)</f>
        <v>1.00125971850095</v>
      </c>
      <c r="U203" s="206" t="n">
        <v>2050</v>
      </c>
      <c r="V203" s="206" t="s">
        <v>31</v>
      </c>
      <c r="W203" s="233" t="n">
        <v>2050</v>
      </c>
      <c r="X203" s="229"/>
      <c r="Y203" s="232" t="n">
        <f aca="false">+E203</f>
        <v>0</v>
      </c>
      <c r="Z203" s="232" t="n">
        <f aca="false">+F203</f>
        <v>0</v>
      </c>
      <c r="AA203" s="232" t="n">
        <f aca="false">+G203</f>
        <v>0.605486610058785</v>
      </c>
      <c r="AB203" s="232" t="n">
        <f aca="false">+H203</f>
        <v>0.124951012410189</v>
      </c>
      <c r="AC203" s="232" t="n">
        <f aca="false">+I203</f>
        <v>0.0374265186152841</v>
      </c>
      <c r="AD203" s="232" t="n">
        <f aca="false">+J203</f>
        <v>0</v>
      </c>
      <c r="AE203" s="232" t="n">
        <f aca="false">+K203</f>
        <v>0</v>
      </c>
      <c r="AF203" s="232" t="n">
        <f aca="false">+L203</f>
        <v>0</v>
      </c>
      <c r="AG203" s="232" t="n">
        <f aca="false">+M203</f>
        <v>0</v>
      </c>
      <c r="AH203" s="232" t="n">
        <f aca="false">+N203</f>
        <v>0</v>
      </c>
      <c r="AI203" s="232" t="n">
        <f aca="false">+O203</f>
        <v>0.232135858915741</v>
      </c>
      <c r="AJ203" s="232" t="n">
        <f aca="false">+P203</f>
        <v>0</v>
      </c>
      <c r="AK203" s="232" t="n">
        <v>0</v>
      </c>
      <c r="AL203" s="232" t="n">
        <f aca="false">+R203</f>
        <v>0</v>
      </c>
      <c r="AM203" s="208" t="n">
        <f aca="false">SUM(Y203:AL203)</f>
        <v>0.999999999999999</v>
      </c>
      <c r="AO203" s="59"/>
    </row>
    <row r="204" customFormat="false" ht="14.5" hidden="false" customHeight="false" outlineLevel="0" collapsed="false">
      <c r="B204" s="217"/>
      <c r="C204" s="217"/>
      <c r="D204" s="218"/>
      <c r="E204" s="219"/>
      <c r="F204" s="219"/>
      <c r="G204" s="219"/>
      <c r="H204" s="219"/>
      <c r="I204" s="219"/>
      <c r="J204" s="219"/>
      <c r="K204" s="219"/>
      <c r="L204" s="219"/>
      <c r="M204" s="219"/>
      <c r="N204" s="219"/>
      <c r="O204" s="219"/>
      <c r="P204" s="219"/>
      <c r="Q204" s="219"/>
      <c r="R204" s="219"/>
      <c r="S204" s="220"/>
      <c r="U204" s="217"/>
      <c r="V204" s="217"/>
      <c r="W204" s="217"/>
      <c r="X204" s="218"/>
      <c r="Y204" s="221"/>
      <c r="Z204" s="221"/>
      <c r="AA204" s="221"/>
      <c r="AB204" s="221"/>
      <c r="AC204" s="221"/>
      <c r="AD204" s="221"/>
      <c r="AE204" s="221"/>
      <c r="AF204" s="221"/>
      <c r="AG204" s="221"/>
      <c r="AH204" s="221"/>
      <c r="AI204" s="221"/>
      <c r="AJ204" s="221"/>
      <c r="AK204" s="221"/>
      <c r="AL204" s="221"/>
      <c r="AM204" s="222"/>
      <c r="AO204" s="59"/>
    </row>
    <row r="205" customFormat="false" ht="14.5" hidden="false" customHeight="false" outlineLevel="0" collapsed="false">
      <c r="B205" s="206"/>
      <c r="C205" s="206" t="s">
        <v>488</v>
      </c>
      <c r="D205" s="206"/>
      <c r="E205" s="225"/>
      <c r="F205" s="225"/>
      <c r="G205" s="225"/>
      <c r="H205" s="225"/>
      <c r="I205" s="225"/>
      <c r="J205" s="225"/>
      <c r="K205" s="225"/>
      <c r="L205" s="225"/>
      <c r="M205" s="225"/>
      <c r="N205" s="225"/>
      <c r="O205" s="225"/>
      <c r="P205" s="225"/>
      <c r="Q205" s="225"/>
      <c r="R205" s="225"/>
      <c r="S205" s="214"/>
      <c r="U205" s="206"/>
      <c r="V205" s="206" t="s">
        <v>488</v>
      </c>
      <c r="W205" s="206"/>
      <c r="X205" s="206"/>
      <c r="Y205" s="207"/>
      <c r="Z205" s="207"/>
      <c r="AA205" s="207"/>
      <c r="AB205" s="207"/>
      <c r="AC205" s="207"/>
      <c r="AD205" s="207"/>
      <c r="AE205" s="207"/>
      <c r="AF205" s="207"/>
      <c r="AG205" s="207"/>
      <c r="AH205" s="207"/>
      <c r="AI205" s="207"/>
      <c r="AJ205" s="207"/>
      <c r="AK205" s="207"/>
      <c r="AL205" s="207"/>
      <c r="AM205" s="208"/>
      <c r="AO205" s="59"/>
    </row>
    <row r="206" customFormat="false" ht="14.5" hidden="false" customHeight="false" outlineLevel="0" collapsed="false">
      <c r="B206" s="211" t="n">
        <v>2019</v>
      </c>
      <c r="C206" s="211" t="s">
        <v>489</v>
      </c>
      <c r="D206" s="212" t="s">
        <v>498</v>
      </c>
      <c r="E206" s="213" t="n">
        <v>0.00415251414409218</v>
      </c>
      <c r="F206" s="213"/>
      <c r="G206" s="213" t="n">
        <v>0.0172156315557155</v>
      </c>
      <c r="H206" s="213" t="n">
        <v>0.330211385166664</v>
      </c>
      <c r="I206" s="213" t="n">
        <v>0.255033577016328</v>
      </c>
      <c r="J206" s="213" t="n">
        <v>0</v>
      </c>
      <c r="K206" s="213" t="n">
        <v>0</v>
      </c>
      <c r="L206" s="213" t="n">
        <v>0</v>
      </c>
      <c r="M206" s="213" t="n">
        <v>0</v>
      </c>
      <c r="N206" s="213" t="n">
        <v>0</v>
      </c>
      <c r="O206" s="213" t="n">
        <v>0.279299831545867</v>
      </c>
      <c r="P206" s="213" t="n">
        <v>0</v>
      </c>
      <c r="Q206" s="213" t="n">
        <v>0.114087060571334</v>
      </c>
      <c r="R206" s="213" t="n">
        <v>0</v>
      </c>
      <c r="S206" s="214" t="n">
        <f aca="false">SUM(E206:R206)</f>
        <v>1</v>
      </c>
      <c r="U206" s="211" t="n">
        <v>2019</v>
      </c>
      <c r="V206" s="211" t="s">
        <v>489</v>
      </c>
      <c r="W206" s="211" t="n">
        <v>2019</v>
      </c>
      <c r="X206" s="212" t="s">
        <v>498</v>
      </c>
      <c r="Y206" s="215" t="n">
        <f aca="false">INDEX(X$11:X$35,MATCH($V206,$V$11:$V$35,0))/INDEX($AL$11:$AL$35,MATCH($V206,$V$11:$V$35,0))</f>
        <v>0.00415251414409218</v>
      </c>
      <c r="Z206" s="215" t="n">
        <f aca="false">INDEX(Y$11:Y$35,MATCH($V206,$V$11:$V$35,0))/INDEX($AL$11:$AL$35,MATCH($V206,$V$11:$V$35,0))</f>
        <v>0</v>
      </c>
      <c r="AA206" s="215" t="n">
        <f aca="false">INDEX(Z$11:Z$35,MATCH($V206,$V$11:$V$35,0))/INDEX($AL$11:$AL$35,MATCH($V206,$V$11:$V$35,0))</f>
        <v>0.0172156315557155</v>
      </c>
      <c r="AB206" s="215" t="n">
        <f aca="false">INDEX(AA$11:AA$35,MATCH($V206,$V$11:$V$35,0))/INDEX($AL$11:$AL$35,MATCH($V206,$V$11:$V$35,0))</f>
        <v>0.330211385166664</v>
      </c>
      <c r="AC206" s="215" t="n">
        <f aca="false">INDEX(AB$11:AB$35,MATCH($V206,$V$11:$V$35,0))/INDEX($AL$11:$AL$35,MATCH($V206,$V$11:$V$35,0))</f>
        <v>0.255033577016328</v>
      </c>
      <c r="AD206" s="215" t="n">
        <f aca="false">INDEX(AC$11:AC$35,MATCH($V206,$V$11:$V$35,0))/INDEX($AL$11:$AL$35,MATCH($V206,$V$11:$V$35,0))</f>
        <v>0</v>
      </c>
      <c r="AE206" s="215" t="n">
        <f aca="false">INDEX(AD$11:AD$35,MATCH($V206,$V$11:$V$35,0))/INDEX($AL$11:$AL$35,MATCH($V206,$V$11:$V$35,0))</f>
        <v>0</v>
      </c>
      <c r="AF206" s="215" t="n">
        <f aca="false">INDEX(AE$11:AE$35,MATCH($V206,$V$11:$V$35,0))/INDEX($AL$11:$AL$35,MATCH($V206,$V$11:$V$35,0))</f>
        <v>0</v>
      </c>
      <c r="AG206" s="215" t="n">
        <f aca="false">INDEX(AF$11:AF$35,MATCH($V206,$V$11:$V$35,0))/INDEX($AL$11:$AL$35,MATCH($V206,$V$11:$V$35,0))</f>
        <v>0</v>
      </c>
      <c r="AH206" s="215" t="n">
        <f aca="false">INDEX(AG$11:AG$35,MATCH($V206,$V$11:$V$35,0))/INDEX($AL$11:$AL$35,MATCH($V206,$V$11:$V$35,0))</f>
        <v>0</v>
      </c>
      <c r="AI206" s="215" t="n">
        <f aca="false">INDEX(AH$11:AH$35,MATCH($V206,$V$11:$V$35,0))/INDEX($AL$11:$AL$35,MATCH($V206,$V$11:$V$35,0))</f>
        <v>0.279299831545867</v>
      </c>
      <c r="AJ206" s="215" t="n">
        <f aca="false">INDEX(AI$11:AI$35,MATCH($V206,$V$11:$V$35,0))/INDEX($AL$11:$AL$35,MATCH($V206,$V$11:$V$35,0))</f>
        <v>0</v>
      </c>
      <c r="AK206" s="215" t="n">
        <f aca="false">INDEX(AJ$11:AJ$35,MATCH($V206,$V$11:$V$35,0))/INDEX($AL$11:$AL$35,MATCH($V206,$V$11:$V$35,0))</f>
        <v>0.114087060571334</v>
      </c>
      <c r="AL206" s="215" t="n">
        <f aca="false">INDEX(AK$11:AK$35,MATCH($V206,$V$11:$V$35,0))/INDEX($AL$11:$AL$35,MATCH($V206,$V$11:$V$35,0))</f>
        <v>0</v>
      </c>
      <c r="AM206" s="208" t="n">
        <f aca="false">INDEX(AL$11:AL$35,MATCH($V206,$V$11:$V$35,0))/INDEX($AL$11:$AL$35,MATCH($V206,$V$11:$V$35,0))</f>
        <v>1</v>
      </c>
      <c r="AO206" s="59" t="s">
        <v>534</v>
      </c>
    </row>
    <row r="207" customFormat="false" ht="14.5" hidden="false" customHeight="false" outlineLevel="0" collapsed="false">
      <c r="B207" s="211" t="n">
        <v>2025</v>
      </c>
      <c r="C207" s="211" t="s">
        <v>489</v>
      </c>
      <c r="D207" s="212" t="s">
        <v>498</v>
      </c>
      <c r="E207" s="213" t="n">
        <v>0.000544801762527428</v>
      </c>
      <c r="F207" s="213" t="n">
        <v>0</v>
      </c>
      <c r="G207" s="213" t="n">
        <v>0.0172156315557155</v>
      </c>
      <c r="H207" s="213" t="n">
        <v>0.306073185830215</v>
      </c>
      <c r="I207" s="213" t="n">
        <v>0.279171776352777</v>
      </c>
      <c r="J207" s="213" t="n">
        <v>0</v>
      </c>
      <c r="K207" s="213" t="n">
        <v>0</v>
      </c>
      <c r="L207" s="213" t="n">
        <v>0</v>
      </c>
      <c r="M207" s="213" t="n">
        <v>0</v>
      </c>
      <c r="N207" s="213" t="n">
        <v>0</v>
      </c>
      <c r="O207" s="213" t="n">
        <v>0.279299831545867</v>
      </c>
      <c r="P207" s="213" t="n">
        <v>0</v>
      </c>
      <c r="Q207" s="213" t="n">
        <v>0.114087060571334</v>
      </c>
      <c r="R207" s="213" t="n">
        <v>0</v>
      </c>
      <c r="S207" s="214" t="n">
        <f aca="false">SUM(E207:R207)</f>
        <v>0.996392287618436</v>
      </c>
      <c r="U207" s="211" t="n">
        <v>2025</v>
      </c>
      <c r="V207" s="211" t="s">
        <v>489</v>
      </c>
      <c r="W207" s="211" t="n">
        <v>2025</v>
      </c>
      <c r="X207" s="212" t="s">
        <v>498</v>
      </c>
      <c r="Y207" s="215" t="n">
        <v>0</v>
      </c>
      <c r="Z207" s="215" t="n">
        <f aca="false">+F207</f>
        <v>0</v>
      </c>
      <c r="AA207" s="215" t="n">
        <v>0.01</v>
      </c>
      <c r="AB207" s="215" t="n">
        <v>0.3</v>
      </c>
      <c r="AC207" s="215" t="n">
        <v>0.272</v>
      </c>
      <c r="AD207" s="215" t="n">
        <v>0.025</v>
      </c>
      <c r="AE207" s="215" t="n">
        <f aca="false">+K207</f>
        <v>0</v>
      </c>
      <c r="AF207" s="215" t="n">
        <f aca="false">+L207</f>
        <v>0</v>
      </c>
      <c r="AG207" s="215" t="n">
        <f aca="false">+M207</f>
        <v>0</v>
      </c>
      <c r="AH207" s="215" t="n">
        <f aca="false">+N207</f>
        <v>0</v>
      </c>
      <c r="AI207" s="215" t="n">
        <f aca="false">+O207</f>
        <v>0.279299831545867</v>
      </c>
      <c r="AJ207" s="215" t="n">
        <f aca="false">+P207</f>
        <v>0</v>
      </c>
      <c r="AK207" s="215" t="n">
        <f aca="false">+Q207</f>
        <v>0.114087060571334</v>
      </c>
      <c r="AL207" s="215" t="n">
        <f aca="false">+R207</f>
        <v>0</v>
      </c>
      <c r="AM207" s="208" t="n">
        <f aca="false">SUM(Y207:AL207)</f>
        <v>1.0003868921172</v>
      </c>
      <c r="AO207" s="59" t="s">
        <v>530</v>
      </c>
    </row>
    <row r="208" customFormat="false" ht="14.5" hidden="false" customHeight="false" outlineLevel="0" collapsed="false">
      <c r="B208" s="211" t="n">
        <v>2050</v>
      </c>
      <c r="C208" s="211" t="s">
        <v>489</v>
      </c>
      <c r="D208" s="212" t="s">
        <v>498</v>
      </c>
      <c r="E208" s="213" t="n">
        <v>0.000544801762527428</v>
      </c>
      <c r="F208" s="213" t="n">
        <v>0</v>
      </c>
      <c r="G208" s="213" t="n">
        <v>0</v>
      </c>
      <c r="H208" s="213" t="n">
        <v>0.246896529767495</v>
      </c>
      <c r="I208" s="213" t="n">
        <v>0.209171776352777</v>
      </c>
      <c r="J208" s="213" t="n">
        <v>0</v>
      </c>
      <c r="K208" s="213" t="n">
        <v>0</v>
      </c>
      <c r="L208" s="213" t="n">
        <v>0</v>
      </c>
      <c r="M208" s="213" t="n">
        <v>0</v>
      </c>
      <c r="N208" s="213" t="n">
        <v>0</v>
      </c>
      <c r="O208" s="213" t="n">
        <v>0.379299831545867</v>
      </c>
      <c r="P208" s="213" t="n">
        <v>0</v>
      </c>
      <c r="Q208" s="213" t="n">
        <v>0.164087060571334</v>
      </c>
      <c r="R208" s="213" t="n">
        <v>0</v>
      </c>
      <c r="S208" s="214" t="n">
        <f aca="false">SUM(E208:R208)</f>
        <v>1</v>
      </c>
      <c r="U208" s="211" t="n">
        <v>2050</v>
      </c>
      <c r="V208" s="211" t="s">
        <v>489</v>
      </c>
      <c r="W208" s="211" t="n">
        <v>2050</v>
      </c>
      <c r="X208" s="212" t="s">
        <v>498</v>
      </c>
      <c r="Y208" s="215" t="n">
        <v>0</v>
      </c>
      <c r="Z208" s="215" t="n">
        <f aca="false">+F208</f>
        <v>0</v>
      </c>
      <c r="AA208" s="215" t="n">
        <f aca="false">+G208</f>
        <v>0</v>
      </c>
      <c r="AB208" s="215" t="n">
        <f aca="false">25%</f>
        <v>0.25</v>
      </c>
      <c r="AC208" s="215" t="n">
        <v>0.29</v>
      </c>
      <c r="AD208" s="215" t="n">
        <v>0.04</v>
      </c>
      <c r="AE208" s="215" t="n">
        <f aca="false">+K208</f>
        <v>0</v>
      </c>
      <c r="AF208" s="215" t="n">
        <f aca="false">+L208</f>
        <v>0</v>
      </c>
      <c r="AG208" s="215" t="n">
        <f aca="false">+M208</f>
        <v>0</v>
      </c>
      <c r="AH208" s="215" t="n">
        <f aca="false">+N208</f>
        <v>0</v>
      </c>
      <c r="AI208" s="215" t="n">
        <f aca="false">1-SUM(Y208:AH208,AJ208:AL208)</f>
        <v>0.29</v>
      </c>
      <c r="AJ208" s="215" t="n">
        <f aca="false">+P208</f>
        <v>0</v>
      </c>
      <c r="AK208" s="215" t="n">
        <f aca="false">13%</f>
        <v>0.13</v>
      </c>
      <c r="AL208" s="215" t="n">
        <f aca="false">+R208</f>
        <v>0</v>
      </c>
      <c r="AM208" s="208" t="n">
        <f aca="false">SUM(Y208:AL208)</f>
        <v>1</v>
      </c>
      <c r="AO208" s="59"/>
    </row>
    <row r="209" customFormat="false" ht="14.5" hidden="false" customHeight="false" outlineLevel="0" collapsed="false">
      <c r="B209" s="217"/>
      <c r="C209" s="217"/>
      <c r="D209" s="218"/>
      <c r="E209" s="219"/>
      <c r="F209" s="219"/>
      <c r="G209" s="219"/>
      <c r="H209" s="219"/>
      <c r="I209" s="219"/>
      <c r="J209" s="219"/>
      <c r="K209" s="219"/>
      <c r="L209" s="219"/>
      <c r="M209" s="219"/>
      <c r="N209" s="219"/>
      <c r="O209" s="219"/>
      <c r="P209" s="219"/>
      <c r="Q209" s="219"/>
      <c r="R209" s="219"/>
      <c r="S209" s="220"/>
      <c r="U209" s="217"/>
      <c r="V209" s="217"/>
      <c r="W209" s="217"/>
      <c r="X209" s="218"/>
      <c r="Y209" s="221"/>
      <c r="Z209" s="221"/>
      <c r="AA209" s="221"/>
      <c r="AB209" s="221"/>
      <c r="AC209" s="221"/>
      <c r="AD209" s="221"/>
      <c r="AE209" s="221"/>
      <c r="AF209" s="221"/>
      <c r="AG209" s="221"/>
      <c r="AH209" s="221"/>
      <c r="AI209" s="221"/>
      <c r="AJ209" s="221"/>
      <c r="AK209" s="221"/>
      <c r="AL209" s="221"/>
      <c r="AM209" s="222"/>
      <c r="AO209" s="59"/>
    </row>
    <row r="210" customFormat="false" ht="14.5" hidden="false" customHeight="false" outlineLevel="0" collapsed="false">
      <c r="B210" s="211" t="n">
        <v>2019</v>
      </c>
      <c r="C210" s="211" t="s">
        <v>490</v>
      </c>
      <c r="D210" s="212" t="s">
        <v>498</v>
      </c>
      <c r="E210" s="213" t="n">
        <v>0</v>
      </c>
      <c r="F210" s="213"/>
      <c r="G210" s="213" t="n">
        <v>0.142647488673455</v>
      </c>
      <c r="H210" s="213" t="n">
        <v>0.331192859810656</v>
      </c>
      <c r="I210" s="213" t="n">
        <v>0.0233432389860509</v>
      </c>
      <c r="J210" s="213" t="n">
        <v>0</v>
      </c>
      <c r="K210" s="213" t="n">
        <v>0</v>
      </c>
      <c r="L210" s="213" t="n">
        <v>0</v>
      </c>
      <c r="M210" s="213" t="n">
        <v>0</v>
      </c>
      <c r="N210" s="213" t="n">
        <v>0</v>
      </c>
      <c r="O210" s="213" t="n">
        <v>0.479602068819928</v>
      </c>
      <c r="P210" s="213" t="n">
        <v>0</v>
      </c>
      <c r="Q210" s="213" t="n">
        <v>0.0232143437099105</v>
      </c>
      <c r="R210" s="213" t="n">
        <v>0</v>
      </c>
      <c r="S210" s="214" t="n">
        <f aca="false">SUM(E210:R210)</f>
        <v>1</v>
      </c>
      <c r="U210" s="211" t="n">
        <v>2019</v>
      </c>
      <c r="V210" s="211" t="s">
        <v>490</v>
      </c>
      <c r="W210" s="211" t="n">
        <v>2019</v>
      </c>
      <c r="X210" s="212" t="s">
        <v>498</v>
      </c>
      <c r="Y210" s="232" t="n">
        <f aca="false">INDEX(X$11:X$35,MATCH($V210,$V$11:$V$35,0))/INDEX($AL$11:$AL$35,MATCH($V210,$V$11:$V$35,0))</f>
        <v>0</v>
      </c>
      <c r="Z210" s="232" t="n">
        <f aca="false">INDEX(Y$11:Y$35,MATCH($V210,$V$11:$V$35,0))/INDEX($AL$11:$AL$35,MATCH($V210,$V$11:$V$35,0))</f>
        <v>0</v>
      </c>
      <c r="AA210" s="232" t="n">
        <f aca="false">INDEX(Z$11:Z$35,MATCH($V210,$V$11:$V$35,0))/INDEX($AL$11:$AL$35,MATCH($V210,$V$11:$V$35,0))</f>
        <v>0.142647488673455</v>
      </c>
      <c r="AB210" s="232" t="n">
        <f aca="false">INDEX(AA$11:AA$35,MATCH($V210,$V$11:$V$35,0))/INDEX($AL$11:$AL$35,MATCH($V210,$V$11:$V$35,0))</f>
        <v>0.331192859810656</v>
      </c>
      <c r="AC210" s="232" t="n">
        <f aca="false">INDEX(AB$11:AB$35,MATCH($V210,$V$11:$V$35,0))/INDEX($AL$11:$AL$35,MATCH($V210,$V$11:$V$35,0))</f>
        <v>0.0233432389860509</v>
      </c>
      <c r="AD210" s="232" t="n">
        <f aca="false">INDEX(AC$11:AC$35,MATCH($V210,$V$11:$V$35,0))/INDEX($AL$11:$AL$35,MATCH($V210,$V$11:$V$35,0))</f>
        <v>0</v>
      </c>
      <c r="AE210" s="232" t="n">
        <f aca="false">INDEX(AD$11:AD$35,MATCH($V210,$V$11:$V$35,0))/INDEX($AL$11:$AL$35,MATCH($V210,$V$11:$V$35,0))</f>
        <v>0</v>
      </c>
      <c r="AF210" s="232" t="n">
        <f aca="false">INDEX(AE$11:AE$35,MATCH($V210,$V$11:$V$35,0))/INDEX($AL$11:$AL$35,MATCH($V210,$V$11:$V$35,0))</f>
        <v>0</v>
      </c>
      <c r="AG210" s="232" t="n">
        <f aca="false">INDEX(AF$11:AF$35,MATCH($V210,$V$11:$V$35,0))/INDEX($AL$11:$AL$35,MATCH($V210,$V$11:$V$35,0))</f>
        <v>0</v>
      </c>
      <c r="AH210" s="232" t="n">
        <f aca="false">INDEX(AG$11:AG$35,MATCH($V210,$V$11:$V$35,0))/INDEX($AL$11:$AL$35,MATCH($V210,$V$11:$V$35,0))</f>
        <v>0</v>
      </c>
      <c r="AI210" s="232" t="n">
        <f aca="false">INDEX(AH$11:AH$35,MATCH($V210,$V$11:$V$35,0))/INDEX($AL$11:$AL$35,MATCH($V210,$V$11:$V$35,0))</f>
        <v>0.479602068819928</v>
      </c>
      <c r="AJ210" s="232" t="n">
        <f aca="false">INDEX(AI$11:AI$35,MATCH($V210,$V$11:$V$35,0))/INDEX($AL$11:$AL$35,MATCH($V210,$V$11:$V$35,0))</f>
        <v>0</v>
      </c>
      <c r="AK210" s="232" t="n">
        <f aca="false">INDEX(AJ$11:AJ$35,MATCH($V210,$V$11:$V$35,0))/INDEX($AL$11:$AL$35,MATCH($V210,$V$11:$V$35,0))</f>
        <v>0.0232143437099105</v>
      </c>
      <c r="AL210" s="232" t="n">
        <f aca="false">INDEX(AK$11:AK$35,MATCH($V210,$V$11:$V$35,0))/INDEX($AL$11:$AL$35,MATCH($V210,$V$11:$V$35,0))</f>
        <v>0</v>
      </c>
      <c r="AM210" s="208" t="n">
        <f aca="false">INDEX(AL$11:AL$35,MATCH($V210,$V$11:$V$35,0))/INDEX($AL$11:$AL$35,MATCH($V210,$V$11:$V$35,0))</f>
        <v>1</v>
      </c>
      <c r="AO210" s="59" t="s">
        <v>506</v>
      </c>
    </row>
    <row r="211" customFormat="false" ht="14.5" hidden="false" customHeight="false" outlineLevel="0" collapsed="false">
      <c r="B211" s="211" t="n">
        <v>2025</v>
      </c>
      <c r="C211" s="211" t="s">
        <v>490</v>
      </c>
      <c r="D211" s="212" t="s">
        <v>498</v>
      </c>
      <c r="E211" s="213" t="n">
        <v>0</v>
      </c>
      <c r="F211" s="213" t="n">
        <v>0</v>
      </c>
      <c r="G211" s="213" t="n">
        <v>0.142357192645614</v>
      </c>
      <c r="H211" s="213" t="n">
        <v>0.310473891680222</v>
      </c>
      <c r="I211" s="213" t="n">
        <v>0.0440622071164847</v>
      </c>
      <c r="J211" s="213" t="n">
        <v>0</v>
      </c>
      <c r="K211" s="213" t="n">
        <v>0</v>
      </c>
      <c r="L211" s="213" t="n">
        <v>0</v>
      </c>
      <c r="M211" s="213" t="n">
        <v>0</v>
      </c>
      <c r="N211" s="213" t="n">
        <v>0</v>
      </c>
      <c r="O211" s="213" t="n">
        <v>0.479602068819928</v>
      </c>
      <c r="P211" s="213" t="n">
        <v>0</v>
      </c>
      <c r="Q211" s="213" t="n">
        <v>0.0235046397377512</v>
      </c>
      <c r="R211" s="213" t="n">
        <v>0</v>
      </c>
      <c r="S211" s="214" t="n">
        <f aca="false">SUM(E211:R211)</f>
        <v>1</v>
      </c>
      <c r="U211" s="211" t="n">
        <v>2025</v>
      </c>
      <c r="V211" s="211" t="s">
        <v>490</v>
      </c>
      <c r="W211" s="211" t="n">
        <v>2025</v>
      </c>
      <c r="X211" s="212" t="s">
        <v>498</v>
      </c>
      <c r="Y211" s="232" t="n">
        <f aca="false">+E211</f>
        <v>0</v>
      </c>
      <c r="Z211" s="232" t="n">
        <f aca="false">+F211</f>
        <v>0</v>
      </c>
      <c r="AA211" s="232" t="n">
        <f aca="false">+G211</f>
        <v>0.142357192645614</v>
      </c>
      <c r="AB211" s="232" t="n">
        <f aca="false">+H211</f>
        <v>0.310473891680222</v>
      </c>
      <c r="AC211" s="232" t="n">
        <f aca="false">+I211</f>
        <v>0.0440622071164847</v>
      </c>
      <c r="AD211" s="232" t="n">
        <f aca="false">+J211</f>
        <v>0</v>
      </c>
      <c r="AE211" s="232" t="n">
        <f aca="false">+K211</f>
        <v>0</v>
      </c>
      <c r="AF211" s="232" t="n">
        <f aca="false">+L211</f>
        <v>0</v>
      </c>
      <c r="AG211" s="232" t="n">
        <f aca="false">+M211</f>
        <v>0</v>
      </c>
      <c r="AH211" s="232" t="n">
        <f aca="false">+N211</f>
        <v>0</v>
      </c>
      <c r="AI211" s="232" t="n">
        <f aca="false">+O211</f>
        <v>0.479602068819928</v>
      </c>
      <c r="AJ211" s="232" t="n">
        <f aca="false">+P211</f>
        <v>0</v>
      </c>
      <c r="AK211" s="232" t="n">
        <f aca="false">+Q211</f>
        <v>0.0235046397377512</v>
      </c>
      <c r="AL211" s="232" t="n">
        <f aca="false">+R211</f>
        <v>0</v>
      </c>
      <c r="AM211" s="208" t="n">
        <f aca="false">SUM(Y211:AL211)</f>
        <v>1</v>
      </c>
      <c r="AO211" s="59"/>
    </row>
    <row r="212" customFormat="false" ht="14.5" hidden="false" customHeight="false" outlineLevel="0" collapsed="false">
      <c r="B212" s="211" t="n">
        <v>2050</v>
      </c>
      <c r="C212" s="211" t="s">
        <v>490</v>
      </c>
      <c r="D212" s="212" t="s">
        <v>498</v>
      </c>
      <c r="E212" s="213" t="n">
        <v>0</v>
      </c>
      <c r="F212" s="213" t="n">
        <v>0</v>
      </c>
      <c r="G212" s="213" t="n">
        <v>0.04</v>
      </c>
      <c r="H212" s="213" t="n">
        <v>0.310473891680222</v>
      </c>
      <c r="I212" s="213" t="n">
        <v>0.06</v>
      </c>
      <c r="J212" s="213" t="n">
        <v>0</v>
      </c>
      <c r="K212" s="213" t="n">
        <v>0</v>
      </c>
      <c r="L212" s="213" t="n">
        <v>0</v>
      </c>
      <c r="M212" s="213" t="n">
        <v>0</v>
      </c>
      <c r="N212" s="213" t="n">
        <v>0</v>
      </c>
      <c r="O212" s="213" t="n">
        <v>0.57</v>
      </c>
      <c r="P212" s="213" t="n">
        <v>0</v>
      </c>
      <c r="Q212" s="213" t="n">
        <v>0.0235046397377512</v>
      </c>
      <c r="R212" s="213" t="n">
        <v>0</v>
      </c>
      <c r="S212" s="214" t="n">
        <f aca="false">SUM(E212:R212)</f>
        <v>1.00397853141797</v>
      </c>
      <c r="U212" s="211" t="n">
        <v>2050</v>
      </c>
      <c r="V212" s="211" t="s">
        <v>490</v>
      </c>
      <c r="W212" s="211" t="n">
        <v>2050</v>
      </c>
      <c r="X212" s="212" t="s">
        <v>498</v>
      </c>
      <c r="Y212" s="232" t="n">
        <f aca="false">+E212</f>
        <v>0</v>
      </c>
      <c r="Z212" s="232" t="n">
        <f aca="false">+F212</f>
        <v>0</v>
      </c>
      <c r="AA212" s="232" t="n">
        <v>0.036</v>
      </c>
      <c r="AB212" s="232" t="n">
        <f aca="false">+H212</f>
        <v>0.310473891680222</v>
      </c>
      <c r="AC212" s="232" t="n">
        <f aca="false">+I212</f>
        <v>0.06</v>
      </c>
      <c r="AD212" s="232" t="n">
        <f aca="false">+J212</f>
        <v>0</v>
      </c>
      <c r="AE212" s="232" t="n">
        <f aca="false">+K212</f>
        <v>0</v>
      </c>
      <c r="AF212" s="232" t="n">
        <f aca="false">+L212</f>
        <v>0</v>
      </c>
      <c r="AG212" s="232" t="n">
        <f aca="false">+M212</f>
        <v>0</v>
      </c>
      <c r="AH212" s="232" t="n">
        <f aca="false">+N212</f>
        <v>0</v>
      </c>
      <c r="AI212" s="232" t="n">
        <f aca="false">+O212</f>
        <v>0.57</v>
      </c>
      <c r="AJ212" s="232" t="n">
        <f aca="false">+P212</f>
        <v>0</v>
      </c>
      <c r="AK212" s="232" t="n">
        <f aca="false">+Q212</f>
        <v>0.0235046397377512</v>
      </c>
      <c r="AL212" s="232" t="n">
        <f aca="false">+R212</f>
        <v>0</v>
      </c>
      <c r="AM212" s="208" t="n">
        <f aca="false">SUM(Y212:AL212)</f>
        <v>0.999978531417973</v>
      </c>
      <c r="AO212" s="59"/>
    </row>
    <row r="213" customFormat="false" ht="14.5" hidden="false" customHeight="false" outlineLevel="0" collapsed="false">
      <c r="AO213" s="59"/>
    </row>
    <row r="214" s="1" customFormat="true" ht="14.5" hidden="false" customHeight="false" outlineLevel="0" collapsed="false"/>
  </sheetData>
  <mergeCells count="64">
    <mergeCell ref="C2:AM2"/>
    <mergeCell ref="C8:R8"/>
    <mergeCell ref="V8:AL8"/>
    <mergeCell ref="C9:D10"/>
    <mergeCell ref="E9:E10"/>
    <mergeCell ref="F9:F10"/>
    <mergeCell ref="G9:G10"/>
    <mergeCell ref="H9:H10"/>
    <mergeCell ref="I9:L9"/>
    <mergeCell ref="M9:M10"/>
    <mergeCell ref="N9:N10"/>
    <mergeCell ref="O9:O10"/>
    <mergeCell ref="P9:P10"/>
    <mergeCell ref="R9:R10"/>
    <mergeCell ref="V9:W10"/>
    <mergeCell ref="X9:X10"/>
    <mergeCell ref="Z9:Z10"/>
    <mergeCell ref="AA9:AA10"/>
    <mergeCell ref="AB9:AE9"/>
    <mergeCell ref="AF9:AF10"/>
    <mergeCell ref="AG9:AG10"/>
    <mergeCell ref="AH9:AH10"/>
    <mergeCell ref="AJ9:AJ10"/>
    <mergeCell ref="AL9:AL10"/>
    <mergeCell ref="AR9:AS9"/>
    <mergeCell ref="AT9:AU9"/>
    <mergeCell ref="C11:D11"/>
    <mergeCell ref="V11:W11"/>
    <mergeCell ref="AP11:AQ11"/>
    <mergeCell ref="C19:D19"/>
    <mergeCell ref="V19:W19"/>
    <mergeCell ref="AP19:AQ19"/>
    <mergeCell ref="C23:D23"/>
    <mergeCell ref="V23:W23"/>
    <mergeCell ref="AP23:AQ23"/>
    <mergeCell ref="C27:D27"/>
    <mergeCell ref="V27:W27"/>
    <mergeCell ref="AP27:AQ27"/>
    <mergeCell ref="C30:D30"/>
    <mergeCell ref="V30:W30"/>
    <mergeCell ref="AP30:AQ30"/>
    <mergeCell ref="C31:D31"/>
    <mergeCell ref="V31:W31"/>
    <mergeCell ref="AP31:AQ31"/>
    <mergeCell ref="C32:D32"/>
    <mergeCell ref="V32:W32"/>
    <mergeCell ref="AP32:AQ32"/>
    <mergeCell ref="C35:D35"/>
    <mergeCell ref="V35:W35"/>
    <mergeCell ref="AP35:AQ35"/>
    <mergeCell ref="C39:AM39"/>
    <mergeCell ref="C43:D43"/>
    <mergeCell ref="V43:X43"/>
    <mergeCell ref="V44:X44"/>
    <mergeCell ref="V73:X73"/>
    <mergeCell ref="V86:X86"/>
    <mergeCell ref="V99:X99"/>
    <mergeCell ref="C127:AM127"/>
    <mergeCell ref="C132:D132"/>
    <mergeCell ref="V132:X132"/>
    <mergeCell ref="V133:X133"/>
    <mergeCell ref="V162:X162"/>
    <mergeCell ref="V175:X175"/>
    <mergeCell ref="V188:X188"/>
  </mergeCells>
  <hyperlinks>
    <hyperlink ref="AM13" r:id="rId1" display="https://www.mdpi.com/1996-1073/14/16/515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2F5597"/>
    <pageSetUpPr fitToPage="false"/>
  </sheetPr>
  <dimension ref="C2:AV169"/>
  <sheetViews>
    <sheetView showFormulas="false" showGridLines="true" showRowColHeaders="true" showZeros="true" rightToLeft="false" tabSelected="false" showOutlineSymbols="true" defaultGridColor="true" view="normal" topLeftCell="V34" colorId="64" zoomScale="53" zoomScaleNormal="53" zoomScalePageLayoutView="100" workbookViewId="0">
      <selection pane="topLeft" activeCell="AP66" activeCellId="0" sqref="AP66"/>
    </sheetView>
  </sheetViews>
  <sheetFormatPr defaultRowHeight="14.5" zeroHeight="false" outlineLevelRow="0" outlineLevelCol="0"/>
  <cols>
    <col collapsed="false" customWidth="true" hidden="false" outlineLevel="0" max="1" min="1" style="47" width="8.72"/>
    <col collapsed="false" customWidth="true" hidden="false" outlineLevel="0" max="2" min="2" style="1" width="10.46"/>
    <col collapsed="false" customWidth="true" hidden="false" outlineLevel="0" max="3" min="3" style="1" width="40.18"/>
    <col collapsed="false" customWidth="true" hidden="false" outlineLevel="0" max="18" min="4" style="1" width="10.46"/>
    <col collapsed="false" customWidth="true" hidden="false" outlineLevel="0" max="19" min="19" style="1" width="45.45"/>
    <col collapsed="false" customWidth="true" hidden="false" outlineLevel="0" max="21" min="20" style="1" width="10.46"/>
    <col collapsed="false" customWidth="true" hidden="false" outlineLevel="0" max="22" min="22" style="1" width="23.01"/>
    <col collapsed="false" customWidth="true" hidden="false" outlineLevel="0" max="23" min="23" style="1" width="53.27"/>
    <col collapsed="false" customWidth="true" hidden="false" outlineLevel="0" max="41" min="24" style="1" width="10.46"/>
    <col collapsed="false" customWidth="true" hidden="false" outlineLevel="0" max="42" min="42" style="1" width="31.18"/>
    <col collapsed="false" customWidth="true" hidden="false" outlineLevel="0" max="43" min="43" style="1" width="37.54"/>
    <col collapsed="false" customWidth="true" hidden="false" outlineLevel="0" max="44" min="44" style="1" width="6.54"/>
    <col collapsed="false" customWidth="true" hidden="false" outlineLevel="0" max="1025" min="45" style="1" width="10.46"/>
  </cols>
  <sheetData>
    <row r="2" customFormat="false" ht="14.5" hidden="false" customHeight="false" outlineLevel="0" collapsed="false">
      <c r="C2" s="235" t="s">
        <v>535</v>
      </c>
      <c r="D2" s="235"/>
      <c r="E2" s="235"/>
      <c r="F2" s="235"/>
      <c r="G2" s="235"/>
      <c r="H2" s="235"/>
      <c r="I2" s="235"/>
      <c r="J2" s="235"/>
    </row>
    <row r="3" customFormat="false" ht="14.5" hidden="false" customHeight="false" outlineLevel="0" collapsed="false">
      <c r="V3" s="179"/>
    </row>
    <row r="4" customFormat="false" ht="14.5" hidden="false" customHeight="false" outlineLevel="0" collapsed="false">
      <c r="C4" s="180" t="s">
        <v>435</v>
      </c>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row>
    <row r="6" customFormat="false" ht="14.5" hidden="false" customHeight="false" outlineLevel="0" collapsed="false">
      <c r="C6" s="181" t="s">
        <v>436</v>
      </c>
      <c r="V6" s="181" t="s">
        <v>437</v>
      </c>
      <c r="W6" s="181"/>
      <c r="X6" s="181"/>
      <c r="Y6" s="181"/>
      <c r="Z6" s="181"/>
      <c r="AA6" s="181"/>
      <c r="AB6" s="181"/>
      <c r="AC6" s="181"/>
      <c r="AD6" s="181"/>
      <c r="AE6" s="181"/>
      <c r="AF6" s="181"/>
      <c r="AG6" s="181"/>
      <c r="AH6" s="181"/>
      <c r="AI6" s="181"/>
      <c r="AJ6" s="181"/>
      <c r="AK6" s="181"/>
      <c r="AL6" s="181"/>
      <c r="AM6" s="181"/>
    </row>
    <row r="10" customFormat="false" ht="14.5" hidden="false" customHeight="false" outlineLevel="0" collapsed="false">
      <c r="C10" s="182" t="n">
        <v>2019</v>
      </c>
      <c r="D10" s="182"/>
      <c r="E10" s="182"/>
      <c r="F10" s="182"/>
      <c r="G10" s="182"/>
      <c r="H10" s="182"/>
      <c r="I10" s="182"/>
      <c r="J10" s="182"/>
      <c r="K10" s="182"/>
      <c r="L10" s="182"/>
      <c r="M10" s="182"/>
      <c r="N10" s="182"/>
      <c r="O10" s="182"/>
      <c r="P10" s="182"/>
      <c r="Q10" s="182"/>
      <c r="R10" s="182"/>
      <c r="W10" s="183" t="n">
        <v>2019</v>
      </c>
      <c r="X10" s="183"/>
      <c r="Y10" s="183"/>
      <c r="Z10" s="183"/>
      <c r="AA10" s="183"/>
      <c r="AB10" s="183"/>
      <c r="AC10" s="183"/>
      <c r="AD10" s="183"/>
      <c r="AE10" s="183"/>
      <c r="AF10" s="183"/>
      <c r="AG10" s="183"/>
      <c r="AH10" s="183"/>
      <c r="AI10" s="183"/>
      <c r="AJ10" s="183"/>
      <c r="AK10" s="183"/>
      <c r="AL10" s="183"/>
      <c r="AM10" s="183"/>
    </row>
    <row r="11" customFormat="false" ht="30" hidden="false" customHeight="true" outlineLevel="0" collapsed="false">
      <c r="C11" s="184" t="s">
        <v>438</v>
      </c>
      <c r="D11" s="184"/>
      <c r="E11" s="185" t="s">
        <v>439</v>
      </c>
      <c r="F11" s="185" t="s">
        <v>440</v>
      </c>
      <c r="G11" s="185" t="s">
        <v>441</v>
      </c>
      <c r="H11" s="185" t="s">
        <v>442</v>
      </c>
      <c r="I11" s="185" t="s">
        <v>443</v>
      </c>
      <c r="J11" s="185"/>
      <c r="K11" s="185"/>
      <c r="L11" s="185"/>
      <c r="M11" s="185" t="s">
        <v>444</v>
      </c>
      <c r="N11" s="185" t="s">
        <v>445</v>
      </c>
      <c r="O11" s="185" t="s">
        <v>446</v>
      </c>
      <c r="P11" s="185" t="s">
        <v>447</v>
      </c>
      <c r="Q11" s="186" t="s">
        <v>448</v>
      </c>
      <c r="R11" s="185" t="s">
        <v>52</v>
      </c>
      <c r="W11" s="184" t="s">
        <v>438</v>
      </c>
      <c r="X11" s="184"/>
      <c r="Y11" s="185" t="s">
        <v>439</v>
      </c>
      <c r="Z11" s="185"/>
      <c r="AA11" s="185" t="s">
        <v>441</v>
      </c>
      <c r="AB11" s="185" t="s">
        <v>442</v>
      </c>
      <c r="AC11" s="185" t="s">
        <v>443</v>
      </c>
      <c r="AD11" s="185"/>
      <c r="AE11" s="185"/>
      <c r="AF11" s="185"/>
      <c r="AG11" s="185" t="s">
        <v>444</v>
      </c>
      <c r="AH11" s="185" t="s">
        <v>445</v>
      </c>
      <c r="AI11" s="185" t="s">
        <v>446</v>
      </c>
      <c r="AJ11" s="187"/>
      <c r="AK11" s="185" t="s">
        <v>447</v>
      </c>
      <c r="AL11" s="186" t="s">
        <v>448</v>
      </c>
      <c r="AM11" s="185" t="s">
        <v>52</v>
      </c>
      <c r="AS11" s="174" t="s">
        <v>449</v>
      </c>
      <c r="AT11" s="174"/>
      <c r="AU11" s="174" t="s">
        <v>450</v>
      </c>
      <c r="AV11" s="174"/>
    </row>
    <row r="12" customFormat="false" ht="43.5" hidden="false" customHeight="false" outlineLevel="0" collapsed="false">
      <c r="C12" s="184"/>
      <c r="D12" s="184"/>
      <c r="E12" s="185"/>
      <c r="F12" s="185"/>
      <c r="G12" s="185"/>
      <c r="H12" s="185"/>
      <c r="I12" s="186" t="s">
        <v>451</v>
      </c>
      <c r="J12" s="186" t="s">
        <v>452</v>
      </c>
      <c r="K12" s="186" t="s">
        <v>453</v>
      </c>
      <c r="L12" s="186" t="s">
        <v>454</v>
      </c>
      <c r="M12" s="185"/>
      <c r="N12" s="185"/>
      <c r="O12" s="185"/>
      <c r="P12" s="185"/>
      <c r="Q12" s="186" t="s">
        <v>448</v>
      </c>
      <c r="R12" s="185"/>
      <c r="W12" s="184"/>
      <c r="X12" s="184"/>
      <c r="Y12" s="185"/>
      <c r="Z12" s="185" t="s">
        <v>455</v>
      </c>
      <c r="AA12" s="185"/>
      <c r="AB12" s="185"/>
      <c r="AC12" s="186" t="s">
        <v>451</v>
      </c>
      <c r="AD12" s="186" t="s">
        <v>452</v>
      </c>
      <c r="AE12" s="186" t="s">
        <v>453</v>
      </c>
      <c r="AF12" s="186" t="s">
        <v>454</v>
      </c>
      <c r="AG12" s="185"/>
      <c r="AH12" s="185"/>
      <c r="AI12" s="185"/>
      <c r="AJ12" s="188" t="s">
        <v>456</v>
      </c>
      <c r="AK12" s="185"/>
      <c r="AL12" s="186" t="s">
        <v>448</v>
      </c>
      <c r="AM12" s="185"/>
      <c r="AP12" s="161"/>
      <c r="AS12" s="1" t="s">
        <v>457</v>
      </c>
      <c r="AT12" s="1" t="s">
        <v>458</v>
      </c>
      <c r="AU12" s="1" t="s">
        <v>457</v>
      </c>
      <c r="AV12" s="1" t="s">
        <v>458</v>
      </c>
    </row>
    <row r="13" customFormat="false" ht="14.5" hidden="false" customHeight="false" outlineLevel="0" collapsed="false">
      <c r="C13" s="189" t="s">
        <v>24</v>
      </c>
      <c r="D13" s="189"/>
      <c r="E13" s="190" t="n">
        <v>24190.06273</v>
      </c>
      <c r="F13" s="190"/>
      <c r="G13" s="190" t="n">
        <v>1324.657</v>
      </c>
      <c r="H13" s="190" t="n">
        <v>17579.52421</v>
      </c>
      <c r="I13" s="190" t="n">
        <v>6.978</v>
      </c>
      <c r="J13" s="190" t="n">
        <v>0</v>
      </c>
      <c r="K13" s="190" t="n">
        <v>0</v>
      </c>
      <c r="L13" s="190" t="n">
        <v>0</v>
      </c>
      <c r="M13" s="190"/>
      <c r="N13" s="190" t="n">
        <v>0</v>
      </c>
      <c r="O13" s="190" t="n">
        <v>20853.753</v>
      </c>
      <c r="P13" s="190" t="n">
        <v>117.463</v>
      </c>
      <c r="Q13" s="190" t="n">
        <v>0</v>
      </c>
      <c r="R13" s="190" t="n">
        <v>64072.43794</v>
      </c>
      <c r="V13" s="191"/>
      <c r="W13" s="189" t="s">
        <v>24</v>
      </c>
      <c r="X13" s="189"/>
      <c r="Y13" s="190" t="n">
        <v>19671.07486</v>
      </c>
      <c r="Z13" s="190" t="n">
        <v>27950.379</v>
      </c>
      <c r="AA13" s="190" t="n">
        <v>1324.657</v>
      </c>
      <c r="AB13" s="190" t="n">
        <v>9299.348</v>
      </c>
      <c r="AC13" s="190" t="n">
        <v>6.978</v>
      </c>
      <c r="AD13" s="190" t="n">
        <v>0</v>
      </c>
      <c r="AE13" s="190" t="n">
        <v>0</v>
      </c>
      <c r="AF13" s="190" t="n">
        <v>0</v>
      </c>
      <c r="AG13" s="190"/>
      <c r="AH13" s="190" t="n">
        <v>0</v>
      </c>
      <c r="AI13" s="190" t="n">
        <v>20853.753</v>
      </c>
      <c r="AJ13" s="190" t="n">
        <v>0</v>
      </c>
      <c r="AK13" s="190" t="n">
        <v>117.463</v>
      </c>
      <c r="AL13" s="190" t="n">
        <v>0</v>
      </c>
      <c r="AM13" s="190" t="n">
        <v>79223.65286</v>
      </c>
      <c r="AN13" s="161" t="s">
        <v>459</v>
      </c>
      <c r="AP13" s="161" t="s">
        <v>460</v>
      </c>
      <c r="AQ13" s="189" t="s">
        <v>24</v>
      </c>
      <c r="AR13" s="189"/>
    </row>
    <row r="14" customFormat="false" ht="14.5" hidden="false" customHeight="false" outlineLevel="0" collapsed="false">
      <c r="C14" s="192" t="s">
        <v>461</v>
      </c>
      <c r="D14" s="192" t="s">
        <v>457</v>
      </c>
      <c r="E14" s="193" t="n">
        <v>29391.00514</v>
      </c>
      <c r="F14" s="193"/>
      <c r="G14" s="193" t="n">
        <v>221.4588</v>
      </c>
      <c r="H14" s="193" t="n">
        <v>14402.57315</v>
      </c>
      <c r="I14" s="193" t="n">
        <v>-50.81214</v>
      </c>
      <c r="J14" s="193" t="n">
        <v>0</v>
      </c>
      <c r="K14" s="193" t="n">
        <v>0</v>
      </c>
      <c r="L14" s="193" t="n">
        <v>0</v>
      </c>
      <c r="M14" s="193"/>
      <c r="N14" s="193" t="n">
        <v>0</v>
      </c>
      <c r="O14" s="193" t="n">
        <v>11347.0835</v>
      </c>
      <c r="P14" s="193" t="n">
        <v>117.463</v>
      </c>
      <c r="Q14" s="193" t="n">
        <v>0</v>
      </c>
      <c r="R14" s="190" t="n">
        <v>55428.77145</v>
      </c>
      <c r="V14" s="191"/>
      <c r="W14" s="192" t="s">
        <v>461</v>
      </c>
      <c r="X14" s="192" t="s">
        <v>457</v>
      </c>
      <c r="Y14" s="194" t="n">
        <v>18488.83386</v>
      </c>
      <c r="Z14" s="194" t="n">
        <v>27318.87</v>
      </c>
      <c r="AA14" s="194" t="n">
        <v>0</v>
      </c>
      <c r="AB14" s="194" t="n">
        <v>0</v>
      </c>
      <c r="AC14" s="194" t="n">
        <v>0</v>
      </c>
      <c r="AD14" s="194" t="n">
        <v>0</v>
      </c>
      <c r="AE14" s="194" t="n">
        <v>0</v>
      </c>
      <c r="AF14" s="194" t="n">
        <v>0</v>
      </c>
      <c r="AG14" s="194"/>
      <c r="AH14" s="194" t="n">
        <v>0</v>
      </c>
      <c r="AI14" s="194" t="n">
        <v>0</v>
      </c>
      <c r="AJ14" s="194" t="n">
        <v>0</v>
      </c>
      <c r="AK14" s="194" t="n">
        <v>0</v>
      </c>
      <c r="AL14" s="194" t="n">
        <v>0</v>
      </c>
      <c r="AM14" s="194" t="n">
        <v>45807.70386</v>
      </c>
      <c r="AN14" s="1" t="s">
        <v>462</v>
      </c>
      <c r="AP14" s="1" t="s">
        <v>463</v>
      </c>
      <c r="AQ14" s="192" t="s">
        <v>461</v>
      </c>
      <c r="AR14" s="192" t="s">
        <v>457</v>
      </c>
      <c r="AS14" s="1" t="n">
        <v>157.6</v>
      </c>
      <c r="AT14" s="195" t="n">
        <f aca="false">AS14/AM14</f>
        <v>0.00344046932545813</v>
      </c>
      <c r="AU14" s="139" t="n">
        <v>2093.667</v>
      </c>
      <c r="AV14" s="195" t="n">
        <f aca="false">AU14/AM14</f>
        <v>0.0457055652996443</v>
      </c>
    </row>
    <row r="15" customFormat="false" ht="14.5" hidden="false" customHeight="false" outlineLevel="0" collapsed="false">
      <c r="C15" s="192" t="s">
        <v>464</v>
      </c>
      <c r="D15" s="192" t="s">
        <v>457</v>
      </c>
      <c r="E15" s="193" t="n">
        <v>68.3431</v>
      </c>
      <c r="F15" s="193"/>
      <c r="G15" s="193" t="n">
        <v>39.0532</v>
      </c>
      <c r="H15" s="193" t="n">
        <v>372.95806</v>
      </c>
      <c r="I15" s="193" t="n">
        <v>56.62714</v>
      </c>
      <c r="J15" s="193" t="n">
        <v>0</v>
      </c>
      <c r="K15" s="193" t="n">
        <v>0</v>
      </c>
      <c r="L15" s="193" t="n">
        <v>0</v>
      </c>
      <c r="M15" s="193"/>
      <c r="N15" s="193" t="n">
        <v>0</v>
      </c>
      <c r="O15" s="193" t="n">
        <v>1415.6785</v>
      </c>
      <c r="P15" s="193" t="n">
        <v>0</v>
      </c>
      <c r="Q15" s="193" t="n">
        <v>0</v>
      </c>
      <c r="R15" s="190" t="n">
        <v>1952.66</v>
      </c>
      <c r="V15" s="191"/>
      <c r="W15" s="192" t="s">
        <v>464</v>
      </c>
      <c r="X15" s="192" t="s">
        <v>457</v>
      </c>
      <c r="Y15" s="196" t="n">
        <v>68.3431</v>
      </c>
      <c r="Z15" s="194" t="n">
        <v>0</v>
      </c>
      <c r="AA15" s="196" t="n">
        <v>39.0532</v>
      </c>
      <c r="AB15" s="196" t="n">
        <v>429.5852</v>
      </c>
      <c r="AC15" s="194" t="n">
        <v>0</v>
      </c>
      <c r="AD15" s="194" t="n">
        <v>0</v>
      </c>
      <c r="AE15" s="194" t="n">
        <v>0</v>
      </c>
      <c r="AF15" s="194" t="n">
        <v>0</v>
      </c>
      <c r="AG15" s="194"/>
      <c r="AH15" s="194" t="n">
        <v>0</v>
      </c>
      <c r="AI15" s="196" t="n">
        <v>1415.6785</v>
      </c>
      <c r="AJ15" s="194" t="n">
        <v>0</v>
      </c>
      <c r="AK15" s="194" t="n">
        <v>0</v>
      </c>
      <c r="AL15" s="194" t="n">
        <v>0</v>
      </c>
      <c r="AM15" s="196" t="n">
        <v>1952.66</v>
      </c>
      <c r="AN15" s="197" t="s">
        <v>465</v>
      </c>
      <c r="AP15" s="197"/>
      <c r="AQ15" s="192" t="s">
        <v>464</v>
      </c>
      <c r="AR15" s="192" t="s">
        <v>457</v>
      </c>
      <c r="AT15" s="195"/>
      <c r="AV15" s="195"/>
    </row>
    <row r="16" customFormat="false" ht="14.5" hidden="false" customHeight="false" outlineLevel="0" collapsed="false">
      <c r="C16" s="192" t="s">
        <v>466</v>
      </c>
      <c r="D16" s="192" t="s">
        <v>457</v>
      </c>
      <c r="E16" s="193" t="n">
        <v>0</v>
      </c>
      <c r="F16" s="193"/>
      <c r="G16" s="193" t="n">
        <v>0</v>
      </c>
      <c r="H16" s="193" t="n">
        <v>0</v>
      </c>
      <c r="I16" s="193" t="n">
        <v>0</v>
      </c>
      <c r="J16" s="193" t="n">
        <v>0</v>
      </c>
      <c r="K16" s="193" t="n">
        <v>0</v>
      </c>
      <c r="L16" s="193" t="n">
        <v>0</v>
      </c>
      <c r="M16" s="193"/>
      <c r="N16" s="193" t="n">
        <v>0</v>
      </c>
      <c r="O16" s="193" t="n">
        <v>0</v>
      </c>
      <c r="P16" s="193" t="n">
        <v>0</v>
      </c>
      <c r="Q16" s="193" t="n">
        <v>0</v>
      </c>
      <c r="R16" s="190" t="n">
        <v>0</v>
      </c>
      <c r="V16" s="191"/>
      <c r="W16" s="192" t="s">
        <v>466</v>
      </c>
      <c r="X16" s="192" t="s">
        <v>457</v>
      </c>
      <c r="Y16" s="194" t="n">
        <v>0</v>
      </c>
      <c r="Z16" s="194" t="n">
        <v>0</v>
      </c>
      <c r="AA16" s="194" t="n">
        <v>0</v>
      </c>
      <c r="AB16" s="194" t="n">
        <v>0</v>
      </c>
      <c r="AC16" s="194" t="n">
        <v>0</v>
      </c>
      <c r="AD16" s="194" t="n">
        <v>0</v>
      </c>
      <c r="AE16" s="194" t="n">
        <v>0</v>
      </c>
      <c r="AF16" s="194" t="n">
        <v>0</v>
      </c>
      <c r="AG16" s="194"/>
      <c r="AH16" s="194" t="n">
        <v>0</v>
      </c>
      <c r="AI16" s="194" t="n">
        <v>0</v>
      </c>
      <c r="AJ16" s="194" t="n">
        <v>0</v>
      </c>
      <c r="AK16" s="194" t="n">
        <v>0</v>
      </c>
      <c r="AL16" s="194" t="n">
        <v>0</v>
      </c>
      <c r="AM16" s="194" t="n">
        <v>0</v>
      </c>
      <c r="AQ16" s="192" t="s">
        <v>466</v>
      </c>
      <c r="AR16" s="192" t="s">
        <v>457</v>
      </c>
      <c r="AT16" s="195"/>
      <c r="AV16" s="195"/>
    </row>
    <row r="17" customFormat="false" ht="14.5" hidden="false" customHeight="false" outlineLevel="0" collapsed="false">
      <c r="C17" s="192"/>
      <c r="D17" s="192"/>
      <c r="E17" s="193"/>
      <c r="F17" s="193"/>
      <c r="G17" s="193"/>
      <c r="H17" s="193"/>
      <c r="I17" s="193"/>
      <c r="J17" s="193"/>
      <c r="K17" s="193"/>
      <c r="L17" s="193"/>
      <c r="M17" s="193"/>
      <c r="N17" s="193"/>
      <c r="O17" s="193"/>
      <c r="P17" s="193"/>
      <c r="Q17" s="193"/>
      <c r="R17" s="190"/>
      <c r="V17" s="191"/>
      <c r="W17" s="198" t="s">
        <v>467</v>
      </c>
      <c r="X17" s="192" t="s">
        <v>457</v>
      </c>
      <c r="Y17" s="196" t="n">
        <v>1087.6789</v>
      </c>
      <c r="Z17" s="194" t="n">
        <v>631.509</v>
      </c>
      <c r="AA17" s="196" t="n">
        <v>221.4588</v>
      </c>
      <c r="AB17" s="196" t="n">
        <v>6065.7698</v>
      </c>
      <c r="AC17" s="193" t="n">
        <v>5.815</v>
      </c>
      <c r="AD17" s="194" t="n">
        <v>0</v>
      </c>
      <c r="AE17" s="194"/>
      <c r="AF17" s="194"/>
      <c r="AG17" s="194"/>
      <c r="AH17" s="194"/>
      <c r="AI17" s="196" t="n">
        <v>11347.0835</v>
      </c>
      <c r="AJ17" s="194" t="n">
        <v>0</v>
      </c>
      <c r="AK17" s="194" t="n">
        <v>117.463</v>
      </c>
      <c r="AL17" s="194" t="n">
        <v>0</v>
      </c>
      <c r="AM17" s="196" t="n">
        <v>19476.778</v>
      </c>
      <c r="AN17" s="1" t="s">
        <v>468</v>
      </c>
      <c r="AO17" s="195"/>
      <c r="AP17" s="1" t="s">
        <v>463</v>
      </c>
      <c r="AQ17" s="198" t="s">
        <v>467</v>
      </c>
      <c r="AR17" s="192" t="s">
        <v>457</v>
      </c>
      <c r="AT17" s="195"/>
      <c r="AV17" s="195"/>
    </row>
    <row r="18" customFormat="false" ht="14.5" hidden="false" customHeight="false" outlineLevel="0" collapsed="false">
      <c r="C18" s="192" t="s">
        <v>469</v>
      </c>
      <c r="D18" s="192" t="s">
        <v>457</v>
      </c>
      <c r="E18" s="193" t="n">
        <v>25.056</v>
      </c>
      <c r="F18" s="193"/>
      <c r="G18" s="193" t="n">
        <v>175.392</v>
      </c>
      <c r="H18" s="193" t="n">
        <v>1566</v>
      </c>
      <c r="I18" s="193" t="n">
        <v>0</v>
      </c>
      <c r="J18" s="193" t="n">
        <v>0</v>
      </c>
      <c r="K18" s="193" t="n">
        <v>0</v>
      </c>
      <c r="L18" s="193" t="n">
        <v>0</v>
      </c>
      <c r="M18" s="193"/>
      <c r="N18" s="193" t="n">
        <v>0</v>
      </c>
      <c r="O18" s="193" t="n">
        <v>4447.44</v>
      </c>
      <c r="P18" s="193" t="n">
        <v>50.112</v>
      </c>
      <c r="Q18" s="193" t="n">
        <v>0</v>
      </c>
      <c r="R18" s="190" t="n">
        <v>6264</v>
      </c>
      <c r="V18" s="191"/>
      <c r="W18" s="192" t="s">
        <v>469</v>
      </c>
      <c r="X18" s="192" t="s">
        <v>457</v>
      </c>
      <c r="Y18" s="194" t="n">
        <v>25.056</v>
      </c>
      <c r="Z18" s="194" t="n">
        <v>0</v>
      </c>
      <c r="AA18" s="196" t="n">
        <v>175.392</v>
      </c>
      <c r="AB18" s="194" t="n">
        <v>1566</v>
      </c>
      <c r="AC18" s="194" t="n">
        <v>0</v>
      </c>
      <c r="AD18" s="194" t="n">
        <v>0</v>
      </c>
      <c r="AE18" s="194" t="n">
        <v>0</v>
      </c>
      <c r="AF18" s="194" t="n">
        <v>0</v>
      </c>
      <c r="AG18" s="194"/>
      <c r="AH18" s="194" t="n">
        <v>0</v>
      </c>
      <c r="AI18" s="194" t="n">
        <v>4447.44</v>
      </c>
      <c r="AJ18" s="194" t="n">
        <v>0</v>
      </c>
      <c r="AK18" s="194" t="n">
        <v>0</v>
      </c>
      <c r="AL18" s="194" t="n">
        <v>0</v>
      </c>
      <c r="AM18" s="196" t="n">
        <v>6264</v>
      </c>
      <c r="AN18" s="1" t="s">
        <v>470</v>
      </c>
      <c r="AQ18" s="192" t="s">
        <v>469</v>
      </c>
      <c r="AR18" s="192" t="s">
        <v>457</v>
      </c>
      <c r="AT18" s="195"/>
      <c r="AU18" s="139" t="n">
        <v>55.878</v>
      </c>
      <c r="AV18" s="195" t="n">
        <f aca="false">AU18/AM18</f>
        <v>0.00892049808429119</v>
      </c>
    </row>
    <row r="19" customFormat="false" ht="14.5" hidden="false" customHeight="false" outlineLevel="0" collapsed="false">
      <c r="C19" s="192" t="s">
        <v>471</v>
      </c>
      <c r="D19" s="192" t="s">
        <v>457</v>
      </c>
      <c r="E19" s="193" t="n">
        <v>0</v>
      </c>
      <c r="F19" s="193"/>
      <c r="G19" s="193" t="n">
        <v>0</v>
      </c>
      <c r="H19" s="199" t="n">
        <f aca="false">R19*0.9</f>
        <v>400.95</v>
      </c>
      <c r="I19" s="193" t="n">
        <v>0</v>
      </c>
      <c r="J19" s="193" t="n">
        <v>0</v>
      </c>
      <c r="K19" s="193" t="n">
        <v>0</v>
      </c>
      <c r="L19" s="193" t="n">
        <v>0</v>
      </c>
      <c r="M19" s="193"/>
      <c r="N19" s="193" t="n">
        <v>0</v>
      </c>
      <c r="O19" s="199" t="n">
        <f aca="false">445.5*0.1</f>
        <v>44.55</v>
      </c>
      <c r="P19" s="193" t="n">
        <v>0</v>
      </c>
      <c r="Q19" s="193" t="n">
        <v>0</v>
      </c>
      <c r="R19" s="190" t="n">
        <v>445.5</v>
      </c>
      <c r="V19" s="191"/>
      <c r="W19" s="192" t="s">
        <v>471</v>
      </c>
      <c r="X19" s="192" t="s">
        <v>457</v>
      </c>
      <c r="Y19" s="194" t="n">
        <v>0</v>
      </c>
      <c r="Z19" s="194" t="n">
        <v>0</v>
      </c>
      <c r="AA19" s="196" t="n">
        <v>32.9233333333333</v>
      </c>
      <c r="AB19" s="196" t="n">
        <v>855.742222222222</v>
      </c>
      <c r="AC19" s="194" t="n">
        <v>0</v>
      </c>
      <c r="AD19" s="194" t="n">
        <v>0</v>
      </c>
      <c r="AE19" s="194" t="n">
        <v>0</v>
      </c>
      <c r="AF19" s="194" t="n">
        <v>0</v>
      </c>
      <c r="AG19" s="194"/>
      <c r="AH19" s="194" t="n">
        <v>0</v>
      </c>
      <c r="AI19" s="196" t="n">
        <v>448.63</v>
      </c>
      <c r="AJ19" s="194" t="n">
        <v>0</v>
      </c>
      <c r="AK19" s="194" t="n">
        <v>0</v>
      </c>
      <c r="AL19" s="194" t="n">
        <v>0</v>
      </c>
      <c r="AM19" s="196" t="n">
        <v>1337.29555555556</v>
      </c>
      <c r="AN19" s="197" t="s">
        <v>472</v>
      </c>
      <c r="AQ19" s="192" t="s">
        <v>471</v>
      </c>
      <c r="AR19" s="192" t="s">
        <v>457</v>
      </c>
      <c r="AT19" s="195"/>
      <c r="AV19" s="195"/>
    </row>
    <row r="20" customFormat="false" ht="14.5" hidden="false" customHeight="false" outlineLevel="0" collapsed="false">
      <c r="C20" s="192" t="s">
        <v>473</v>
      </c>
      <c r="D20" s="192" t="s">
        <v>457</v>
      </c>
      <c r="E20" s="193" t="n">
        <v>1.163</v>
      </c>
      <c r="F20" s="193"/>
      <c r="G20" s="193" t="n">
        <v>888.753</v>
      </c>
      <c r="H20" s="193" t="n">
        <v>1237.993</v>
      </c>
      <c r="I20" s="193" t="n">
        <v>1.163</v>
      </c>
      <c r="J20" s="193" t="n">
        <v>0</v>
      </c>
      <c r="K20" s="193" t="n">
        <v>0</v>
      </c>
      <c r="L20" s="193" t="n">
        <v>0</v>
      </c>
      <c r="M20" s="193"/>
      <c r="N20" s="193" t="n">
        <v>0</v>
      </c>
      <c r="O20" s="193" t="n">
        <v>3198.051</v>
      </c>
      <c r="P20" s="193" t="n">
        <v>-50.112</v>
      </c>
      <c r="Q20" s="193" t="n">
        <v>0</v>
      </c>
      <c r="R20" s="190" t="n">
        <v>5277.011</v>
      </c>
      <c r="V20" s="191"/>
      <c r="W20" s="192" t="s">
        <v>473</v>
      </c>
      <c r="X20" s="192" t="s">
        <v>457</v>
      </c>
      <c r="Y20" s="194" t="n">
        <v>1.163</v>
      </c>
      <c r="Z20" s="194" t="n">
        <v>0</v>
      </c>
      <c r="AA20" s="196" t="n">
        <v>855.829666666667</v>
      </c>
      <c r="AB20" s="196" t="n">
        <v>382.250777777778</v>
      </c>
      <c r="AC20" s="194" t="n">
        <v>1.163</v>
      </c>
      <c r="AD20" s="194" t="n">
        <v>0</v>
      </c>
      <c r="AE20" s="194" t="n">
        <v>0</v>
      </c>
      <c r="AF20" s="194" t="n">
        <v>0</v>
      </c>
      <c r="AG20" s="194"/>
      <c r="AH20" s="194" t="n">
        <v>0</v>
      </c>
      <c r="AI20" s="196" t="n">
        <v>3194.921</v>
      </c>
      <c r="AJ20" s="194" t="n">
        <v>0</v>
      </c>
      <c r="AK20" s="194" t="n">
        <v>0</v>
      </c>
      <c r="AL20" s="194" t="n">
        <v>0</v>
      </c>
      <c r="AM20" s="196" t="n">
        <v>4385.21544444444</v>
      </c>
      <c r="AN20" s="1" t="s">
        <v>468</v>
      </c>
      <c r="AO20" s="195"/>
      <c r="AQ20" s="192" t="s">
        <v>473</v>
      </c>
      <c r="AR20" s="192" t="s">
        <v>457</v>
      </c>
      <c r="AS20" s="1" t="n">
        <v>86.5</v>
      </c>
      <c r="AT20" s="195" t="n">
        <f aca="false">AS20/AM20</f>
        <v>0.0197253706450353</v>
      </c>
      <c r="AU20" s="139" t="n">
        <v>82.619</v>
      </c>
      <c r="AV20" s="195" t="n">
        <f aca="false">AU20/AM20</f>
        <v>0.0188403514141292</v>
      </c>
    </row>
    <row r="21" customFormat="false" ht="14.5" hidden="false" customHeight="false" outlineLevel="0" collapsed="false">
      <c r="C21" s="189" t="s">
        <v>25</v>
      </c>
      <c r="D21" s="189"/>
      <c r="E21" s="190" t="n">
        <v>3728.86875</v>
      </c>
      <c r="F21" s="190"/>
      <c r="G21" s="190" t="n">
        <v>4401.59447</v>
      </c>
      <c r="H21" s="190" t="n">
        <v>35658.52203</v>
      </c>
      <c r="I21" s="190" t="n">
        <v>1080.47352000001</v>
      </c>
      <c r="J21" s="190" t="n">
        <v>0</v>
      </c>
      <c r="K21" s="190" t="n">
        <v>0</v>
      </c>
      <c r="L21" s="190" t="n">
        <v>0</v>
      </c>
      <c r="M21" s="190"/>
      <c r="N21" s="190" t="n">
        <v>0</v>
      </c>
      <c r="O21" s="190" t="n">
        <v>19634.21957</v>
      </c>
      <c r="P21" s="190" t="n">
        <v>11362.64956</v>
      </c>
      <c r="Q21" s="190" t="n">
        <v>0</v>
      </c>
      <c r="R21" s="190" t="n">
        <v>75866.3279</v>
      </c>
      <c r="V21" s="191"/>
      <c r="W21" s="189" t="s">
        <v>25</v>
      </c>
      <c r="X21" s="189"/>
      <c r="Y21" s="190" t="n">
        <v>3659.961</v>
      </c>
      <c r="Z21" s="190" t="n">
        <v>68.90775</v>
      </c>
      <c r="AA21" s="190" t="n">
        <v>4401.59447</v>
      </c>
      <c r="AB21" s="190" t="n">
        <v>35658.52203</v>
      </c>
      <c r="AC21" s="190" t="n">
        <v>1080.47352000001</v>
      </c>
      <c r="AD21" s="190" t="n">
        <v>0</v>
      </c>
      <c r="AE21" s="190" t="n">
        <v>0</v>
      </c>
      <c r="AF21" s="190" t="n">
        <v>0</v>
      </c>
      <c r="AG21" s="190"/>
      <c r="AH21" s="190" t="n">
        <v>0</v>
      </c>
      <c r="AI21" s="190" t="n">
        <v>19634.21957</v>
      </c>
      <c r="AJ21" s="190" t="n">
        <v>0</v>
      </c>
      <c r="AK21" s="190" t="n">
        <v>11362.64956</v>
      </c>
      <c r="AL21" s="190" t="n">
        <v>0</v>
      </c>
      <c r="AM21" s="190" t="n">
        <v>75866.3279</v>
      </c>
      <c r="AN21" s="1" t="s">
        <v>474</v>
      </c>
      <c r="AQ21" s="189" t="s">
        <v>25</v>
      </c>
      <c r="AR21" s="189"/>
      <c r="AT21" s="195"/>
      <c r="AV21" s="195"/>
    </row>
    <row r="22" customFormat="false" ht="14.5" hidden="false" customHeight="false" outlineLevel="0" collapsed="false">
      <c r="C22" s="192" t="s">
        <v>475</v>
      </c>
      <c r="D22" s="192" t="s">
        <v>457</v>
      </c>
      <c r="E22" s="193" t="n">
        <v>0</v>
      </c>
      <c r="F22" s="193"/>
      <c r="G22" s="193" t="n">
        <v>26.8794923344233</v>
      </c>
      <c r="H22" s="193" t="n">
        <v>4999.58557420273</v>
      </c>
      <c r="I22" s="193" t="n">
        <v>26.8794923344233</v>
      </c>
      <c r="J22" s="193" t="n">
        <v>0</v>
      </c>
      <c r="K22" s="193" t="n">
        <v>0</v>
      </c>
      <c r="L22" s="193" t="n">
        <v>0</v>
      </c>
      <c r="M22" s="193"/>
      <c r="N22" s="193" t="n">
        <v>0</v>
      </c>
      <c r="O22" s="193" t="n">
        <v>322.553908013079</v>
      </c>
      <c r="P22" s="193" t="n">
        <v>0</v>
      </c>
      <c r="Q22" s="193" t="n">
        <v>0</v>
      </c>
      <c r="R22" s="190" t="n">
        <v>5375.89846688465</v>
      </c>
      <c r="V22" s="191"/>
      <c r="W22" s="192" t="s">
        <v>475</v>
      </c>
      <c r="X22" s="192" t="s">
        <v>457</v>
      </c>
      <c r="Y22" s="193" t="n">
        <v>0</v>
      </c>
      <c r="Z22" s="193" t="n">
        <v>0</v>
      </c>
      <c r="AA22" s="193" t="n">
        <v>26.8794923344233</v>
      </c>
      <c r="AB22" s="193" t="n">
        <v>4999.58557420273</v>
      </c>
      <c r="AC22" s="193" t="n">
        <v>26.8794923344233</v>
      </c>
      <c r="AD22" s="193" t="n">
        <v>0</v>
      </c>
      <c r="AE22" s="193" t="n">
        <v>0</v>
      </c>
      <c r="AF22" s="193" t="n">
        <v>0</v>
      </c>
      <c r="AG22" s="193"/>
      <c r="AH22" s="193" t="n">
        <v>0</v>
      </c>
      <c r="AI22" s="193" t="n">
        <v>322.553908013079</v>
      </c>
      <c r="AJ22" s="193" t="n">
        <v>0</v>
      </c>
      <c r="AK22" s="193" t="n">
        <v>0</v>
      </c>
      <c r="AL22" s="193" t="n">
        <v>0</v>
      </c>
      <c r="AM22" s="193" t="n">
        <v>5375.89846688465</v>
      </c>
      <c r="AN22" s="1" t="s">
        <v>470</v>
      </c>
      <c r="AQ22" s="192" t="s">
        <v>475</v>
      </c>
      <c r="AR22" s="192" t="s">
        <v>457</v>
      </c>
      <c r="AT22" s="195"/>
      <c r="AV22" s="195"/>
    </row>
    <row r="23" customFormat="false" ht="14.5" hidden="false" customHeight="false" outlineLevel="0" collapsed="false">
      <c r="C23" s="192" t="s">
        <v>476</v>
      </c>
      <c r="D23" s="192" t="s">
        <v>457</v>
      </c>
      <c r="E23" s="193" t="n">
        <v>0</v>
      </c>
      <c r="F23" s="193"/>
      <c r="G23" s="193" t="n">
        <v>1703.66737081149</v>
      </c>
      <c r="H23" s="193" t="n">
        <v>12328.079291392</v>
      </c>
      <c r="I23" s="193" t="n">
        <v>757.425897617495</v>
      </c>
      <c r="J23" s="193" t="n">
        <v>0</v>
      </c>
      <c r="K23" s="193" t="n">
        <v>0</v>
      </c>
      <c r="L23" s="193" t="n">
        <v>0</v>
      </c>
      <c r="M23" s="193"/>
      <c r="N23" s="193" t="n">
        <v>0</v>
      </c>
      <c r="O23" s="193" t="n">
        <v>5680.69423213121</v>
      </c>
      <c r="P23" s="193" t="n">
        <v>4436.35168604533</v>
      </c>
      <c r="Q23" s="193" t="n">
        <v>0</v>
      </c>
      <c r="R23" s="190" t="n">
        <v>24906.2184779975</v>
      </c>
      <c r="V23" s="191"/>
      <c r="W23" s="192" t="s">
        <v>476</v>
      </c>
      <c r="X23" s="192" t="s">
        <v>457</v>
      </c>
      <c r="Y23" s="194" t="n">
        <v>0</v>
      </c>
      <c r="Z23" s="194" t="n">
        <v>0</v>
      </c>
      <c r="AA23" s="194" t="n">
        <v>1618.41363305613</v>
      </c>
      <c r="AB23" s="194" t="n">
        <v>29131.4453950104</v>
      </c>
      <c r="AC23" s="194" t="n">
        <v>588.632744282744</v>
      </c>
      <c r="AD23" s="194" t="n">
        <v>0</v>
      </c>
      <c r="AE23" s="194" t="n">
        <v>0</v>
      </c>
      <c r="AF23" s="194" t="n">
        <v>0</v>
      </c>
      <c r="AG23" s="194"/>
      <c r="AH23" s="194" t="n">
        <v>0</v>
      </c>
      <c r="AI23" s="194" t="n">
        <v>7108.8951993952</v>
      </c>
      <c r="AJ23" s="194" t="n">
        <v>0</v>
      </c>
      <c r="AK23" s="194" t="n">
        <v>5861.89587034587</v>
      </c>
      <c r="AL23" s="194" t="n">
        <v>0</v>
      </c>
      <c r="AM23" s="194" t="n">
        <v>44309.2828420904</v>
      </c>
      <c r="AN23" s="1" t="s">
        <v>477</v>
      </c>
      <c r="AO23" s="195"/>
      <c r="AP23" s="1" t="s">
        <v>478</v>
      </c>
      <c r="AQ23" s="192" t="s">
        <v>476</v>
      </c>
      <c r="AR23" s="192" t="s">
        <v>457</v>
      </c>
      <c r="AS23" s="1" t="n">
        <v>292.6</v>
      </c>
      <c r="AT23" s="195" t="n">
        <f aca="false">AS23/AM23</f>
        <v>0.00660358239249255</v>
      </c>
      <c r="AU23" s="139" t="n">
        <v>287.289</v>
      </c>
      <c r="AV23" s="195" t="n">
        <f aca="false">AU23/AM23</f>
        <v>0.00648372037579218</v>
      </c>
    </row>
    <row r="24" customFormat="false" ht="14.5" hidden="false" customHeight="false" outlineLevel="0" collapsed="false">
      <c r="C24" s="192" t="s">
        <v>479</v>
      </c>
      <c r="D24" s="192" t="s">
        <v>457</v>
      </c>
      <c r="E24" s="193" t="n">
        <v>3728.86875</v>
      </c>
      <c r="F24" s="193"/>
      <c r="G24" s="193" t="n">
        <v>2671.04760685409</v>
      </c>
      <c r="H24" s="193" t="n">
        <v>18330.8571644053</v>
      </c>
      <c r="I24" s="193" t="n">
        <v>296.168130048088</v>
      </c>
      <c r="J24" s="193" t="n">
        <v>0</v>
      </c>
      <c r="K24" s="193" t="n">
        <v>0</v>
      </c>
      <c r="L24" s="193" t="n">
        <v>0</v>
      </c>
      <c r="M24" s="193"/>
      <c r="N24" s="193" t="n">
        <v>0</v>
      </c>
      <c r="O24" s="193" t="n">
        <v>13630.9714298557</v>
      </c>
      <c r="P24" s="193" t="n">
        <v>6926.29787395467</v>
      </c>
      <c r="Q24" s="193" t="n">
        <v>0</v>
      </c>
      <c r="R24" s="190" t="n">
        <v>45584.2109551179</v>
      </c>
      <c r="V24" s="191"/>
      <c r="W24" s="192" t="s">
        <v>479</v>
      </c>
      <c r="X24" s="192" t="s">
        <v>457</v>
      </c>
      <c r="Y24" s="193" t="n">
        <v>3659.961</v>
      </c>
      <c r="Z24" s="193" t="n">
        <v>68.90775</v>
      </c>
      <c r="AA24" s="193" t="n">
        <v>2756.30134460944</v>
      </c>
      <c r="AB24" s="193" t="n">
        <v>1527.49106078688</v>
      </c>
      <c r="AC24" s="193" t="n">
        <v>464.961283382838</v>
      </c>
      <c r="AD24" s="193" t="n">
        <v>0</v>
      </c>
      <c r="AE24" s="193" t="n">
        <v>0</v>
      </c>
      <c r="AF24" s="193" t="n">
        <v>0</v>
      </c>
      <c r="AG24" s="193"/>
      <c r="AH24" s="193" t="n">
        <v>0</v>
      </c>
      <c r="AI24" s="193" t="n">
        <v>12202.7704625917</v>
      </c>
      <c r="AJ24" s="193" t="n">
        <v>0</v>
      </c>
      <c r="AK24" s="193" t="n">
        <v>5500.75368965413</v>
      </c>
      <c r="AL24" s="193" t="n">
        <v>0</v>
      </c>
      <c r="AM24" s="193" t="n">
        <v>26181.146591025</v>
      </c>
      <c r="AN24" s="1" t="s">
        <v>468</v>
      </c>
      <c r="AO24" s="200"/>
      <c r="AQ24" s="192" t="s">
        <v>479</v>
      </c>
      <c r="AR24" s="192" t="s">
        <v>457</v>
      </c>
      <c r="AS24" s="1" t="n">
        <v>932.6</v>
      </c>
      <c r="AT24" s="195" t="n">
        <f aca="false">AS24/AM24</f>
        <v>0.0356210526058358</v>
      </c>
      <c r="AU24" s="139" t="n">
        <v>1014.828</v>
      </c>
      <c r="AV24" s="195" t="n">
        <f aca="false">AU24/AM24</f>
        <v>0.0387617859466814</v>
      </c>
    </row>
    <row r="25" customFormat="false" ht="14.5" hidden="false" customHeight="false" outlineLevel="0" collapsed="false">
      <c r="C25" s="189" t="s">
        <v>480</v>
      </c>
      <c r="D25" s="189"/>
      <c r="E25" s="190" t="n">
        <v>2938.901</v>
      </c>
      <c r="F25" s="190"/>
      <c r="G25" s="190" t="n">
        <v>6832.625</v>
      </c>
      <c r="H25" s="190" t="n">
        <v>19326.734</v>
      </c>
      <c r="I25" s="190" t="n">
        <v>5982.472</v>
      </c>
      <c r="J25" s="190" t="n">
        <v>0</v>
      </c>
      <c r="K25" s="190" t="n">
        <v>0</v>
      </c>
      <c r="L25" s="190" t="n">
        <v>0</v>
      </c>
      <c r="M25" s="190"/>
      <c r="N25" s="190" t="n">
        <v>0</v>
      </c>
      <c r="O25" s="190" t="n">
        <v>8314.287</v>
      </c>
      <c r="P25" s="190" t="n">
        <v>0</v>
      </c>
      <c r="Q25" s="190" t="n">
        <v>0</v>
      </c>
      <c r="R25" s="190" t="n">
        <v>43395.019</v>
      </c>
      <c r="V25" s="191"/>
      <c r="W25" s="189" t="s">
        <v>480</v>
      </c>
      <c r="X25" s="189"/>
      <c r="Y25" s="190" t="n">
        <v>2556.274</v>
      </c>
      <c r="Z25" s="190" t="n">
        <v>382.627</v>
      </c>
      <c r="AA25" s="190" t="n">
        <v>6832.625</v>
      </c>
      <c r="AB25" s="190" t="n">
        <v>19326.734</v>
      </c>
      <c r="AC25" s="190" t="n">
        <v>2679.03245335712</v>
      </c>
      <c r="AD25" s="190" t="n">
        <v>3417.3512551478</v>
      </c>
      <c r="AE25" s="190" t="n">
        <v>0</v>
      </c>
      <c r="AF25" s="190" t="n">
        <v>0</v>
      </c>
      <c r="AG25" s="190"/>
      <c r="AH25" s="190" t="n">
        <v>0</v>
      </c>
      <c r="AI25" s="190" t="n">
        <v>8314.287</v>
      </c>
      <c r="AJ25" s="190" t="n">
        <v>0</v>
      </c>
      <c r="AK25" s="190" t="n">
        <v>0</v>
      </c>
      <c r="AL25" s="190" t="n">
        <v>0</v>
      </c>
      <c r="AM25" s="190" t="n">
        <f aca="false">SUM(AM26:AM28)</f>
        <v>43508.9307085049</v>
      </c>
      <c r="AN25" s="1" t="s">
        <v>474</v>
      </c>
      <c r="AQ25" s="189" t="s">
        <v>480</v>
      </c>
      <c r="AR25" s="189"/>
      <c r="AT25" s="195"/>
      <c r="AV25" s="195"/>
    </row>
    <row r="26" customFormat="false" ht="14.5" hidden="false" customHeight="false" outlineLevel="0" collapsed="false">
      <c r="C26" s="192" t="s">
        <v>481</v>
      </c>
      <c r="D26" s="192" t="s">
        <v>457</v>
      </c>
      <c r="E26" s="193" t="n">
        <v>1876.1928459635</v>
      </c>
      <c r="F26" s="193"/>
      <c r="G26" s="193" t="n">
        <v>5159.53032639962</v>
      </c>
      <c r="H26" s="193" t="n">
        <v>268.027549423357</v>
      </c>
      <c r="I26" s="193" t="n">
        <v>5695.58542524634</v>
      </c>
      <c r="J26" s="193" t="n">
        <v>0</v>
      </c>
      <c r="K26" s="193" t="n">
        <v>0</v>
      </c>
      <c r="L26" s="193" t="n">
        <v>0</v>
      </c>
      <c r="M26" s="193"/>
      <c r="N26" s="193" t="n">
        <v>0</v>
      </c>
      <c r="O26" s="193" t="n">
        <v>402.041324135036</v>
      </c>
      <c r="P26" s="193" t="n">
        <v>0</v>
      </c>
      <c r="Q26" s="193" t="n">
        <v>0</v>
      </c>
      <c r="R26" s="190" t="n">
        <v>13401.3774711679</v>
      </c>
      <c r="V26" s="191"/>
      <c r="W26" s="192" t="s">
        <v>481</v>
      </c>
      <c r="X26" s="192" t="s">
        <v>457</v>
      </c>
      <c r="Y26" s="193" t="n">
        <v>1876.1928459635</v>
      </c>
      <c r="Z26" s="193" t="n">
        <v>0</v>
      </c>
      <c r="AA26" s="193" t="n">
        <v>5159.53032639962</v>
      </c>
      <c r="AB26" s="193" t="n">
        <v>268.027549423357</v>
      </c>
      <c r="AC26" s="193" t="n">
        <v>2278.23417009853</v>
      </c>
      <c r="AD26" s="193" t="n">
        <v>3417.3512551478</v>
      </c>
      <c r="AE26" s="193" t="n">
        <v>0</v>
      </c>
      <c r="AF26" s="193" t="n">
        <v>0</v>
      </c>
      <c r="AG26" s="193"/>
      <c r="AH26" s="193" t="n">
        <v>0</v>
      </c>
      <c r="AI26" s="193" t="n">
        <v>1871.78317585055</v>
      </c>
      <c r="AJ26" s="193" t="n">
        <v>0</v>
      </c>
      <c r="AK26" s="193" t="n">
        <v>0</v>
      </c>
      <c r="AL26" s="193" t="n">
        <v>0</v>
      </c>
      <c r="AM26" s="193" t="n">
        <f aca="false">SUM(Y26:AL26)</f>
        <v>14871.1193228834</v>
      </c>
      <c r="AN26" s="1" t="s">
        <v>474</v>
      </c>
      <c r="AQ26" s="192" t="s">
        <v>481</v>
      </c>
      <c r="AR26" s="192" t="s">
        <v>457</v>
      </c>
      <c r="AT26" s="195"/>
      <c r="AU26" s="139" t="n">
        <v>995.967</v>
      </c>
      <c r="AV26" s="195" t="n">
        <f aca="false">AU26/AM26</f>
        <v>0.0669732370762049</v>
      </c>
    </row>
    <row r="27" customFormat="false" ht="14.5" hidden="false" customHeight="false" outlineLevel="0" collapsed="false">
      <c r="C27" s="192" t="s">
        <v>482</v>
      </c>
      <c r="D27" s="192" t="s">
        <v>457</v>
      </c>
      <c r="E27" s="193" t="n">
        <v>0</v>
      </c>
      <c r="F27" s="193"/>
      <c r="G27" s="193" t="n">
        <v>1376.6639035452</v>
      </c>
      <c r="H27" s="193" t="n">
        <v>10248.4979486143</v>
      </c>
      <c r="I27" s="193" t="n">
        <v>0</v>
      </c>
      <c r="J27" s="193" t="n">
        <v>0</v>
      </c>
      <c r="K27" s="193" t="n">
        <v>0</v>
      </c>
      <c r="L27" s="193" t="n">
        <v>0</v>
      </c>
      <c r="M27" s="193"/>
      <c r="N27" s="193" t="n">
        <v>0</v>
      </c>
      <c r="O27" s="193" t="n">
        <v>3671.1037427872</v>
      </c>
      <c r="P27" s="193" t="n">
        <v>0</v>
      </c>
      <c r="Q27" s="193" t="n">
        <v>0</v>
      </c>
      <c r="R27" s="190" t="n">
        <v>15296.2655949467</v>
      </c>
      <c r="V27" s="191"/>
      <c r="W27" s="192" t="s">
        <v>482</v>
      </c>
      <c r="X27" s="192" t="s">
        <v>457</v>
      </c>
      <c r="Y27" s="193" t="n">
        <v>0</v>
      </c>
      <c r="Z27" s="193" t="n">
        <v>0</v>
      </c>
      <c r="AA27" s="193" t="n">
        <v>1376.6639035452</v>
      </c>
      <c r="AB27" s="193" t="n">
        <v>10248.4979486143</v>
      </c>
      <c r="AC27" s="193" t="n">
        <v>0</v>
      </c>
      <c r="AD27" s="193" t="n">
        <v>0</v>
      </c>
      <c r="AE27" s="193" t="n">
        <v>0</v>
      </c>
      <c r="AF27" s="193" t="n">
        <v>0</v>
      </c>
      <c r="AG27" s="193"/>
      <c r="AH27" s="193" t="n">
        <v>0</v>
      </c>
      <c r="AI27" s="193" t="n">
        <v>3671.1037427872</v>
      </c>
      <c r="AJ27" s="193" t="n">
        <v>0</v>
      </c>
      <c r="AK27" s="193" t="n">
        <v>0</v>
      </c>
      <c r="AL27" s="193" t="n">
        <v>0</v>
      </c>
      <c r="AM27" s="193" t="n">
        <f aca="false">SUM(Y27:AL27)</f>
        <v>15296.2655949467</v>
      </c>
      <c r="AN27" s="1" t="s">
        <v>477</v>
      </c>
      <c r="AO27" s="195"/>
      <c r="AQ27" s="192" t="s">
        <v>482</v>
      </c>
      <c r="AR27" s="192" t="s">
        <v>457</v>
      </c>
      <c r="AS27" s="1" t="n">
        <v>65</v>
      </c>
      <c r="AT27" s="195" t="n">
        <f aca="false">AS27/AM27</f>
        <v>0.00424940320214325</v>
      </c>
      <c r="AU27" s="139" t="n">
        <v>222.067</v>
      </c>
      <c r="AV27" s="195" t="n">
        <f aca="false">AU27/AM27</f>
        <v>0.0145177264752361</v>
      </c>
    </row>
    <row r="28" customFormat="false" ht="14.5" hidden="false" customHeight="false" outlineLevel="0" collapsed="false">
      <c r="C28" s="192" t="s">
        <v>483</v>
      </c>
      <c r="D28" s="192" t="s">
        <v>457</v>
      </c>
      <c r="E28" s="193" t="n">
        <v>1062.7081540365</v>
      </c>
      <c r="F28" s="193"/>
      <c r="G28" s="193" t="n">
        <v>296.430770055176</v>
      </c>
      <c r="H28" s="193" t="n">
        <v>8810.20850196236</v>
      </c>
      <c r="I28" s="193" t="n">
        <v>286.886574753663</v>
      </c>
      <c r="J28" s="193" t="n">
        <v>0</v>
      </c>
      <c r="K28" s="193" t="n">
        <v>0</v>
      </c>
      <c r="L28" s="193" t="n">
        <v>0</v>
      </c>
      <c r="M28" s="193"/>
      <c r="N28" s="193" t="n">
        <v>0</v>
      </c>
      <c r="O28" s="193" t="n">
        <v>4241.14193307776</v>
      </c>
      <c r="P28" s="193" t="n">
        <v>0</v>
      </c>
      <c r="Q28" s="193" t="n">
        <v>0</v>
      </c>
      <c r="R28" s="190" t="n">
        <v>14697.3759338855</v>
      </c>
      <c r="V28" s="191"/>
      <c r="W28" s="192" t="s">
        <v>483</v>
      </c>
      <c r="X28" s="192" t="s">
        <v>457</v>
      </c>
      <c r="Y28" s="193" t="n">
        <v>680.081154036501</v>
      </c>
      <c r="Z28" s="193" t="n">
        <v>382.627</v>
      </c>
      <c r="AA28" s="193" t="n">
        <v>296.430770055176</v>
      </c>
      <c r="AB28" s="193" t="n">
        <v>8810.20850196236</v>
      </c>
      <c r="AC28" s="193" t="n">
        <v>400.79828325859</v>
      </c>
      <c r="AD28" s="193" t="n">
        <v>0</v>
      </c>
      <c r="AE28" s="193" t="n">
        <v>0</v>
      </c>
      <c r="AF28" s="193" t="n">
        <v>0</v>
      </c>
      <c r="AG28" s="193"/>
      <c r="AH28" s="193" t="n">
        <v>0</v>
      </c>
      <c r="AI28" s="193" t="n">
        <v>2771.40008136225</v>
      </c>
      <c r="AJ28" s="193" t="n">
        <v>0</v>
      </c>
      <c r="AK28" s="193" t="n">
        <v>0</v>
      </c>
      <c r="AL28" s="193" t="n">
        <v>0</v>
      </c>
      <c r="AM28" s="193" t="n">
        <f aca="false">SUM(Y28:AL28)</f>
        <v>13341.5457906749</v>
      </c>
      <c r="AN28" s="1" t="s">
        <v>468</v>
      </c>
      <c r="AO28" s="200"/>
      <c r="AQ28" s="192" t="s">
        <v>483</v>
      </c>
      <c r="AR28" s="192" t="s">
        <v>457</v>
      </c>
      <c r="AS28" s="1" t="n">
        <v>132</v>
      </c>
      <c r="AT28" s="195" t="n">
        <f aca="false">AS28/AM28</f>
        <v>0.00989390600392511</v>
      </c>
      <c r="AU28" s="139" t="n">
        <v>-64.719</v>
      </c>
      <c r="AV28" s="195" t="n">
        <f aca="false">AU28/AM28</f>
        <v>-0.00485093714142446</v>
      </c>
    </row>
    <row r="29" customFormat="false" ht="14.5" hidden="false" customHeight="false" outlineLevel="0" collapsed="false">
      <c r="C29" s="189" t="s">
        <v>484</v>
      </c>
      <c r="D29" s="189"/>
      <c r="E29" s="190" t="n">
        <v>2301.577</v>
      </c>
      <c r="F29" s="190"/>
      <c r="G29" s="190" t="n">
        <v>2944.716</v>
      </c>
      <c r="H29" s="190" t="n">
        <v>26382.655</v>
      </c>
      <c r="I29" s="190" t="n">
        <v>2189.929</v>
      </c>
      <c r="J29" s="190" t="n">
        <v>0</v>
      </c>
      <c r="K29" s="190" t="n">
        <v>0</v>
      </c>
      <c r="L29" s="190" t="n">
        <v>0</v>
      </c>
      <c r="M29" s="190"/>
      <c r="N29" s="190" t="n">
        <v>0</v>
      </c>
      <c r="O29" s="190" t="n">
        <v>23015.77</v>
      </c>
      <c r="P29" s="190" t="n">
        <v>0</v>
      </c>
      <c r="Q29" s="190" t="n">
        <v>0</v>
      </c>
      <c r="R29" s="190" t="n">
        <v>56834.647</v>
      </c>
      <c r="V29" s="191"/>
      <c r="W29" s="189" t="s">
        <v>484</v>
      </c>
      <c r="X29" s="189"/>
      <c r="Y29" s="190" t="n">
        <v>2130.616</v>
      </c>
      <c r="Z29" s="190" t="n">
        <v>170.961</v>
      </c>
      <c r="AA29" s="190" t="n">
        <v>2944.716</v>
      </c>
      <c r="AB29" s="190" t="n">
        <v>26382.655</v>
      </c>
      <c r="AC29" s="190" t="n">
        <v>2189.929</v>
      </c>
      <c r="AD29" s="190" t="n">
        <v>0</v>
      </c>
      <c r="AE29" s="190" t="n">
        <v>0</v>
      </c>
      <c r="AF29" s="190" t="n">
        <v>0</v>
      </c>
      <c r="AG29" s="190"/>
      <c r="AH29" s="190" t="n">
        <v>0</v>
      </c>
      <c r="AI29" s="190" t="n">
        <v>23015.77</v>
      </c>
      <c r="AJ29" s="190" t="n">
        <v>0</v>
      </c>
      <c r="AK29" s="190" t="n">
        <v>2752.091</v>
      </c>
      <c r="AL29" s="190" t="n">
        <v>0</v>
      </c>
      <c r="AM29" s="190" t="n">
        <v>59586.738</v>
      </c>
      <c r="AN29" s="1" t="s">
        <v>474</v>
      </c>
      <c r="AQ29" s="189" t="s">
        <v>484</v>
      </c>
      <c r="AR29" s="189"/>
      <c r="AT29" s="195"/>
      <c r="AV29" s="195"/>
    </row>
    <row r="30" customFormat="false" ht="14.5" hidden="false" customHeight="false" outlineLevel="0" collapsed="false">
      <c r="C30" s="192" t="s">
        <v>485</v>
      </c>
      <c r="D30" s="192" t="s">
        <v>457</v>
      </c>
      <c r="E30" s="193" t="n">
        <v>1906.6484838</v>
      </c>
      <c r="F30" s="193"/>
      <c r="G30" s="193" t="n">
        <v>922.571847</v>
      </c>
      <c r="H30" s="193" t="n">
        <v>6868.034861</v>
      </c>
      <c r="I30" s="193" t="n">
        <v>41.0031932</v>
      </c>
      <c r="J30" s="193" t="n">
        <v>0</v>
      </c>
      <c r="K30" s="193" t="n">
        <v>0</v>
      </c>
      <c r="L30" s="193" t="n">
        <v>0</v>
      </c>
      <c r="M30" s="193"/>
      <c r="N30" s="193" t="n">
        <v>0</v>
      </c>
      <c r="O30" s="193" t="n">
        <v>512.539915</v>
      </c>
      <c r="P30" s="193" t="n">
        <v>0</v>
      </c>
      <c r="Q30" s="193" t="n">
        <v>0</v>
      </c>
      <c r="R30" s="190" t="n">
        <v>10250.7983</v>
      </c>
      <c r="V30" s="191"/>
      <c r="W30" s="192" t="s">
        <v>485</v>
      </c>
      <c r="X30" s="192" t="s">
        <v>457</v>
      </c>
      <c r="Y30" s="193" t="n">
        <v>1906.6484838</v>
      </c>
      <c r="Z30" s="193" t="n">
        <v>0</v>
      </c>
      <c r="AA30" s="193" t="n">
        <v>922.571847</v>
      </c>
      <c r="AB30" s="193" t="n">
        <v>6868.034861</v>
      </c>
      <c r="AC30" s="193" t="n">
        <v>41.0031932</v>
      </c>
      <c r="AD30" s="193" t="n">
        <v>0</v>
      </c>
      <c r="AE30" s="193" t="n">
        <v>0</v>
      </c>
      <c r="AF30" s="193" t="n">
        <v>0</v>
      </c>
      <c r="AG30" s="193"/>
      <c r="AH30" s="193" t="n">
        <v>0</v>
      </c>
      <c r="AI30" s="193" t="n">
        <v>512.539915</v>
      </c>
      <c r="AJ30" s="193" t="n">
        <v>0</v>
      </c>
      <c r="AK30" s="193" t="n">
        <v>0</v>
      </c>
      <c r="AL30" s="193" t="n">
        <v>0</v>
      </c>
      <c r="AM30" s="193" t="n">
        <v>10250.7983</v>
      </c>
      <c r="AN30" s="1" t="s">
        <v>477</v>
      </c>
      <c r="AO30" s="195"/>
      <c r="AQ30" s="192" t="s">
        <v>485</v>
      </c>
      <c r="AR30" s="192" t="s">
        <v>457</v>
      </c>
      <c r="AS30" s="1" t="n">
        <v>267.8</v>
      </c>
      <c r="AT30" s="195" t="n">
        <f aca="false">AS30/AM30</f>
        <v>0.026124794592827</v>
      </c>
      <c r="AU30" s="139" t="n">
        <v>356.882</v>
      </c>
      <c r="AV30" s="195" t="n">
        <f aca="false">AU30/AM30</f>
        <v>0.0348150445999898</v>
      </c>
    </row>
    <row r="31" customFormat="false" ht="14.5" hidden="false" customHeight="false" outlineLevel="0" collapsed="false">
      <c r="C31" s="192" t="s">
        <v>486</v>
      </c>
      <c r="D31" s="192" t="s">
        <v>457</v>
      </c>
      <c r="E31" s="193" t="n">
        <v>394.9285162</v>
      </c>
      <c r="F31" s="193"/>
      <c r="G31" s="193" t="n">
        <v>2022.144153</v>
      </c>
      <c r="H31" s="193" t="n">
        <v>19514.620139</v>
      </c>
      <c r="I31" s="193" t="n">
        <v>2148.9258068</v>
      </c>
      <c r="J31" s="193" t="n">
        <v>0</v>
      </c>
      <c r="K31" s="193" t="n">
        <v>0</v>
      </c>
      <c r="L31" s="193" t="n">
        <v>0</v>
      </c>
      <c r="M31" s="193"/>
      <c r="N31" s="193" t="n">
        <v>0</v>
      </c>
      <c r="O31" s="193" t="n">
        <v>22503.230085</v>
      </c>
      <c r="P31" s="193" t="n">
        <v>0</v>
      </c>
      <c r="Q31" s="193" t="n">
        <v>0</v>
      </c>
      <c r="R31" s="190" t="n">
        <v>46583.8487</v>
      </c>
      <c r="V31" s="191"/>
      <c r="W31" s="192" t="s">
        <v>486</v>
      </c>
      <c r="X31" s="192" t="s">
        <v>457</v>
      </c>
      <c r="Y31" s="193" t="n">
        <v>223.9675162</v>
      </c>
      <c r="Z31" s="193" t="n">
        <v>170.961</v>
      </c>
      <c r="AA31" s="193" t="n">
        <v>2022.144153</v>
      </c>
      <c r="AB31" s="193" t="n">
        <v>19514.620139</v>
      </c>
      <c r="AC31" s="193" t="n">
        <v>2148.9258068</v>
      </c>
      <c r="AD31" s="193" t="n">
        <v>0</v>
      </c>
      <c r="AE31" s="193" t="n">
        <v>0</v>
      </c>
      <c r="AF31" s="193" t="n">
        <v>0</v>
      </c>
      <c r="AG31" s="193"/>
      <c r="AH31" s="193" t="n">
        <v>0</v>
      </c>
      <c r="AI31" s="193" t="n">
        <v>22503.230085</v>
      </c>
      <c r="AJ31" s="193" t="n">
        <v>0</v>
      </c>
      <c r="AK31" s="193" t="n">
        <v>2752.091</v>
      </c>
      <c r="AL31" s="193" t="n">
        <v>0</v>
      </c>
      <c r="AM31" s="193" t="n">
        <v>49335.9397</v>
      </c>
      <c r="AN31" s="1" t="s">
        <v>468</v>
      </c>
      <c r="AO31" s="195"/>
      <c r="AQ31" s="192" t="s">
        <v>486</v>
      </c>
      <c r="AR31" s="192" t="s">
        <v>457</v>
      </c>
      <c r="AS31" s="1" t="n">
        <v>49.1</v>
      </c>
      <c r="AT31" s="195" t="n">
        <f aca="false">AS31/AM31</f>
        <v>0.00099521769117129</v>
      </c>
      <c r="AU31" s="139" t="n">
        <v>393.118</v>
      </c>
      <c r="AV31" s="195" t="n">
        <f aca="false">AU31/AM31</f>
        <v>0.00796818713478361</v>
      </c>
    </row>
    <row r="32" customFormat="false" ht="14.5" hidden="false" customHeight="false" outlineLevel="0" collapsed="false">
      <c r="C32" s="189" t="s">
        <v>487</v>
      </c>
      <c r="D32" s="189"/>
      <c r="E32" s="190" t="n">
        <v>319.825</v>
      </c>
      <c r="F32" s="190"/>
      <c r="G32" s="190" t="n">
        <v>1482.825</v>
      </c>
      <c r="H32" s="190" t="n">
        <v>11980.063</v>
      </c>
      <c r="I32" s="190" t="n">
        <v>111.648</v>
      </c>
      <c r="J32" s="190" t="n">
        <v>0</v>
      </c>
      <c r="K32" s="190" t="n">
        <v>0</v>
      </c>
      <c r="L32" s="190" t="n">
        <v>0</v>
      </c>
      <c r="M32" s="190"/>
      <c r="N32" s="190" t="n">
        <v>0</v>
      </c>
      <c r="O32" s="190" t="n">
        <v>18782.45</v>
      </c>
      <c r="P32" s="190" t="n">
        <v>36.053</v>
      </c>
      <c r="Q32" s="190" t="n">
        <v>0</v>
      </c>
      <c r="R32" s="190" t="n">
        <v>32712.864</v>
      </c>
      <c r="V32" s="191"/>
      <c r="W32" s="189" t="s">
        <v>487</v>
      </c>
      <c r="X32" s="189"/>
      <c r="Y32" s="190" t="n">
        <v>15.119</v>
      </c>
      <c r="Z32" s="190" t="n">
        <v>304.706</v>
      </c>
      <c r="AA32" s="190" t="n">
        <v>1482.825</v>
      </c>
      <c r="AB32" s="190" t="n">
        <v>11980.063</v>
      </c>
      <c r="AC32" s="190" t="n">
        <v>111.648</v>
      </c>
      <c r="AD32" s="190" t="n">
        <v>0</v>
      </c>
      <c r="AE32" s="190" t="n">
        <v>0</v>
      </c>
      <c r="AF32" s="190" t="n">
        <v>0</v>
      </c>
      <c r="AG32" s="190"/>
      <c r="AH32" s="190" t="n">
        <v>0</v>
      </c>
      <c r="AI32" s="190" t="n">
        <v>18782.45</v>
      </c>
      <c r="AJ32" s="190" t="n">
        <v>0</v>
      </c>
      <c r="AK32" s="190" t="n">
        <v>36.053</v>
      </c>
      <c r="AL32" s="190" t="n">
        <v>0</v>
      </c>
      <c r="AM32" s="190" t="n">
        <v>32712.864</v>
      </c>
      <c r="AN32" s="1" t="s">
        <v>474</v>
      </c>
      <c r="AO32" s="195"/>
      <c r="AQ32" s="189" t="s">
        <v>487</v>
      </c>
      <c r="AR32" s="189"/>
      <c r="AS32" s="1" t="n">
        <v>22.7</v>
      </c>
      <c r="AT32" s="195" t="n">
        <f aca="false">AS32/AM32</f>
        <v>0.000693916619468109</v>
      </c>
      <c r="AU32" s="139" t="n">
        <v>110.557</v>
      </c>
      <c r="AV32" s="195" t="n">
        <f aca="false">AU32/AM32</f>
        <v>0.00337961848892228</v>
      </c>
    </row>
    <row r="33" customFormat="false" ht="14.5" hidden="false" customHeight="false" outlineLevel="0" collapsed="false">
      <c r="C33" s="189" t="s">
        <v>31</v>
      </c>
      <c r="D33" s="189"/>
      <c r="E33" s="190" t="n">
        <v>0</v>
      </c>
      <c r="F33" s="190"/>
      <c r="G33" s="190" t="n">
        <v>10781.01</v>
      </c>
      <c r="H33" s="190" t="n">
        <v>2224.819</v>
      </c>
      <c r="I33" s="190" t="n">
        <v>666.399</v>
      </c>
      <c r="J33" s="190" t="n">
        <v>0</v>
      </c>
      <c r="K33" s="190" t="n">
        <v>0</v>
      </c>
      <c r="L33" s="190" t="n">
        <v>0</v>
      </c>
      <c r="M33" s="190"/>
      <c r="N33" s="190" t="n">
        <v>0</v>
      </c>
      <c r="O33" s="190" t="n">
        <v>4133.302</v>
      </c>
      <c r="P33" s="190" t="n">
        <v>0</v>
      </c>
      <c r="Q33" s="190" t="n">
        <v>0</v>
      </c>
      <c r="R33" s="190" t="n">
        <v>17805.53</v>
      </c>
      <c r="V33" s="191"/>
      <c r="W33" s="189" t="s">
        <v>31</v>
      </c>
      <c r="X33" s="189"/>
      <c r="Y33" s="190" t="n">
        <v>0</v>
      </c>
      <c r="Z33" s="190" t="n">
        <v>0</v>
      </c>
      <c r="AA33" s="190" t="n">
        <v>10781.01</v>
      </c>
      <c r="AB33" s="190" t="n">
        <v>2224.819</v>
      </c>
      <c r="AC33" s="190" t="n">
        <v>666.399</v>
      </c>
      <c r="AD33" s="190" t="n">
        <v>0</v>
      </c>
      <c r="AE33" s="190" t="n">
        <v>0</v>
      </c>
      <c r="AF33" s="190" t="n">
        <v>0</v>
      </c>
      <c r="AG33" s="190"/>
      <c r="AH33" s="190" t="n">
        <v>0</v>
      </c>
      <c r="AI33" s="190" t="n">
        <v>4133.302</v>
      </c>
      <c r="AJ33" s="190" t="n">
        <v>0</v>
      </c>
      <c r="AK33" s="190" t="n">
        <v>0</v>
      </c>
      <c r="AL33" s="190" t="n">
        <v>0</v>
      </c>
      <c r="AM33" s="190" t="n">
        <v>17805.53</v>
      </c>
      <c r="AN33" s="1" t="s">
        <v>474</v>
      </c>
      <c r="AQ33" s="189" t="s">
        <v>31</v>
      </c>
      <c r="AR33" s="189"/>
      <c r="AT33" s="195"/>
      <c r="AV33" s="195"/>
    </row>
    <row r="34" customFormat="false" ht="14.5" hidden="false" customHeight="false" outlineLevel="0" collapsed="false">
      <c r="C34" s="189" t="s">
        <v>488</v>
      </c>
      <c r="D34" s="189"/>
      <c r="E34" s="190" t="n">
        <v>111.648</v>
      </c>
      <c r="F34" s="190"/>
      <c r="G34" s="190" t="n">
        <v>3732.067</v>
      </c>
      <c r="H34" s="190" t="n">
        <v>16468.61498</v>
      </c>
      <c r="I34" s="190" t="n">
        <v>7392.028</v>
      </c>
      <c r="J34" s="190" t="n">
        <v>0</v>
      </c>
      <c r="K34" s="190" t="n">
        <v>0</v>
      </c>
      <c r="L34" s="190" t="n">
        <v>0</v>
      </c>
      <c r="M34" s="190"/>
      <c r="N34" s="190" t="n">
        <v>0</v>
      </c>
      <c r="O34" s="190" t="n">
        <v>18501.004</v>
      </c>
      <c r="P34" s="190" t="n">
        <v>532.02598</v>
      </c>
      <c r="Q34" s="190" t="n">
        <v>0</v>
      </c>
      <c r="R34" s="190" t="n">
        <v>46737.38796</v>
      </c>
      <c r="V34" s="191"/>
      <c r="W34" s="189" t="s">
        <v>488</v>
      </c>
      <c r="X34" s="189"/>
      <c r="Y34" s="190" t="n">
        <v>111.648</v>
      </c>
      <c r="Z34" s="190" t="n">
        <v>0</v>
      </c>
      <c r="AA34" s="190" t="n">
        <v>3732.067</v>
      </c>
      <c r="AB34" s="190" t="n">
        <v>16468.61498</v>
      </c>
      <c r="AC34" s="190" t="n">
        <v>7392.028</v>
      </c>
      <c r="AD34" s="190" t="n">
        <v>0</v>
      </c>
      <c r="AE34" s="190" t="n">
        <v>0</v>
      </c>
      <c r="AF34" s="190" t="n">
        <v>0</v>
      </c>
      <c r="AG34" s="190"/>
      <c r="AH34" s="190" t="n">
        <v>0</v>
      </c>
      <c r="AI34" s="190" t="n">
        <v>18501.004</v>
      </c>
      <c r="AJ34" s="190" t="n">
        <v>0</v>
      </c>
      <c r="AK34" s="190" t="n">
        <v>3599.46698</v>
      </c>
      <c r="AL34" s="190" t="n">
        <v>0</v>
      </c>
      <c r="AM34" s="190" t="n">
        <v>49804.82896</v>
      </c>
      <c r="AN34" s="1" t="s">
        <v>474</v>
      </c>
      <c r="AQ34" s="189" t="s">
        <v>488</v>
      </c>
      <c r="AR34" s="189"/>
      <c r="AT34" s="195"/>
      <c r="AV34" s="195"/>
    </row>
    <row r="35" customFormat="false" ht="14.5" hidden="false" customHeight="false" outlineLevel="0" collapsed="false">
      <c r="C35" s="192" t="s">
        <v>489</v>
      </c>
      <c r="D35" s="192" t="s">
        <v>457</v>
      </c>
      <c r="E35" s="193" t="n">
        <v>111.648</v>
      </c>
      <c r="F35" s="193"/>
      <c r="G35" s="193" t="n">
        <v>462.874</v>
      </c>
      <c r="H35" s="193" t="n">
        <v>8878.342</v>
      </c>
      <c r="I35" s="193" t="n">
        <v>6857.048</v>
      </c>
      <c r="J35" s="193" t="n">
        <v>0</v>
      </c>
      <c r="K35" s="193" t="n">
        <v>0</v>
      </c>
      <c r="L35" s="193" t="n">
        <v>0</v>
      </c>
      <c r="M35" s="193"/>
      <c r="N35" s="193" t="n">
        <v>0</v>
      </c>
      <c r="O35" s="193" t="n">
        <v>7509.491</v>
      </c>
      <c r="P35" s="193" t="n">
        <v>0</v>
      </c>
      <c r="Q35" s="193" t="n">
        <v>0</v>
      </c>
      <c r="R35" s="190" t="n">
        <v>23819.403</v>
      </c>
      <c r="V35" s="191"/>
      <c r="W35" s="192" t="s">
        <v>489</v>
      </c>
      <c r="X35" s="192" t="s">
        <v>457</v>
      </c>
      <c r="Y35" s="193" t="n">
        <v>111.648</v>
      </c>
      <c r="Z35" s="193" t="n">
        <v>0</v>
      </c>
      <c r="AA35" s="193" t="n">
        <v>462.874</v>
      </c>
      <c r="AB35" s="193" t="n">
        <v>8878.342</v>
      </c>
      <c r="AC35" s="193" t="n">
        <v>6857.048</v>
      </c>
      <c r="AD35" s="193" t="n">
        <v>0</v>
      </c>
      <c r="AE35" s="193" t="n">
        <v>0</v>
      </c>
      <c r="AF35" s="193" t="n">
        <v>0</v>
      </c>
      <c r="AG35" s="193"/>
      <c r="AH35" s="193" t="n">
        <v>0</v>
      </c>
      <c r="AI35" s="193" t="n">
        <v>7509.491</v>
      </c>
      <c r="AJ35" s="193" t="n">
        <v>0</v>
      </c>
      <c r="AK35" s="193" t="n">
        <v>3067.441</v>
      </c>
      <c r="AL35" s="193" t="n">
        <v>0</v>
      </c>
      <c r="AM35" s="193" t="n">
        <v>26886.844</v>
      </c>
      <c r="AN35" s="1" t="s">
        <v>474</v>
      </c>
      <c r="AO35" s="195"/>
      <c r="AQ35" s="192" t="s">
        <v>489</v>
      </c>
      <c r="AR35" s="192" t="s">
        <v>457</v>
      </c>
      <c r="AS35" s="1" t="n">
        <v>108.6</v>
      </c>
      <c r="AT35" s="195" t="n">
        <f aca="false">AS35/AM35</f>
        <v>0.00403915015090652</v>
      </c>
      <c r="AU35" s="139" t="n">
        <v>2412.008</v>
      </c>
      <c r="AV35" s="195" t="n">
        <f aca="false">AU35/AM35</f>
        <v>0.089709599237456</v>
      </c>
    </row>
    <row r="36" customFormat="false" ht="14.5" hidden="false" customHeight="false" outlineLevel="0" collapsed="false">
      <c r="C36" s="192" t="s">
        <v>490</v>
      </c>
      <c r="D36" s="192" t="s">
        <v>457</v>
      </c>
      <c r="E36" s="193" t="n">
        <v>0</v>
      </c>
      <c r="F36" s="193"/>
      <c r="G36" s="193" t="n">
        <v>3269.193</v>
      </c>
      <c r="H36" s="193" t="n">
        <v>7590.27298</v>
      </c>
      <c r="I36" s="193" t="n">
        <v>534.98</v>
      </c>
      <c r="J36" s="193" t="n">
        <v>0</v>
      </c>
      <c r="K36" s="193" t="n">
        <v>0</v>
      </c>
      <c r="L36" s="193" t="n">
        <v>0</v>
      </c>
      <c r="M36" s="193"/>
      <c r="N36" s="193" t="n">
        <v>0</v>
      </c>
      <c r="O36" s="193" t="n">
        <v>10991.513</v>
      </c>
      <c r="P36" s="193" t="n">
        <v>532.02598</v>
      </c>
      <c r="Q36" s="193" t="n">
        <v>0</v>
      </c>
      <c r="R36" s="190" t="n">
        <v>22917.98496</v>
      </c>
      <c r="V36" s="191"/>
      <c r="W36" s="192" t="s">
        <v>490</v>
      </c>
      <c r="X36" s="192" t="s">
        <v>457</v>
      </c>
      <c r="Y36" s="193" t="n">
        <v>0</v>
      </c>
      <c r="Z36" s="193" t="n">
        <v>0</v>
      </c>
      <c r="AA36" s="193" t="n">
        <v>3269.193</v>
      </c>
      <c r="AB36" s="193" t="n">
        <v>7590.27298</v>
      </c>
      <c r="AC36" s="193" t="n">
        <v>534.98</v>
      </c>
      <c r="AD36" s="193" t="n">
        <v>0</v>
      </c>
      <c r="AE36" s="193" t="n">
        <v>0</v>
      </c>
      <c r="AF36" s="193" t="n">
        <v>0</v>
      </c>
      <c r="AG36" s="193"/>
      <c r="AH36" s="193" t="n">
        <v>0</v>
      </c>
      <c r="AI36" s="193" t="n">
        <v>10991.513</v>
      </c>
      <c r="AJ36" s="193" t="n">
        <v>0</v>
      </c>
      <c r="AK36" s="193" t="n">
        <v>532.02598</v>
      </c>
      <c r="AL36" s="193" t="n">
        <v>0</v>
      </c>
      <c r="AM36" s="193" t="n">
        <v>22917.98496</v>
      </c>
      <c r="AN36" s="1" t="s">
        <v>468</v>
      </c>
      <c r="AQ36" s="192" t="s">
        <v>490</v>
      </c>
      <c r="AR36" s="192" t="s">
        <v>457</v>
      </c>
      <c r="AS36" s="1" t="n">
        <v>22.5</v>
      </c>
      <c r="AT36" s="195" t="n">
        <f aca="false">AS36/AM36</f>
        <v>0.000981761705458419</v>
      </c>
      <c r="AU36" s="139" t="n">
        <v>143.74</v>
      </c>
      <c r="AV36" s="195" t="n">
        <f aca="false">AU36/AM36</f>
        <v>0.00627193011300414</v>
      </c>
    </row>
    <row r="37" customFormat="false" ht="14.5" hidden="false" customHeight="false" outlineLevel="0" collapsed="false">
      <c r="C37" s="189" t="s">
        <v>491</v>
      </c>
      <c r="D37" s="189"/>
      <c r="E37" s="190" t="n">
        <v>33590.88248</v>
      </c>
      <c r="F37" s="190"/>
      <c r="G37" s="190" t="n">
        <v>31499.49447</v>
      </c>
      <c r="H37" s="190" t="n">
        <v>129620.93222</v>
      </c>
      <c r="I37" s="190" t="n">
        <v>17429.92752</v>
      </c>
      <c r="J37" s="190" t="n">
        <v>0</v>
      </c>
      <c r="K37" s="190" t="n">
        <v>0</v>
      </c>
      <c r="L37" s="190" t="n">
        <v>0</v>
      </c>
      <c r="M37" s="190"/>
      <c r="N37" s="190" t="n">
        <v>0</v>
      </c>
      <c r="O37" s="190" t="n">
        <v>113234.78557</v>
      </c>
      <c r="P37" s="190" t="n">
        <v>12048.19154</v>
      </c>
      <c r="Q37" s="190" t="n">
        <v>0</v>
      </c>
      <c r="R37" s="190" t="n">
        <v>337424.2138</v>
      </c>
      <c r="V37" s="191"/>
      <c r="W37" s="189" t="s">
        <v>492</v>
      </c>
      <c r="X37" s="189"/>
      <c r="Y37" s="190" t="n">
        <v>9655.859</v>
      </c>
      <c r="Z37" s="190" t="n">
        <v>1558.71075</v>
      </c>
      <c r="AA37" s="190" t="n">
        <v>31499.49447</v>
      </c>
      <c r="AB37" s="190" t="n">
        <v>121340.75601</v>
      </c>
      <c r="AC37" s="190" t="n">
        <v>14126.4879733571</v>
      </c>
      <c r="AD37" s="190" t="n">
        <v>3417.3512551478</v>
      </c>
      <c r="AE37" s="190" t="n">
        <v>0</v>
      </c>
      <c r="AF37" s="190" t="n">
        <v>0</v>
      </c>
      <c r="AG37" s="190"/>
      <c r="AH37" s="190" t="n">
        <v>0</v>
      </c>
      <c r="AI37" s="190" t="n">
        <v>113234.78557</v>
      </c>
      <c r="AJ37" s="190" t="n">
        <v>0</v>
      </c>
      <c r="AK37" s="190" t="n">
        <v>17867.72354</v>
      </c>
      <c r="AL37" s="190" t="n">
        <v>0</v>
      </c>
      <c r="AM37" s="190" t="n">
        <v>312587.25686</v>
      </c>
      <c r="AQ37" s="189" t="s">
        <v>492</v>
      </c>
      <c r="AR37" s="189"/>
      <c r="AT37" s="195"/>
    </row>
    <row r="38" customFormat="false" ht="14.5" hidden="false" customHeight="false" outlineLevel="0" collapsed="false">
      <c r="E38" s="179" t="s">
        <v>493</v>
      </c>
      <c r="P38" s="1" t="s">
        <v>494</v>
      </c>
      <c r="Y38" s="191" t="n">
        <f aca="false">SUM(Y15:Y20,Y22:Y24,Y26:Y28,Y30:Y31,Y32:Y33,Y35:Y36)</f>
        <v>9655.859</v>
      </c>
      <c r="Z38" s="191" t="n">
        <f aca="false">SUM(Z15:Z20,Z22:Z24,Z26:Z28,Z30:Z31,Z32:Z33,Z35:Z36)</f>
        <v>1558.71075</v>
      </c>
      <c r="AA38" s="191" t="n">
        <f aca="false">SUM(AA15:AA20,AA22:AA24,AA26:AA28,AA30:AA31,AA32:AA33,AA35:AA36)</f>
        <v>31499.49447</v>
      </c>
      <c r="AB38" s="191" t="n">
        <f aca="false">SUM(AB15:AB20,AB22:AB24,AB26:AB28,AB30:AB31,AB32:AB33,AB35:AB36)</f>
        <v>121340.75601</v>
      </c>
      <c r="AC38" s="191" t="n">
        <f aca="false">SUM(AC15:AC20,AC22:AC24,AC26:AC28,AC30:AC31,AC32:AC33,AC35:AC36)</f>
        <v>14126.4879733571</v>
      </c>
      <c r="AD38" s="191" t="n">
        <f aca="false">SUM(AD15:AD20,AD22:AD24,AD26:AD28,AD30:AD31,AD32:AD33,AD35:AD36)</f>
        <v>3417.3512551478</v>
      </c>
      <c r="AE38" s="191" t="n">
        <f aca="false">SUM(AE15:AE20,AE22:AE24,AE26:AE28,AE30:AE31,AE32:AE33,AE35:AE36)</f>
        <v>0</v>
      </c>
      <c r="AF38" s="191" t="n">
        <f aca="false">SUM(AF15:AF20,AF22:AF24,AF26:AF28,AF30:AF31,AF32:AF33,AF35:AF36)</f>
        <v>0</v>
      </c>
      <c r="AG38" s="191" t="n">
        <f aca="false">SUM(AG15:AG20,AG22:AG24,AG26:AG28,AG30:AG31,AG32:AG33,AG35:AG36)</f>
        <v>0</v>
      </c>
      <c r="AH38" s="191" t="n">
        <f aca="false">SUM(AH15:AH20,AH22:AH24,AH26:AH28,AH30:AH31,AH32:AH33,AH35:AH36)</f>
        <v>0</v>
      </c>
      <c r="AI38" s="191" t="n">
        <f aca="false">SUM(AI15:AI20,AI22:AI24,AI26:AI28,AI30:AI31,AI32:AI33,AI35:AI36)</f>
        <v>113234.78557</v>
      </c>
      <c r="AJ38" s="191" t="n">
        <f aca="false">SUM(AJ15:AJ20,AJ22:AJ24,AJ26:AJ28,AJ30:AJ31,AJ32:AJ33,AJ35:AJ36)</f>
        <v>0</v>
      </c>
      <c r="AK38" s="191" t="n">
        <f aca="false">SUM(AK15:AK20,AK22:AK24,AK26:AK28,AK30:AK31,AK32:AK33,AK35:AK36)</f>
        <v>17867.72354</v>
      </c>
      <c r="AL38" s="191" t="n">
        <f aca="false">SUM(AL15:AL20,AL22:AL24,AL26:AL28,AL30:AL31,AL32:AL33,AL35:AL36)</f>
        <v>0</v>
      </c>
      <c r="AM38" s="191" t="n">
        <f aca="false">SUM(AM15:AM20,AM22:AM24,AM26:AM28,AM30:AM31,AM32:AM33,AM35:AM36)</f>
        <v>312701.168568505</v>
      </c>
    </row>
    <row r="41" customFormat="false" ht="14.5" hidden="false" customHeight="false" outlineLevel="0" collapsed="false">
      <c r="C41" s="180" t="s">
        <v>4</v>
      </c>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row>
    <row r="43" customFormat="false" ht="14.5" hidden="false" customHeight="false" outlineLevel="0" collapsed="false">
      <c r="C43" s="181" t="s">
        <v>436</v>
      </c>
      <c r="V43" s="181" t="s">
        <v>437</v>
      </c>
      <c r="W43" s="181"/>
      <c r="X43" s="181"/>
      <c r="Y43" s="181"/>
      <c r="Z43" s="181"/>
      <c r="AA43" s="181"/>
      <c r="AB43" s="181"/>
      <c r="AC43" s="181"/>
      <c r="AD43" s="181"/>
      <c r="AE43" s="181"/>
      <c r="AF43" s="181"/>
      <c r="AG43" s="181"/>
      <c r="AH43" s="181"/>
      <c r="AI43" s="181"/>
      <c r="AJ43" s="181"/>
      <c r="AK43" s="181"/>
      <c r="AL43" s="181"/>
      <c r="AM43" s="181"/>
    </row>
    <row r="45" customFormat="false" ht="14.5" hidden="false" customHeight="false" outlineLevel="0" collapsed="false">
      <c r="C45" s="236" t="s">
        <v>536</v>
      </c>
      <c r="D45" s="236"/>
      <c r="E45" s="236"/>
      <c r="F45" s="236"/>
      <c r="G45" s="236"/>
      <c r="H45" s="236"/>
      <c r="I45" s="236"/>
      <c r="J45" s="236"/>
      <c r="K45" s="236"/>
      <c r="L45" s="236"/>
      <c r="M45" s="236"/>
      <c r="N45" s="236"/>
      <c r="O45" s="236"/>
      <c r="P45" s="236"/>
      <c r="Q45" s="236"/>
      <c r="R45" s="236"/>
      <c r="S45" s="236"/>
      <c r="T45" s="236"/>
      <c r="U45" s="237"/>
      <c r="W45" s="183" t="n">
        <v>2030</v>
      </c>
      <c r="X45" s="183"/>
      <c r="Y45" s="183"/>
      <c r="Z45" s="183"/>
      <c r="AA45" s="183"/>
      <c r="AB45" s="183"/>
      <c r="AC45" s="183"/>
      <c r="AD45" s="183"/>
      <c r="AE45" s="183"/>
      <c r="AF45" s="183"/>
      <c r="AG45" s="183"/>
      <c r="AH45" s="183"/>
      <c r="AI45" s="183"/>
      <c r="AJ45" s="183"/>
      <c r="AK45" s="183"/>
      <c r="AL45" s="183"/>
      <c r="AM45" s="183"/>
    </row>
    <row r="46" customFormat="false" ht="14.5" hidden="false" customHeight="true" outlineLevel="0" collapsed="false">
      <c r="C46" s="238" t="s">
        <v>495</v>
      </c>
      <c r="D46" s="238"/>
      <c r="E46" s="203" t="s">
        <v>439</v>
      </c>
      <c r="F46" s="203" t="s">
        <v>440</v>
      </c>
      <c r="G46" s="203" t="s">
        <v>441</v>
      </c>
      <c r="H46" s="203" t="s">
        <v>442</v>
      </c>
      <c r="I46" s="203" t="s">
        <v>537</v>
      </c>
      <c r="J46" s="203" t="s">
        <v>538</v>
      </c>
      <c r="K46" s="203" t="s">
        <v>443</v>
      </c>
      <c r="L46" s="203"/>
      <c r="M46" s="203"/>
      <c r="N46" s="203"/>
      <c r="O46" s="203"/>
      <c r="P46" s="203"/>
      <c r="Q46" s="203" t="s">
        <v>446</v>
      </c>
      <c r="R46" s="203" t="s">
        <v>447</v>
      </c>
      <c r="S46" s="203" t="s">
        <v>448</v>
      </c>
      <c r="T46" s="203" t="s">
        <v>52</v>
      </c>
      <c r="U46" s="239"/>
      <c r="W46" s="184" t="s">
        <v>539</v>
      </c>
      <c r="X46" s="184"/>
      <c r="Y46" s="185" t="s">
        <v>439</v>
      </c>
      <c r="Z46" s="185"/>
      <c r="AA46" s="185" t="s">
        <v>441</v>
      </c>
      <c r="AB46" s="185" t="s">
        <v>442</v>
      </c>
      <c r="AC46" s="185" t="s">
        <v>443</v>
      </c>
      <c r="AD46" s="185"/>
      <c r="AE46" s="185"/>
      <c r="AF46" s="185"/>
      <c r="AG46" s="185" t="s">
        <v>444</v>
      </c>
      <c r="AH46" s="185" t="s">
        <v>445</v>
      </c>
      <c r="AI46" s="185" t="s">
        <v>446</v>
      </c>
      <c r="AJ46" s="187"/>
      <c r="AK46" s="185" t="s">
        <v>447</v>
      </c>
      <c r="AL46" s="186" t="s">
        <v>448</v>
      </c>
      <c r="AM46" s="185" t="s">
        <v>52</v>
      </c>
    </row>
    <row r="47" customFormat="false" ht="70.5" hidden="false" customHeight="false" outlineLevel="0" collapsed="false">
      <c r="C47" s="209" t="s">
        <v>24</v>
      </c>
      <c r="D47" s="209"/>
      <c r="E47" s="203"/>
      <c r="F47" s="203"/>
      <c r="G47" s="203"/>
      <c r="H47" s="203"/>
      <c r="I47" s="203"/>
      <c r="J47" s="203"/>
      <c r="K47" s="203" t="s">
        <v>451</v>
      </c>
      <c r="L47" s="203" t="s">
        <v>452</v>
      </c>
      <c r="M47" s="203" t="s">
        <v>453</v>
      </c>
      <c r="N47" s="203" t="s">
        <v>454</v>
      </c>
      <c r="O47" s="203" t="s">
        <v>444</v>
      </c>
      <c r="P47" s="203" t="s">
        <v>445</v>
      </c>
      <c r="Q47" s="203"/>
      <c r="R47" s="203"/>
      <c r="S47" s="203" t="s">
        <v>448</v>
      </c>
      <c r="T47" s="203"/>
      <c r="U47" s="239"/>
      <c r="W47" s="184"/>
      <c r="X47" s="184"/>
      <c r="Y47" s="185"/>
      <c r="Z47" s="185" t="s">
        <v>455</v>
      </c>
      <c r="AA47" s="185"/>
      <c r="AB47" s="185"/>
      <c r="AC47" s="186" t="s">
        <v>451</v>
      </c>
      <c r="AD47" s="186" t="s">
        <v>452</v>
      </c>
      <c r="AE47" s="186" t="s">
        <v>453</v>
      </c>
      <c r="AF47" s="186" t="s">
        <v>454</v>
      </c>
      <c r="AG47" s="185"/>
      <c r="AH47" s="185"/>
      <c r="AI47" s="185"/>
      <c r="AJ47" s="188" t="s">
        <v>456</v>
      </c>
      <c r="AK47" s="185"/>
      <c r="AL47" s="186" t="s">
        <v>448</v>
      </c>
      <c r="AM47" s="185"/>
    </row>
    <row r="48" customFormat="false" ht="14.5" hidden="false" customHeight="false" outlineLevel="0" collapsed="false">
      <c r="C48" s="211" t="s">
        <v>461</v>
      </c>
      <c r="D48" s="212" t="s">
        <v>498</v>
      </c>
      <c r="E48" s="240" t="n">
        <f aca="false">24.9212693535595%+8%</f>
        <v>0.329212693535595</v>
      </c>
      <c r="F48" s="240" t="n">
        <v>0</v>
      </c>
      <c r="G48" s="240" t="n">
        <v>0</v>
      </c>
      <c r="H48" s="240" t="n">
        <v>0.337904674967374</v>
      </c>
      <c r="I48" s="240" t="n">
        <v>0</v>
      </c>
      <c r="J48" s="240" t="n">
        <v>0</v>
      </c>
      <c r="K48" s="240" t="n">
        <v>0.08</v>
      </c>
      <c r="L48" s="240" t="n">
        <v>0</v>
      </c>
      <c r="M48" s="240" t="n">
        <v>0</v>
      </c>
      <c r="N48" s="240" t="n">
        <v>0</v>
      </c>
      <c r="O48" s="240" t="n">
        <v>0</v>
      </c>
      <c r="P48" s="240" t="n">
        <v>0</v>
      </c>
      <c r="Q48" s="240" t="n">
        <v>0.252882631497031</v>
      </c>
      <c r="R48" s="240" t="n">
        <v>0</v>
      </c>
      <c r="S48" s="240" t="n">
        <v>0</v>
      </c>
      <c r="T48" s="241" t="n">
        <f aca="false">SUM(E48:S48)</f>
        <v>1</v>
      </c>
      <c r="U48" s="242"/>
      <c r="W48" s="189" t="s">
        <v>24</v>
      </c>
      <c r="X48" s="189"/>
      <c r="Y48" s="243"/>
      <c r="Z48" s="243"/>
      <c r="AA48" s="243"/>
      <c r="AB48" s="243"/>
      <c r="AC48" s="243"/>
      <c r="AD48" s="243"/>
      <c r="AE48" s="243"/>
      <c r="AF48" s="243"/>
      <c r="AG48" s="243"/>
      <c r="AH48" s="243"/>
      <c r="AI48" s="243"/>
      <c r="AJ48" s="243"/>
      <c r="AK48" s="243"/>
      <c r="AL48" s="243"/>
      <c r="AM48" s="243"/>
    </row>
    <row r="49" customFormat="false" ht="14.5" hidden="false" customHeight="false" outlineLevel="0" collapsed="false">
      <c r="C49" s="211" t="s">
        <v>464</v>
      </c>
      <c r="D49" s="212" t="s">
        <v>498</v>
      </c>
      <c r="E49" s="240" t="n">
        <v>0.02</v>
      </c>
      <c r="F49" s="240" t="n">
        <v>0</v>
      </c>
      <c r="G49" s="240" t="n">
        <v>0.02</v>
      </c>
      <c r="H49" s="240" t="n">
        <v>0.18</v>
      </c>
      <c r="I49" s="240" t="n">
        <v>0</v>
      </c>
      <c r="J49" s="240" t="n">
        <v>0</v>
      </c>
      <c r="K49" s="240" t="n">
        <v>0.03</v>
      </c>
      <c r="L49" s="240" t="n">
        <v>0</v>
      </c>
      <c r="M49" s="240" t="n">
        <v>0</v>
      </c>
      <c r="N49" s="240" t="n">
        <v>0</v>
      </c>
      <c r="O49" s="240" t="n">
        <v>0</v>
      </c>
      <c r="P49" s="240" t="n">
        <v>0</v>
      </c>
      <c r="Q49" s="240" t="n">
        <v>0.75</v>
      </c>
      <c r="R49" s="240" t="n">
        <v>0</v>
      </c>
      <c r="S49" s="240" t="n">
        <v>0</v>
      </c>
      <c r="T49" s="241" t="n">
        <f aca="false">SUM(E49:S49)</f>
        <v>1</v>
      </c>
      <c r="U49" s="242"/>
      <c r="W49" s="192" t="s">
        <v>461</v>
      </c>
      <c r="X49" s="192" t="s">
        <v>498</v>
      </c>
      <c r="Y49" s="244" t="n">
        <f aca="false">'Mix éner %'!Y46</f>
        <v>0.379401331302616</v>
      </c>
      <c r="Z49" s="244" t="n">
        <f aca="false">'Mix éner %'!Z46</f>
        <v>0.560598668697384</v>
      </c>
      <c r="AA49" s="244" t="n">
        <f aca="false">'Mix éner %'!AA46</f>
        <v>0</v>
      </c>
      <c r="AB49" s="244" t="n">
        <f aca="false">'Mix éner %'!AB46</f>
        <v>0</v>
      </c>
      <c r="AC49" s="244" t="n">
        <f aca="false">'Mix éner %'!AC46</f>
        <v>0.03</v>
      </c>
      <c r="AD49" s="244" t="n">
        <f aca="false">'Mix éner %'!AD46</f>
        <v>0.03</v>
      </c>
      <c r="AE49" s="244" t="n">
        <f aca="false">'Mix éner %'!AE46</f>
        <v>0</v>
      </c>
      <c r="AF49" s="244" t="n">
        <f aca="false">'Mix éner %'!AF46</f>
        <v>0</v>
      </c>
      <c r="AG49" s="244" t="n">
        <f aca="false">'Mix éner %'!AG46</f>
        <v>0</v>
      </c>
      <c r="AH49" s="244" t="n">
        <f aca="false">'Mix éner %'!AH46</f>
        <v>0</v>
      </c>
      <c r="AI49" s="244" t="n">
        <f aca="false">'Mix éner %'!AI46</f>
        <v>0</v>
      </c>
      <c r="AJ49" s="244" t="n">
        <f aca="false">'Mix éner %'!AJ46</f>
        <v>0</v>
      </c>
      <c r="AK49" s="244" t="n">
        <f aca="false">'Mix éner %'!AK46</f>
        <v>0</v>
      </c>
      <c r="AL49" s="244" t="n">
        <f aca="false">'Mix éner %'!AL46</f>
        <v>0</v>
      </c>
      <c r="AM49" s="244" t="n">
        <f aca="false">'Mix éner %'!AM46</f>
        <v>1</v>
      </c>
    </row>
    <row r="50" customFormat="false" ht="14.5" hidden="false" customHeight="false" outlineLevel="0" collapsed="false">
      <c r="C50" s="211" t="s">
        <v>466</v>
      </c>
      <c r="D50" s="212" t="s">
        <v>498</v>
      </c>
      <c r="E50" s="240"/>
      <c r="F50" s="240"/>
      <c r="G50" s="240"/>
      <c r="H50" s="240"/>
      <c r="I50" s="240"/>
      <c r="J50" s="240"/>
      <c r="K50" s="240"/>
      <c r="L50" s="240"/>
      <c r="M50" s="240"/>
      <c r="N50" s="240"/>
      <c r="O50" s="240"/>
      <c r="P50" s="240"/>
      <c r="Q50" s="240"/>
      <c r="R50" s="240"/>
      <c r="S50" s="240"/>
      <c r="T50" s="241" t="n">
        <f aca="false">SUM(E50:S50)</f>
        <v>0</v>
      </c>
      <c r="U50" s="242"/>
      <c r="W50" s="192" t="s">
        <v>464</v>
      </c>
      <c r="X50" s="192" t="s">
        <v>498</v>
      </c>
      <c r="Y50" s="244" t="n">
        <f aca="false">'Mix éner %'!Y50</f>
        <v>0.02</v>
      </c>
      <c r="Z50" s="244" t="n">
        <f aca="false">'Mix éner %'!Z50</f>
        <v>0</v>
      </c>
      <c r="AA50" s="244" t="n">
        <f aca="false">'Mix éner %'!AA50</f>
        <v>0.02</v>
      </c>
      <c r="AB50" s="244" t="n">
        <f aca="false">'Mix éner %'!AB50</f>
        <v>0.2</v>
      </c>
      <c r="AC50" s="244" t="n">
        <f aca="false">'Mix éner %'!AC50</f>
        <v>0.01</v>
      </c>
      <c r="AD50" s="244" t="n">
        <f aca="false">'Mix éner %'!AD50</f>
        <v>0</v>
      </c>
      <c r="AE50" s="244" t="n">
        <f aca="false">'Mix éner %'!AE50</f>
        <v>0</v>
      </c>
      <c r="AF50" s="244" t="n">
        <f aca="false">'Mix éner %'!AF50</f>
        <v>0</v>
      </c>
      <c r="AG50" s="244" t="n">
        <f aca="false">'Mix éner %'!AG50</f>
        <v>0</v>
      </c>
      <c r="AH50" s="244" t="n">
        <f aca="false">'Mix éner %'!AH50</f>
        <v>0</v>
      </c>
      <c r="AI50" s="244" t="n">
        <f aca="false">'Mix éner %'!AI50</f>
        <v>0.75</v>
      </c>
      <c r="AJ50" s="244" t="n">
        <f aca="false">'Mix éner %'!AJ50</f>
        <v>0</v>
      </c>
      <c r="AK50" s="244" t="n">
        <f aca="false">'Mix éner %'!AK50</f>
        <v>0</v>
      </c>
      <c r="AL50" s="244" t="n">
        <f aca="false">'Mix éner %'!AL50</f>
        <v>0</v>
      </c>
      <c r="AM50" s="244" t="n">
        <f aca="false">'Mix éner %'!AM50</f>
        <v>1</v>
      </c>
    </row>
    <row r="51" customFormat="false" ht="14.5" hidden="false" customHeight="false" outlineLevel="0" collapsed="false">
      <c r="C51" s="211" t="s">
        <v>469</v>
      </c>
      <c r="D51" s="212" t="s">
        <v>498</v>
      </c>
      <c r="E51" s="241" t="n">
        <v>0</v>
      </c>
      <c r="F51" s="241" t="n">
        <v>0</v>
      </c>
      <c r="G51" s="241" t="n">
        <v>0.01</v>
      </c>
      <c r="H51" s="241" t="n">
        <v>0.19</v>
      </c>
      <c r="I51" s="241" t="n">
        <v>0</v>
      </c>
      <c r="J51" s="241" t="n">
        <v>0</v>
      </c>
      <c r="K51" s="241" t="n">
        <v>0</v>
      </c>
      <c r="L51" s="241" t="n">
        <v>0</v>
      </c>
      <c r="M51" s="241" t="n">
        <v>0</v>
      </c>
      <c r="N51" s="241" t="n">
        <v>0</v>
      </c>
      <c r="O51" s="241" t="n">
        <v>0</v>
      </c>
      <c r="P51" s="241" t="n">
        <v>0</v>
      </c>
      <c r="Q51" s="241" t="n">
        <v>0.79</v>
      </c>
      <c r="R51" s="241" t="n">
        <v>0.01</v>
      </c>
      <c r="S51" s="241" t="n">
        <v>0</v>
      </c>
      <c r="T51" s="241" t="n">
        <f aca="false">SUM(E51:S51)</f>
        <v>1</v>
      </c>
      <c r="U51" s="242"/>
      <c r="W51" s="192" t="s">
        <v>466</v>
      </c>
      <c r="X51" s="192" t="s">
        <v>498</v>
      </c>
      <c r="Y51" s="244" t="n">
        <f aca="false">'Mix éner %'!Y54</f>
        <v>0</v>
      </c>
      <c r="Z51" s="244" t="n">
        <f aca="false">'Mix éner %'!Z54</f>
        <v>0</v>
      </c>
      <c r="AA51" s="244" t="n">
        <f aca="false">'Mix éner %'!AA54</f>
        <v>0</v>
      </c>
      <c r="AB51" s="244" t="n">
        <f aca="false">'Mix éner %'!AB54</f>
        <v>0</v>
      </c>
      <c r="AC51" s="244" t="n">
        <f aca="false">'Mix éner %'!AC54</f>
        <v>0</v>
      </c>
      <c r="AD51" s="244" t="n">
        <f aca="false">'Mix éner %'!AD54</f>
        <v>0</v>
      </c>
      <c r="AE51" s="244" t="n">
        <f aca="false">'Mix éner %'!AE54</f>
        <v>0</v>
      </c>
      <c r="AF51" s="244" t="n">
        <f aca="false">'Mix éner %'!AF54</f>
        <v>0</v>
      </c>
      <c r="AG51" s="244" t="n">
        <f aca="false">'Mix éner %'!AG54</f>
        <v>0</v>
      </c>
      <c r="AH51" s="244" t="n">
        <f aca="false">'Mix éner %'!AH54</f>
        <v>0</v>
      </c>
      <c r="AI51" s="244" t="n">
        <f aca="false">'Mix éner %'!AI54</f>
        <v>0</v>
      </c>
      <c r="AJ51" s="244" t="n">
        <f aca="false">'Mix éner %'!AJ54</f>
        <v>0</v>
      </c>
      <c r="AK51" s="244" t="n">
        <f aca="false">'Mix éner %'!AK54</f>
        <v>0</v>
      </c>
      <c r="AL51" s="244" t="n">
        <f aca="false">'Mix éner %'!AL54</f>
        <v>0</v>
      </c>
      <c r="AM51" s="244" t="n">
        <f aca="false">'Mix éner %'!AM54</f>
        <v>0</v>
      </c>
    </row>
    <row r="52" customFormat="false" ht="14.5" hidden="false" customHeight="false" outlineLevel="0" collapsed="false">
      <c r="C52" s="211" t="s">
        <v>471</v>
      </c>
      <c r="D52" s="212" t="s">
        <v>498</v>
      </c>
      <c r="E52" s="241" t="n">
        <v>0</v>
      </c>
      <c r="F52" s="241" t="n">
        <v>0</v>
      </c>
      <c r="G52" s="241" t="n">
        <v>0</v>
      </c>
      <c r="H52" s="241" t="n">
        <v>0.827842991510062</v>
      </c>
      <c r="I52" s="241" t="n">
        <v>0</v>
      </c>
      <c r="J52" s="241" t="n">
        <v>0</v>
      </c>
      <c r="K52" s="241" t="n">
        <v>0</v>
      </c>
      <c r="L52" s="241" t="n">
        <v>0</v>
      </c>
      <c r="M52" s="241" t="n">
        <v>0</v>
      </c>
      <c r="N52" s="241" t="n">
        <v>0</v>
      </c>
      <c r="O52" s="241" t="n">
        <v>0</v>
      </c>
      <c r="P52" s="241" t="n">
        <v>0</v>
      </c>
      <c r="Q52" s="241" t="n">
        <v>0.172157008489938</v>
      </c>
      <c r="R52" s="241" t="n">
        <v>0</v>
      </c>
      <c r="S52" s="241" t="n">
        <v>0</v>
      </c>
      <c r="T52" s="241" t="n">
        <f aca="false">SUM(E52:S52)</f>
        <v>1</v>
      </c>
      <c r="U52" s="242"/>
      <c r="W52" s="198" t="s">
        <v>467</v>
      </c>
      <c r="X52" s="192" t="s">
        <v>498</v>
      </c>
      <c r="Y52" s="244" t="n">
        <f aca="false">'Mix éner %'!Y58</f>
        <v>0.07</v>
      </c>
      <c r="Z52" s="244" t="n">
        <f aca="false">'Mix éner %'!Z58</f>
        <v>0</v>
      </c>
      <c r="AA52" s="244" t="n">
        <f aca="false">'Mix éner %'!AA58</f>
        <v>0.01</v>
      </c>
      <c r="AB52" s="244" t="n">
        <f aca="false">'Mix éner %'!AB58</f>
        <v>0.28</v>
      </c>
      <c r="AC52" s="244" t="n">
        <f aca="false">'Mix éner %'!AC58</f>
        <v>0.03</v>
      </c>
      <c r="AD52" s="244" t="n">
        <f aca="false">'Mix éner %'!AD58</f>
        <v>0</v>
      </c>
      <c r="AE52" s="244" t="n">
        <f aca="false">'Mix éner %'!AE58</f>
        <v>0</v>
      </c>
      <c r="AF52" s="244" t="n">
        <f aca="false">'Mix éner %'!AF58</f>
        <v>0</v>
      </c>
      <c r="AG52" s="244" t="n">
        <f aca="false">'Mix éner %'!AG58</f>
        <v>0</v>
      </c>
      <c r="AH52" s="244" t="n">
        <f aca="false">'Mix éner %'!AH58</f>
        <v>0</v>
      </c>
      <c r="AI52" s="244" t="n">
        <f aca="false">'Mix éner %'!AI58</f>
        <v>0.6</v>
      </c>
      <c r="AJ52" s="244" t="n">
        <f aca="false">'Mix éner %'!AJ58</f>
        <v>0</v>
      </c>
      <c r="AK52" s="244" t="n">
        <f aca="false">'Mix éner %'!AK58</f>
        <v>0.01</v>
      </c>
      <c r="AL52" s="244" t="n">
        <f aca="false">'Mix éner %'!AL58</f>
        <v>0</v>
      </c>
      <c r="AM52" s="244" t="n">
        <f aca="false">'Mix éner %'!AM58</f>
        <v>1</v>
      </c>
    </row>
    <row r="53" customFormat="false" ht="14.5" hidden="false" customHeight="false" outlineLevel="0" collapsed="false">
      <c r="C53" s="211" t="s">
        <v>473</v>
      </c>
      <c r="D53" s="212" t="s">
        <v>498</v>
      </c>
      <c r="E53" s="245" t="n">
        <v>0</v>
      </c>
      <c r="F53" s="245" t="n">
        <v>0</v>
      </c>
      <c r="G53" s="245" t="n">
        <v>0.08</v>
      </c>
      <c r="H53" s="245" t="n">
        <v>0.1</v>
      </c>
      <c r="I53" s="245" t="n">
        <v>0</v>
      </c>
      <c r="J53" s="245" t="n">
        <v>0</v>
      </c>
      <c r="K53" s="245" t="n">
        <v>0</v>
      </c>
      <c r="L53" s="245" t="n">
        <v>0</v>
      </c>
      <c r="M53" s="245" t="n">
        <v>0</v>
      </c>
      <c r="N53" s="245" t="n">
        <v>0</v>
      </c>
      <c r="O53" s="245" t="n">
        <v>0</v>
      </c>
      <c r="P53" s="245" t="n">
        <v>0</v>
      </c>
      <c r="Q53" s="245" t="n">
        <v>0.69</v>
      </c>
      <c r="R53" s="241" t="n">
        <v>0</v>
      </c>
      <c r="S53" s="241" t="n">
        <v>0.13</v>
      </c>
      <c r="T53" s="241" t="n">
        <f aca="false">SUM(E53:S53)</f>
        <v>1</v>
      </c>
      <c r="U53" s="242"/>
      <c r="W53" s="192" t="s">
        <v>469</v>
      </c>
      <c r="X53" s="192" t="s">
        <v>498</v>
      </c>
      <c r="Y53" s="244" t="n">
        <f aca="false">'Mix éner %'!Y62</f>
        <v>0</v>
      </c>
      <c r="Z53" s="244" t="n">
        <f aca="false">'Mix éner %'!Z62</f>
        <v>0</v>
      </c>
      <c r="AA53" s="244" t="n">
        <f aca="false">'Mix éner %'!AA62</f>
        <v>0.01</v>
      </c>
      <c r="AB53" s="244" t="n">
        <f aca="false">'Mix éner %'!AB62</f>
        <v>0.19</v>
      </c>
      <c r="AC53" s="244" t="n">
        <f aca="false">'Mix éner %'!AC62</f>
        <v>0</v>
      </c>
      <c r="AD53" s="244" t="n">
        <f aca="false">'Mix éner %'!AD62</f>
        <v>0</v>
      </c>
      <c r="AE53" s="244" t="n">
        <f aca="false">'Mix éner %'!AE62</f>
        <v>0</v>
      </c>
      <c r="AF53" s="244" t="n">
        <f aca="false">'Mix éner %'!AF62</f>
        <v>0</v>
      </c>
      <c r="AG53" s="244" t="n">
        <f aca="false">'Mix éner %'!AG62</f>
        <v>0</v>
      </c>
      <c r="AH53" s="244" t="n">
        <f aca="false">'Mix éner %'!AH62</f>
        <v>0</v>
      </c>
      <c r="AI53" s="244" t="n">
        <f aca="false">'Mix éner %'!AI62</f>
        <v>0.79</v>
      </c>
      <c r="AJ53" s="244" t="n">
        <f aca="false">'Mix éner %'!AJ62</f>
        <v>0</v>
      </c>
      <c r="AK53" s="244" t="n">
        <f aca="false">'Mix éner %'!AK62</f>
        <v>0.01</v>
      </c>
      <c r="AL53" s="244" t="n">
        <f aca="false">'Mix éner %'!AL62</f>
        <v>0</v>
      </c>
      <c r="AM53" s="244" t="n">
        <f aca="false">'Mix éner %'!AM62</f>
        <v>1</v>
      </c>
    </row>
    <row r="54" customFormat="false" ht="14.5" hidden="false" customHeight="false" outlineLevel="0" collapsed="false">
      <c r="C54" s="209" t="s">
        <v>25</v>
      </c>
      <c r="D54" s="209"/>
      <c r="E54" s="246"/>
      <c r="F54" s="246"/>
      <c r="G54" s="246"/>
      <c r="H54" s="246"/>
      <c r="I54" s="246"/>
      <c r="J54" s="246"/>
      <c r="K54" s="246"/>
      <c r="L54" s="246"/>
      <c r="M54" s="246"/>
      <c r="N54" s="246"/>
      <c r="O54" s="246"/>
      <c r="P54" s="246"/>
      <c r="Q54" s="246"/>
      <c r="R54" s="246"/>
      <c r="S54" s="246"/>
      <c r="T54" s="246"/>
      <c r="U54" s="247"/>
      <c r="W54" s="192" t="s">
        <v>471</v>
      </c>
      <c r="X54" s="192" t="s">
        <v>498</v>
      </c>
      <c r="Y54" s="244" t="n">
        <f aca="false">'Mix éner %'!Y66</f>
        <v>0</v>
      </c>
      <c r="Z54" s="244" t="n">
        <f aca="false">'Mix éner %'!Z66</f>
        <v>0</v>
      </c>
      <c r="AA54" s="244" t="n">
        <f aca="false">'Mix éner %'!AA66</f>
        <v>0</v>
      </c>
      <c r="AB54" s="244" t="n">
        <f aca="false">'Mix éner %'!AB66</f>
        <v>0.5</v>
      </c>
      <c r="AC54" s="244" t="n">
        <f aca="false">'Mix éner %'!AC66</f>
        <v>0</v>
      </c>
      <c r="AD54" s="244" t="n">
        <f aca="false">'Mix éner %'!AD66</f>
        <v>0</v>
      </c>
      <c r="AE54" s="244" t="n">
        <f aca="false">'Mix éner %'!AE66</f>
        <v>0</v>
      </c>
      <c r="AF54" s="244" t="n">
        <f aca="false">'Mix éner %'!AF66</f>
        <v>0</v>
      </c>
      <c r="AG54" s="244" t="n">
        <f aca="false">'Mix éner %'!AG66</f>
        <v>0</v>
      </c>
      <c r="AH54" s="244" t="n">
        <f aca="false">'Mix éner %'!AH66</f>
        <v>0</v>
      </c>
      <c r="AI54" s="244" t="n">
        <f aca="false">'Mix éner %'!AI66</f>
        <v>0.5</v>
      </c>
      <c r="AJ54" s="244" t="n">
        <f aca="false">'Mix éner %'!AJ66</f>
        <v>0</v>
      </c>
      <c r="AK54" s="244" t="n">
        <f aca="false">'Mix éner %'!AK66</f>
        <v>0</v>
      </c>
      <c r="AL54" s="244" t="n">
        <f aca="false">'Mix éner %'!AL66</f>
        <v>0</v>
      </c>
      <c r="AM54" s="244" t="n">
        <f aca="false">'Mix éner %'!AM66</f>
        <v>1</v>
      </c>
    </row>
    <row r="55" customFormat="false" ht="14.5" hidden="false" customHeight="false" outlineLevel="0" collapsed="false">
      <c r="C55" s="211" t="s">
        <v>475</v>
      </c>
      <c r="D55" s="212" t="s">
        <v>498</v>
      </c>
      <c r="E55" s="241" t="n">
        <v>0</v>
      </c>
      <c r="F55" s="241" t="n">
        <v>0</v>
      </c>
      <c r="G55" s="241" t="n">
        <v>0</v>
      </c>
      <c r="H55" s="241" t="n">
        <v>0.21</v>
      </c>
      <c r="I55" s="241" t="n">
        <v>0</v>
      </c>
      <c r="J55" s="241" t="n">
        <v>0</v>
      </c>
      <c r="K55" s="241" t="n">
        <v>0</v>
      </c>
      <c r="L55" s="241" t="n">
        <v>0</v>
      </c>
      <c r="M55" s="241" t="n">
        <v>0</v>
      </c>
      <c r="N55" s="241" t="n">
        <v>0</v>
      </c>
      <c r="O55" s="241" t="n">
        <v>0</v>
      </c>
      <c r="P55" s="241" t="n">
        <v>0</v>
      </c>
      <c r="Q55" s="241" t="n">
        <v>0.79</v>
      </c>
      <c r="R55" s="241" t="n">
        <v>0</v>
      </c>
      <c r="S55" s="241" t="n">
        <v>0</v>
      </c>
      <c r="T55" s="241" t="n">
        <f aca="false">SUM(E55:S55)</f>
        <v>1</v>
      </c>
      <c r="U55" s="242"/>
      <c r="W55" s="192" t="s">
        <v>473</v>
      </c>
      <c r="X55" s="192" t="s">
        <v>498</v>
      </c>
      <c r="Y55" s="244" t="n">
        <f aca="false">'Mix éner %'!Y70</f>
        <v>0</v>
      </c>
      <c r="Z55" s="244" t="n">
        <f aca="false">'Mix éner %'!Z70</f>
        <v>0</v>
      </c>
      <c r="AA55" s="244" t="n">
        <f aca="false">'Mix éner %'!AA70</f>
        <v>0.1</v>
      </c>
      <c r="AB55" s="244" t="n">
        <f aca="false">'Mix éner %'!AB70</f>
        <v>0.0871680724973376</v>
      </c>
      <c r="AC55" s="244" t="n">
        <f aca="false">'Mix éner %'!AC70</f>
        <v>0.03</v>
      </c>
      <c r="AD55" s="244" t="n">
        <f aca="false">'Mix éner %'!AD70</f>
        <v>0</v>
      </c>
      <c r="AE55" s="244" t="n">
        <f aca="false">'Mix éner %'!AE70</f>
        <v>0</v>
      </c>
      <c r="AF55" s="244" t="n">
        <f aca="false">'Mix éner %'!AF70</f>
        <v>0</v>
      </c>
      <c r="AG55" s="244" t="n">
        <f aca="false">'Mix éner %'!AG70</f>
        <v>0</v>
      </c>
      <c r="AH55" s="244" t="n">
        <f aca="false">'Mix éner %'!AH70</f>
        <v>0</v>
      </c>
      <c r="AI55" s="244" t="n">
        <f aca="false">'Mix éner %'!AI70</f>
        <v>0.752831927502662</v>
      </c>
      <c r="AJ55" s="244" t="n">
        <f aca="false">'Mix éner %'!AJ70</f>
        <v>0</v>
      </c>
      <c r="AK55" s="244" t="n">
        <f aca="false">'Mix éner %'!AK70</f>
        <v>0</v>
      </c>
      <c r="AL55" s="244" t="n">
        <f aca="false">'Mix éner %'!AL70</f>
        <v>0.03</v>
      </c>
      <c r="AM55" s="244" t="n">
        <f aca="false">'Mix éner %'!AM70</f>
        <v>1</v>
      </c>
    </row>
    <row r="56" customFormat="false" ht="14.5" hidden="false" customHeight="false" outlineLevel="0" collapsed="false">
      <c r="C56" s="211" t="s">
        <v>476</v>
      </c>
      <c r="D56" s="212" t="s">
        <v>498</v>
      </c>
      <c r="E56" s="241" t="n">
        <v>0</v>
      </c>
      <c r="F56" s="241" t="n">
        <v>0</v>
      </c>
      <c r="G56" s="241" t="n">
        <v>0.05</v>
      </c>
      <c r="H56" s="241" t="n">
        <v>0.387738605797961</v>
      </c>
      <c r="I56" s="241" t="n">
        <v>0</v>
      </c>
      <c r="J56" s="241" t="n">
        <v>0</v>
      </c>
      <c r="K56" s="241" t="n">
        <v>0.030411115934224</v>
      </c>
      <c r="L56" s="241" t="n">
        <v>0</v>
      </c>
      <c r="M56" s="241" t="n">
        <v>0</v>
      </c>
      <c r="N56" s="241" t="n">
        <v>0</v>
      </c>
      <c r="O56" s="241" t="n">
        <v>0</v>
      </c>
      <c r="P56" s="241" t="n">
        <v>0</v>
      </c>
      <c r="Q56" s="241" t="n">
        <v>0.351850278267815</v>
      </c>
      <c r="R56" s="241" t="n">
        <v>0.18</v>
      </c>
      <c r="S56" s="241" t="n">
        <v>0</v>
      </c>
      <c r="T56" s="241" t="n">
        <f aca="false">SUM(E56:S56)</f>
        <v>1</v>
      </c>
      <c r="U56" s="242"/>
      <c r="W56" s="189" t="s">
        <v>25</v>
      </c>
      <c r="X56" s="189"/>
      <c r="Y56" s="243"/>
      <c r="Z56" s="243"/>
      <c r="AA56" s="243"/>
      <c r="AB56" s="243"/>
      <c r="AC56" s="243"/>
      <c r="AD56" s="243"/>
      <c r="AE56" s="243"/>
      <c r="AF56" s="243"/>
      <c r="AG56" s="243"/>
      <c r="AH56" s="243"/>
      <c r="AI56" s="243"/>
      <c r="AJ56" s="243"/>
      <c r="AK56" s="243"/>
      <c r="AL56" s="243"/>
      <c r="AM56" s="243"/>
    </row>
    <row r="57" customFormat="false" ht="14.5" hidden="false" customHeight="false" outlineLevel="0" collapsed="false">
      <c r="C57" s="211" t="s">
        <v>479</v>
      </c>
      <c r="D57" s="212" t="s">
        <v>498</v>
      </c>
      <c r="E57" s="241" t="n">
        <v>0</v>
      </c>
      <c r="F57" s="241" t="n">
        <v>0</v>
      </c>
      <c r="G57" s="241" t="n">
        <v>0.02</v>
      </c>
      <c r="H57" s="241" t="n">
        <v>0.380173034900059</v>
      </c>
      <c r="I57" s="245" t="n">
        <v>0</v>
      </c>
      <c r="J57" s="245" t="n">
        <v>0</v>
      </c>
      <c r="K57" s="241" t="n">
        <v>0.01</v>
      </c>
      <c r="L57" s="245" t="n">
        <v>0</v>
      </c>
      <c r="M57" s="245" t="n">
        <v>0</v>
      </c>
      <c r="N57" s="245" t="n">
        <v>0</v>
      </c>
      <c r="O57" s="245" t="n">
        <v>0</v>
      </c>
      <c r="P57" s="245" t="n">
        <v>0</v>
      </c>
      <c r="Q57" s="241" t="n">
        <v>0.35</v>
      </c>
      <c r="R57" s="241" t="n">
        <v>0.239826965099941</v>
      </c>
      <c r="S57" s="245" t="n">
        <v>0</v>
      </c>
      <c r="T57" s="241" t="n">
        <f aca="false">SUM(E57:S57)</f>
        <v>1</v>
      </c>
      <c r="U57" s="242"/>
      <c r="W57" s="192" t="s">
        <v>475</v>
      </c>
      <c r="X57" s="192" t="s">
        <v>498</v>
      </c>
      <c r="Y57" s="244" t="n">
        <f aca="false">'Mix éner %'!Y75</f>
        <v>0</v>
      </c>
      <c r="Z57" s="244" t="n">
        <f aca="false">'Mix éner %'!Z75</f>
        <v>0</v>
      </c>
      <c r="AA57" s="244" t="n">
        <f aca="false">'Mix éner %'!AA75</f>
        <v>0</v>
      </c>
      <c r="AB57" s="244" t="n">
        <f aca="false">'Mix éner %'!AB75</f>
        <v>0.65</v>
      </c>
      <c r="AC57" s="244" t="n">
        <f aca="false">'Mix éner %'!AC75</f>
        <v>0</v>
      </c>
      <c r="AD57" s="244" t="n">
        <f aca="false">'Mix éner %'!AD75</f>
        <v>0</v>
      </c>
      <c r="AE57" s="244" t="n">
        <f aca="false">'Mix éner %'!AE75</f>
        <v>0</v>
      </c>
      <c r="AF57" s="244" t="n">
        <f aca="false">'Mix éner %'!AF75</f>
        <v>0</v>
      </c>
      <c r="AG57" s="244" t="n">
        <f aca="false">'Mix éner %'!AG75</f>
        <v>0</v>
      </c>
      <c r="AH57" s="244" t="n">
        <f aca="false">'Mix éner %'!AH75</f>
        <v>0</v>
      </c>
      <c r="AI57" s="244" t="n">
        <f aca="false">'Mix éner %'!AI75</f>
        <v>0.35</v>
      </c>
      <c r="AJ57" s="244" t="n">
        <f aca="false">'Mix éner %'!AJ75</f>
        <v>0</v>
      </c>
      <c r="AK57" s="244" t="n">
        <f aca="false">'Mix éner %'!AK75</f>
        <v>0</v>
      </c>
      <c r="AL57" s="244" t="n">
        <f aca="false">'Mix éner %'!AL75</f>
        <v>0</v>
      </c>
      <c r="AM57" s="244" t="n">
        <f aca="false">'Mix éner %'!AM75</f>
        <v>1</v>
      </c>
    </row>
    <row r="58" customFormat="false" ht="14.5" hidden="false" customHeight="false" outlineLevel="0" collapsed="false">
      <c r="C58" s="209" t="s">
        <v>480</v>
      </c>
      <c r="D58" s="209"/>
      <c r="E58" s="246"/>
      <c r="F58" s="246"/>
      <c r="G58" s="246"/>
      <c r="H58" s="246"/>
      <c r="I58" s="246"/>
      <c r="J58" s="246"/>
      <c r="K58" s="246"/>
      <c r="L58" s="246"/>
      <c r="M58" s="246"/>
      <c r="N58" s="246"/>
      <c r="O58" s="246"/>
      <c r="P58" s="246"/>
      <c r="Q58" s="246"/>
      <c r="R58" s="246"/>
      <c r="S58" s="246"/>
      <c r="T58" s="246"/>
      <c r="U58" s="247"/>
      <c r="W58" s="192" t="s">
        <v>476</v>
      </c>
      <c r="X58" s="192" t="s">
        <v>498</v>
      </c>
      <c r="Y58" s="244" t="n">
        <f aca="false">'Mix éner %'!Y79</f>
        <v>0</v>
      </c>
      <c r="Z58" s="244" t="n">
        <f aca="false">'Mix éner %'!Z79</f>
        <v>0</v>
      </c>
      <c r="AA58" s="244" t="n">
        <f aca="false">'Mix éner %'!AA79</f>
        <v>0.02</v>
      </c>
      <c r="AB58" s="244" t="n">
        <f aca="false">'Mix éner %'!AB79</f>
        <v>0.542</v>
      </c>
      <c r="AC58" s="244" t="n">
        <f aca="false">'Mix éner %'!AC79</f>
        <v>0.08</v>
      </c>
      <c r="AD58" s="244" t="n">
        <f aca="false">'Mix éner %'!AD79</f>
        <v>0</v>
      </c>
      <c r="AE58" s="244" t="n">
        <f aca="false">'Mix éner %'!AE79</f>
        <v>0</v>
      </c>
      <c r="AF58" s="244" t="n">
        <f aca="false">'Mix éner %'!AF79</f>
        <v>0</v>
      </c>
      <c r="AG58" s="244" t="n">
        <f aca="false">'Mix éner %'!AG79</f>
        <v>0</v>
      </c>
      <c r="AH58" s="244" t="n">
        <f aca="false">'Mix éner %'!AH79</f>
        <v>0</v>
      </c>
      <c r="AI58" s="244" t="n">
        <f aca="false">'Mix éner %'!AI79</f>
        <v>0.22</v>
      </c>
      <c r="AJ58" s="244" t="n">
        <f aca="false">'Mix éner %'!AJ79</f>
        <v>0</v>
      </c>
      <c r="AK58" s="244" t="n">
        <f aca="false">'Mix éner %'!AK79</f>
        <v>0.138196656085762</v>
      </c>
      <c r="AL58" s="244" t="n">
        <f aca="false">'Mix éner %'!AL79</f>
        <v>0</v>
      </c>
      <c r="AM58" s="244" t="n">
        <f aca="false">'Mix éner %'!AM79</f>
        <v>1.00019665608576</v>
      </c>
    </row>
    <row r="59" customFormat="false" ht="14.5" hidden="false" customHeight="false" outlineLevel="0" collapsed="false">
      <c r="C59" s="211" t="s">
        <v>481</v>
      </c>
      <c r="D59" s="212" t="s">
        <v>498</v>
      </c>
      <c r="E59" s="241" t="n">
        <v>0</v>
      </c>
      <c r="F59" s="241" t="n">
        <v>0</v>
      </c>
      <c r="G59" s="241" t="n">
        <v>0.23</v>
      </c>
      <c r="H59" s="241" t="n">
        <v>0.02</v>
      </c>
      <c r="I59" s="241" t="n">
        <v>0</v>
      </c>
      <c r="J59" s="241" t="n">
        <v>0</v>
      </c>
      <c r="K59" s="241" t="n">
        <v>0.6</v>
      </c>
      <c r="L59" s="241" t="n">
        <v>0</v>
      </c>
      <c r="M59" s="241" t="n">
        <v>0</v>
      </c>
      <c r="N59" s="241" t="n">
        <v>0</v>
      </c>
      <c r="O59" s="241" t="n">
        <v>0</v>
      </c>
      <c r="P59" s="241" t="n">
        <v>0</v>
      </c>
      <c r="Q59" s="241" t="n">
        <v>0.15</v>
      </c>
      <c r="R59" s="241" t="n">
        <v>0</v>
      </c>
      <c r="S59" s="241" t="n">
        <v>0</v>
      </c>
      <c r="T59" s="241" t="n">
        <f aca="false">SUM(E59:S59)</f>
        <v>1</v>
      </c>
      <c r="U59" s="242"/>
      <c r="W59" s="192" t="s">
        <v>479</v>
      </c>
      <c r="X59" s="192" t="s">
        <v>498</v>
      </c>
      <c r="Y59" s="244" t="n">
        <f aca="false">'Mix éner %'!Y83</f>
        <v>0</v>
      </c>
      <c r="Z59" s="244" t="n">
        <f aca="false">'Mix éner %'!Z83</f>
        <v>0</v>
      </c>
      <c r="AA59" s="244" t="n">
        <f aca="false">'Mix éner %'!AA83</f>
        <v>0.09</v>
      </c>
      <c r="AB59" s="244" t="n">
        <f aca="false">'Mix éner %'!AB83</f>
        <v>0.06</v>
      </c>
      <c r="AC59" s="244" t="n">
        <f aca="false">'Mix éner %'!AC83</f>
        <v>0.04</v>
      </c>
      <c r="AD59" s="244" t="n">
        <f aca="false">'Mix éner %'!AD83</f>
        <v>0</v>
      </c>
      <c r="AE59" s="244" t="n">
        <f aca="false">'Mix éner %'!AE83</f>
        <v>0</v>
      </c>
      <c r="AF59" s="244" t="n">
        <f aca="false">'Mix éner %'!AF83</f>
        <v>0</v>
      </c>
      <c r="AG59" s="244" t="n">
        <f aca="false">'Mix éner %'!AG83</f>
        <v>0.04</v>
      </c>
      <c r="AH59" s="244" t="n">
        <f aca="false">'Mix éner %'!AH83</f>
        <v>0</v>
      </c>
      <c r="AI59" s="244" t="n">
        <f aca="false">'Mix éner %'!AI83</f>
        <v>0.5</v>
      </c>
      <c r="AJ59" s="244" t="n">
        <f aca="false">'Mix éner %'!AJ83</f>
        <v>0.02</v>
      </c>
      <c r="AK59" s="244" t="n">
        <f aca="false">'Mix éner %'!AK83</f>
        <v>0.25</v>
      </c>
      <c r="AL59" s="244" t="n">
        <f aca="false">'Mix éner %'!AL83</f>
        <v>0</v>
      </c>
      <c r="AM59" s="244" t="n">
        <f aca="false">'Mix éner %'!AM83</f>
        <v>1</v>
      </c>
    </row>
    <row r="60" customFormat="false" ht="14.5" hidden="false" customHeight="false" outlineLevel="0" collapsed="false">
      <c r="C60" s="211" t="s">
        <v>482</v>
      </c>
      <c r="D60" s="212" t="s">
        <v>498</v>
      </c>
      <c r="E60" s="241" t="n">
        <v>0</v>
      </c>
      <c r="F60" s="241" t="n">
        <v>0</v>
      </c>
      <c r="G60" s="241" t="n">
        <v>0.03</v>
      </c>
      <c r="H60" s="241" t="n">
        <v>0.50119397890569</v>
      </c>
      <c r="I60" s="241" t="n">
        <v>0</v>
      </c>
      <c r="J60" s="241" t="n">
        <v>0</v>
      </c>
      <c r="K60" s="241" t="n">
        <v>0</v>
      </c>
      <c r="L60" s="241" t="n">
        <v>0</v>
      </c>
      <c r="M60" s="241" t="n">
        <v>0</v>
      </c>
      <c r="N60" s="241" t="n">
        <v>0</v>
      </c>
      <c r="O60" s="241" t="n">
        <v>0</v>
      </c>
      <c r="P60" s="241" t="n">
        <v>0</v>
      </c>
      <c r="Q60" s="241" t="n">
        <v>0.46880602109431</v>
      </c>
      <c r="R60" s="241" t="n">
        <v>0</v>
      </c>
      <c r="S60" s="241" t="n">
        <v>0</v>
      </c>
      <c r="T60" s="241" t="n">
        <f aca="false">SUM(E60:S60)</f>
        <v>1</v>
      </c>
      <c r="U60" s="242"/>
      <c r="W60" s="189" t="s">
        <v>480</v>
      </c>
      <c r="X60" s="189"/>
      <c r="Y60" s="243"/>
      <c r="Z60" s="243"/>
      <c r="AA60" s="243"/>
      <c r="AB60" s="243"/>
      <c r="AC60" s="243"/>
      <c r="AD60" s="243"/>
      <c r="AE60" s="243"/>
      <c r="AF60" s="243"/>
      <c r="AG60" s="243"/>
      <c r="AH60" s="243"/>
      <c r="AI60" s="243"/>
      <c r="AJ60" s="243"/>
      <c r="AK60" s="243"/>
      <c r="AL60" s="243"/>
      <c r="AM60" s="243"/>
    </row>
    <row r="61" customFormat="false" ht="14.5" hidden="false" customHeight="false" outlineLevel="0" collapsed="false">
      <c r="C61" s="211" t="s">
        <v>483</v>
      </c>
      <c r="D61" s="212" t="s">
        <v>498</v>
      </c>
      <c r="E61" s="245" t="n">
        <v>0</v>
      </c>
      <c r="F61" s="245" t="n">
        <v>0</v>
      </c>
      <c r="G61" s="241" t="n">
        <v>0.01</v>
      </c>
      <c r="H61" s="241" t="n">
        <v>0.55</v>
      </c>
      <c r="I61" s="245" t="n">
        <v>0</v>
      </c>
      <c r="J61" s="245" t="n">
        <v>0</v>
      </c>
      <c r="K61" s="241" t="n">
        <v>0.0195195779195001</v>
      </c>
      <c r="L61" s="245" t="n">
        <v>0</v>
      </c>
      <c r="M61" s="245" t="n">
        <v>0</v>
      </c>
      <c r="N61" s="245" t="n">
        <v>0</v>
      </c>
      <c r="O61" s="245" t="n">
        <v>0</v>
      </c>
      <c r="P61" s="245" t="n">
        <v>0</v>
      </c>
      <c r="Q61" s="241" t="n">
        <v>0.4204804220805</v>
      </c>
      <c r="R61" s="245" t="n">
        <v>0</v>
      </c>
      <c r="S61" s="245" t="n">
        <v>0</v>
      </c>
      <c r="T61" s="241" t="n">
        <f aca="false">SUM(E61:S61)</f>
        <v>1</v>
      </c>
      <c r="U61" s="242"/>
      <c r="W61" s="192" t="s">
        <v>481</v>
      </c>
      <c r="X61" s="192" t="s">
        <v>498</v>
      </c>
      <c r="Y61" s="244" t="n">
        <f aca="false">'Mix éner %'!Y88</f>
        <v>0.04</v>
      </c>
      <c r="Z61" s="244" t="n">
        <f aca="false">'Mix éner %'!Z88</f>
        <v>0</v>
      </c>
      <c r="AA61" s="244" t="n">
        <f aca="false">'Mix éner %'!AA88</f>
        <v>0.15</v>
      </c>
      <c r="AB61" s="244" t="n">
        <f aca="false">'Mix éner %'!AB88</f>
        <v>0.01</v>
      </c>
      <c r="AC61" s="244" t="n">
        <f aca="false">'Mix éner %'!AC88</f>
        <v>0.2925</v>
      </c>
      <c r="AD61" s="244" t="n">
        <f aca="false">'Mix éner %'!AD88</f>
        <v>0.3575</v>
      </c>
      <c r="AE61" s="244" t="n">
        <f aca="false">'Mix éner %'!AE88</f>
        <v>0</v>
      </c>
      <c r="AF61" s="244" t="n">
        <f aca="false">'Mix éner %'!AF88</f>
        <v>0</v>
      </c>
      <c r="AG61" s="244" t="n">
        <f aca="false">'Mix éner %'!AG88</f>
        <v>0</v>
      </c>
      <c r="AH61" s="244" t="n">
        <f aca="false">'Mix éner %'!AH88</f>
        <v>0</v>
      </c>
      <c r="AI61" s="244" t="n">
        <f aca="false">'Mix éner %'!AI88</f>
        <v>0.14</v>
      </c>
      <c r="AJ61" s="244" t="n">
        <f aca="false">'Mix éner %'!AJ88</f>
        <v>0</v>
      </c>
      <c r="AK61" s="244" t="n">
        <f aca="false">'Mix éner %'!AK88</f>
        <v>0.01</v>
      </c>
      <c r="AL61" s="244" t="n">
        <f aca="false">'Mix éner %'!AL88</f>
        <v>0</v>
      </c>
      <c r="AM61" s="244" t="n">
        <f aca="false">'Mix éner %'!AM88</f>
        <v>1</v>
      </c>
    </row>
    <row r="62" customFormat="false" ht="14.5" hidden="false" customHeight="false" outlineLevel="0" collapsed="false">
      <c r="C62" s="209" t="s">
        <v>484</v>
      </c>
      <c r="D62" s="209"/>
      <c r="E62" s="246"/>
      <c r="F62" s="246"/>
      <c r="G62" s="246"/>
      <c r="H62" s="246"/>
      <c r="I62" s="246"/>
      <c r="J62" s="246"/>
      <c r="K62" s="246"/>
      <c r="L62" s="246"/>
      <c r="M62" s="246"/>
      <c r="N62" s="246"/>
      <c r="O62" s="246"/>
      <c r="P62" s="246"/>
      <c r="Q62" s="246"/>
      <c r="R62" s="246"/>
      <c r="S62" s="246"/>
      <c r="T62" s="246"/>
      <c r="U62" s="247"/>
      <c r="W62" s="192" t="s">
        <v>482</v>
      </c>
      <c r="X62" s="192" t="s">
        <v>498</v>
      </c>
      <c r="Y62" s="244" t="n">
        <f aca="false">'Mix éner %'!Y92</f>
        <v>0</v>
      </c>
      <c r="Z62" s="244" t="n">
        <f aca="false">'Mix éner %'!Z92</f>
        <v>0</v>
      </c>
      <c r="AA62" s="244" t="n">
        <f aca="false">'Mix éner %'!AA92</f>
        <v>0.03</v>
      </c>
      <c r="AB62" s="244" t="n">
        <f aca="false">'Mix éner %'!AB92</f>
        <v>0.50119397890569</v>
      </c>
      <c r="AC62" s="244" t="n">
        <f aca="false">'Mix éner %'!AC92</f>
        <v>0</v>
      </c>
      <c r="AD62" s="244" t="n">
        <f aca="false">'Mix éner %'!AD92</f>
        <v>0</v>
      </c>
      <c r="AE62" s="244" t="n">
        <f aca="false">'Mix éner %'!AE92</f>
        <v>0</v>
      </c>
      <c r="AF62" s="244" t="n">
        <f aca="false">'Mix éner %'!AF92</f>
        <v>0</v>
      </c>
      <c r="AG62" s="244" t="n">
        <f aca="false">'Mix éner %'!AG92</f>
        <v>0</v>
      </c>
      <c r="AH62" s="244" t="n">
        <f aca="false">'Mix éner %'!AH92</f>
        <v>0</v>
      </c>
      <c r="AI62" s="244" t="n">
        <f aca="false">'Mix éner %'!AI92</f>
        <v>0.46880602109431</v>
      </c>
      <c r="AJ62" s="244" t="n">
        <f aca="false">'Mix éner %'!AJ92</f>
        <v>0</v>
      </c>
      <c r="AK62" s="244" t="n">
        <f aca="false">'Mix éner %'!AK92</f>
        <v>0</v>
      </c>
      <c r="AL62" s="244" t="n">
        <f aca="false">'Mix éner %'!AL92</f>
        <v>0</v>
      </c>
      <c r="AM62" s="244" t="n">
        <f aca="false">'Mix éner %'!AM92</f>
        <v>1</v>
      </c>
    </row>
    <row r="63" customFormat="false" ht="14.5" hidden="false" customHeight="false" outlineLevel="0" collapsed="false">
      <c r="C63" s="211" t="s">
        <v>485</v>
      </c>
      <c r="D63" s="212" t="s">
        <v>498</v>
      </c>
      <c r="E63" s="241" t="n">
        <v>0.05</v>
      </c>
      <c r="F63" s="241" t="n">
        <v>0</v>
      </c>
      <c r="G63" s="241" t="n">
        <v>0.03</v>
      </c>
      <c r="H63" s="241" t="n">
        <v>0.51</v>
      </c>
      <c r="I63" s="241" t="n">
        <v>0</v>
      </c>
      <c r="J63" s="241" t="n">
        <v>0</v>
      </c>
      <c r="K63" s="241" t="n">
        <v>0.04</v>
      </c>
      <c r="L63" s="245" t="n">
        <v>0</v>
      </c>
      <c r="M63" s="245" t="n">
        <v>0</v>
      </c>
      <c r="N63" s="245" t="n">
        <v>0</v>
      </c>
      <c r="O63" s="245" t="n">
        <v>0</v>
      </c>
      <c r="P63" s="245" t="n">
        <v>0</v>
      </c>
      <c r="Q63" s="241" t="n">
        <v>0.37</v>
      </c>
      <c r="R63" s="241" t="n">
        <v>0</v>
      </c>
      <c r="S63" s="241" t="n">
        <v>0</v>
      </c>
      <c r="T63" s="241" t="n">
        <f aca="false">SUM(E63:S63)</f>
        <v>1</v>
      </c>
      <c r="U63" s="242"/>
      <c r="W63" s="192" t="s">
        <v>483</v>
      </c>
      <c r="X63" s="192" t="s">
        <v>498</v>
      </c>
      <c r="Y63" s="244" t="n">
        <f aca="false">'Mix éner %'!Y96</f>
        <v>0</v>
      </c>
      <c r="Z63" s="244" t="n">
        <f aca="false">'Mix éner %'!Z96</f>
        <v>0</v>
      </c>
      <c r="AA63" s="244" t="n">
        <f aca="false">'Mix éner %'!AA96</f>
        <v>0.01</v>
      </c>
      <c r="AB63" s="244" t="n">
        <f aca="false">'Mix éner %'!AB96</f>
        <v>0.5295195779195</v>
      </c>
      <c r="AC63" s="244" t="n">
        <f aca="false">'Mix éner %'!AC96</f>
        <v>0.04</v>
      </c>
      <c r="AD63" s="244" t="n">
        <f aca="false">'Mix éner %'!AD96</f>
        <v>0</v>
      </c>
      <c r="AE63" s="244" t="n">
        <f aca="false">'Mix éner %'!AE96</f>
        <v>0</v>
      </c>
      <c r="AF63" s="244" t="n">
        <f aca="false">'Mix éner %'!AF96</f>
        <v>0</v>
      </c>
      <c r="AG63" s="244" t="n">
        <f aca="false">'Mix éner %'!AG96</f>
        <v>0</v>
      </c>
      <c r="AH63" s="244" t="n">
        <f aca="false">'Mix éner %'!AH96</f>
        <v>0</v>
      </c>
      <c r="AI63" s="244" t="n">
        <f aca="false">'Mix éner %'!AI96</f>
        <v>0.4204804220805</v>
      </c>
      <c r="AJ63" s="244" t="n">
        <f aca="false">'Mix éner %'!AJ96</f>
        <v>0</v>
      </c>
      <c r="AK63" s="244" t="n">
        <f aca="false">'Mix éner %'!AK96</f>
        <v>0</v>
      </c>
      <c r="AL63" s="244" t="n">
        <f aca="false">'Mix éner %'!AL96</f>
        <v>0</v>
      </c>
      <c r="AM63" s="244" t="n">
        <f aca="false">'Mix éner %'!AM96</f>
        <v>1</v>
      </c>
    </row>
    <row r="64" customFormat="false" ht="14.5" hidden="false" customHeight="false" outlineLevel="0" collapsed="false">
      <c r="C64" s="211" t="s">
        <v>486</v>
      </c>
      <c r="D64" s="212" t="s">
        <v>498</v>
      </c>
      <c r="E64" s="245" t="n">
        <v>0</v>
      </c>
      <c r="F64" s="245" t="n">
        <v>0</v>
      </c>
      <c r="G64" s="241" t="n">
        <v>0.02</v>
      </c>
      <c r="H64" s="241" t="n">
        <v>0.36</v>
      </c>
      <c r="I64" s="245" t="n">
        <v>0</v>
      </c>
      <c r="J64" s="245" t="n">
        <v>0</v>
      </c>
      <c r="K64" s="241" t="n">
        <v>0.0535570057014643</v>
      </c>
      <c r="L64" s="245" t="n">
        <v>0</v>
      </c>
      <c r="M64" s="245" t="n">
        <v>0</v>
      </c>
      <c r="N64" s="245" t="n">
        <v>0</v>
      </c>
      <c r="O64" s="245" t="n">
        <v>0</v>
      </c>
      <c r="P64" s="245" t="n">
        <v>0</v>
      </c>
      <c r="Q64" s="241" t="n">
        <v>0.498303413011329</v>
      </c>
      <c r="R64" s="241" t="n">
        <v>0.0681395812872065</v>
      </c>
      <c r="S64" s="245" t="n">
        <v>0</v>
      </c>
      <c r="T64" s="241" t="n">
        <f aca="false">SUM(E64:S64)</f>
        <v>1</v>
      </c>
      <c r="U64" s="242"/>
      <c r="W64" s="189" t="s">
        <v>484</v>
      </c>
      <c r="X64" s="189"/>
      <c r="Y64" s="243"/>
      <c r="Z64" s="243"/>
      <c r="AA64" s="243"/>
      <c r="AB64" s="243"/>
      <c r="AC64" s="243"/>
      <c r="AD64" s="243"/>
      <c r="AE64" s="243"/>
      <c r="AF64" s="243"/>
      <c r="AG64" s="243"/>
      <c r="AH64" s="243"/>
      <c r="AI64" s="243"/>
      <c r="AJ64" s="243"/>
      <c r="AK64" s="243"/>
      <c r="AL64" s="243"/>
      <c r="AM64" s="243"/>
    </row>
    <row r="65" customFormat="false" ht="14.5" hidden="false" customHeight="false" outlineLevel="0" collapsed="false">
      <c r="C65" s="209" t="s">
        <v>487</v>
      </c>
      <c r="D65" s="209"/>
      <c r="E65" s="241" t="n">
        <v>0</v>
      </c>
      <c r="F65" s="241" t="n">
        <v>0</v>
      </c>
      <c r="G65" s="241" t="n">
        <v>0</v>
      </c>
      <c r="H65" s="241" t="n">
        <v>0.3</v>
      </c>
      <c r="I65" s="241" t="n">
        <v>0</v>
      </c>
      <c r="J65" s="241" t="n">
        <v>0</v>
      </c>
      <c r="K65" s="241" t="n">
        <v>0</v>
      </c>
      <c r="L65" s="241" t="n">
        <v>0</v>
      </c>
      <c r="M65" s="241" t="n">
        <v>0</v>
      </c>
      <c r="N65" s="241" t="n">
        <v>0</v>
      </c>
      <c r="O65" s="241" t="n">
        <v>0</v>
      </c>
      <c r="P65" s="241" t="n">
        <v>0</v>
      </c>
      <c r="Q65" s="241" t="n">
        <v>0.7</v>
      </c>
      <c r="R65" s="241" t="n">
        <v>0</v>
      </c>
      <c r="S65" s="241" t="n">
        <v>0</v>
      </c>
      <c r="T65" s="241" t="n">
        <f aca="false">SUM(E65:S65)</f>
        <v>1</v>
      </c>
      <c r="U65" s="242"/>
      <c r="W65" s="192" t="s">
        <v>485</v>
      </c>
      <c r="X65" s="192" t="s">
        <v>498</v>
      </c>
      <c r="Y65" s="244" t="n">
        <f aca="false">'Mix éner %'!Y101</f>
        <v>0.05</v>
      </c>
      <c r="Z65" s="244" t="n">
        <f aca="false">'Mix éner %'!Z101</f>
        <v>0</v>
      </c>
      <c r="AA65" s="244" t="n">
        <f aca="false">'Mix éner %'!AA101</f>
        <v>0.03</v>
      </c>
      <c r="AB65" s="244" t="n">
        <f aca="false">'Mix éner %'!AB101</f>
        <v>0.51</v>
      </c>
      <c r="AC65" s="244" t="n">
        <f aca="false">'Mix éner %'!AC101</f>
        <v>0.04</v>
      </c>
      <c r="AD65" s="244" t="n">
        <f aca="false">'Mix éner %'!AD101</f>
        <v>0</v>
      </c>
      <c r="AE65" s="244" t="n">
        <f aca="false">'Mix éner %'!AE101</f>
        <v>0</v>
      </c>
      <c r="AF65" s="244" t="n">
        <f aca="false">'Mix éner %'!AF101</f>
        <v>0</v>
      </c>
      <c r="AG65" s="244" t="n">
        <f aca="false">'Mix éner %'!AG101</f>
        <v>0</v>
      </c>
      <c r="AH65" s="244" t="n">
        <f aca="false">'Mix éner %'!AH101</f>
        <v>0</v>
      </c>
      <c r="AI65" s="244" t="n">
        <f aca="false">'Mix éner %'!AI101</f>
        <v>0.37</v>
      </c>
      <c r="AJ65" s="244" t="n">
        <f aca="false">'Mix éner %'!AJ101</f>
        <v>0</v>
      </c>
      <c r="AK65" s="244" t="n">
        <f aca="false">'Mix éner %'!AK101</f>
        <v>0</v>
      </c>
      <c r="AL65" s="244" t="n">
        <f aca="false">'Mix éner %'!AL101</f>
        <v>0</v>
      </c>
      <c r="AM65" s="244" t="n">
        <f aca="false">'Mix éner %'!AM101</f>
        <v>1</v>
      </c>
    </row>
    <row r="66" customFormat="false" ht="14.5" hidden="false" customHeight="false" outlineLevel="0" collapsed="false">
      <c r="C66" s="248" t="s">
        <v>31</v>
      </c>
      <c r="D66" s="248"/>
      <c r="E66" s="241" t="n">
        <v>0</v>
      </c>
      <c r="F66" s="241" t="n">
        <v>0</v>
      </c>
      <c r="G66" s="241" t="n">
        <v>0.579527567659016</v>
      </c>
      <c r="H66" s="241" t="n">
        <v>0.124951012410189</v>
      </c>
      <c r="I66" s="241" t="n">
        <v>0</v>
      </c>
      <c r="J66" s="241" t="n">
        <v>0</v>
      </c>
      <c r="K66" s="241" t="n">
        <v>0.0374265186152841</v>
      </c>
      <c r="L66" s="241" t="n">
        <v>0.0259590423997693</v>
      </c>
      <c r="M66" s="241" t="n">
        <v>0</v>
      </c>
      <c r="N66" s="241" t="n">
        <v>0</v>
      </c>
      <c r="O66" s="241" t="n">
        <v>0</v>
      </c>
      <c r="P66" s="241" t="n">
        <v>0</v>
      </c>
      <c r="Q66" s="241" t="n">
        <v>0.232135858915741</v>
      </c>
      <c r="R66" s="241" t="n">
        <v>0</v>
      </c>
      <c r="S66" s="241" t="n">
        <v>0</v>
      </c>
      <c r="T66" s="241" t="n">
        <f aca="false">SUM(E66:S66)</f>
        <v>1</v>
      </c>
      <c r="U66" s="242"/>
      <c r="W66" s="192" t="s">
        <v>486</v>
      </c>
      <c r="X66" s="192" t="s">
        <v>498</v>
      </c>
      <c r="Y66" s="244" t="n">
        <f aca="false">'Mix éner %'!Y105</f>
        <v>0</v>
      </c>
      <c r="Z66" s="244" t="n">
        <f aca="false">'Mix éner %'!Z105</f>
        <v>0</v>
      </c>
      <c r="AA66" s="244" t="n">
        <f aca="false">'Mix éner %'!AA105</f>
        <v>0</v>
      </c>
      <c r="AB66" s="244" t="n">
        <f aca="false">'Mix éner %'!AB105</f>
        <v>0.338303413011329</v>
      </c>
      <c r="AC66" s="244" t="n">
        <f aca="false">'Mix éner %'!AC105</f>
        <v>0.0535570057014643</v>
      </c>
      <c r="AD66" s="244" t="n">
        <f aca="false">'Mix éner %'!AD105</f>
        <v>0</v>
      </c>
      <c r="AE66" s="244" t="n">
        <f aca="false">'Mix éner %'!AE105</f>
        <v>0</v>
      </c>
      <c r="AF66" s="244" t="n">
        <f aca="false">'Mix éner %'!AF105</f>
        <v>0</v>
      </c>
      <c r="AG66" s="244" t="n">
        <f aca="false">'Mix éner %'!AG105</f>
        <v>0.04</v>
      </c>
      <c r="AH66" s="244" t="n">
        <f aca="false">'Mix éner %'!AH105</f>
        <v>0</v>
      </c>
      <c r="AI66" s="244" t="n">
        <f aca="false">'Mix éner %'!AI105</f>
        <v>0.48</v>
      </c>
      <c r="AJ66" s="244" t="n">
        <f aca="false">'Mix éner %'!AJ105</f>
        <v>0.02</v>
      </c>
      <c r="AK66" s="244" t="n">
        <f aca="false">'Mix éner %'!AK105</f>
        <v>0.0681395812872065</v>
      </c>
      <c r="AL66" s="244" t="n">
        <f aca="false">'Mix éner %'!AL105</f>
        <v>0</v>
      </c>
      <c r="AM66" s="244" t="n">
        <f aca="false">'Mix éner %'!AM105</f>
        <v>1</v>
      </c>
    </row>
    <row r="67" customFormat="false" ht="14.5" hidden="false" customHeight="false" outlineLevel="0" collapsed="false">
      <c r="C67" s="209" t="s">
        <v>488</v>
      </c>
      <c r="D67" s="209"/>
      <c r="E67" s="246"/>
      <c r="F67" s="246"/>
      <c r="G67" s="246"/>
      <c r="H67" s="246"/>
      <c r="I67" s="246"/>
      <c r="J67" s="246"/>
      <c r="K67" s="246"/>
      <c r="L67" s="246"/>
      <c r="M67" s="246"/>
      <c r="N67" s="246"/>
      <c r="O67" s="246"/>
      <c r="P67" s="246"/>
      <c r="Q67" s="246"/>
      <c r="R67" s="246"/>
      <c r="S67" s="246"/>
      <c r="T67" s="246"/>
      <c r="U67" s="247"/>
      <c r="W67" s="189" t="s">
        <v>487</v>
      </c>
      <c r="X67" s="189"/>
      <c r="Y67" s="249" t="n">
        <f aca="false">'Mix éner %'!Y109</f>
        <v>0</v>
      </c>
      <c r="Z67" s="249" t="n">
        <f aca="false">'Mix éner %'!Z109</f>
        <v>0</v>
      </c>
      <c r="AA67" s="249" t="n">
        <f aca="false">'Mix éner %'!AA109</f>
        <v>0</v>
      </c>
      <c r="AB67" s="249" t="n">
        <f aca="false">'Mix éner %'!AB109</f>
        <v>0.28</v>
      </c>
      <c r="AC67" s="249" t="n">
        <f aca="false">'Mix éner %'!AC109</f>
        <v>0</v>
      </c>
      <c r="AD67" s="249" t="n">
        <f aca="false">'Mix éner %'!AD109</f>
        <v>0</v>
      </c>
      <c r="AE67" s="249" t="n">
        <f aca="false">'Mix éner %'!AE109</f>
        <v>0</v>
      </c>
      <c r="AF67" s="249" t="n">
        <f aca="false">'Mix éner %'!AF109</f>
        <v>0</v>
      </c>
      <c r="AG67" s="249" t="n">
        <f aca="false">'Mix éner %'!AG109</f>
        <v>0.02</v>
      </c>
      <c r="AH67" s="249" t="n">
        <f aca="false">'Mix éner %'!AH109</f>
        <v>0</v>
      </c>
      <c r="AI67" s="249" t="n">
        <f aca="false">'Mix éner %'!AI109</f>
        <v>0.68</v>
      </c>
      <c r="AJ67" s="249" t="n">
        <f aca="false">'Mix éner %'!AJ109</f>
        <v>0.01</v>
      </c>
      <c r="AK67" s="249" t="n">
        <f aca="false">'Mix éner %'!AK109</f>
        <v>0.01</v>
      </c>
      <c r="AL67" s="249" t="n">
        <f aca="false">'Mix éner %'!AL109</f>
        <v>0</v>
      </c>
      <c r="AM67" s="249" t="n">
        <f aca="false">'Mix éner %'!AM109</f>
        <v>1</v>
      </c>
    </row>
    <row r="68" customFormat="false" ht="14.5" hidden="false" customHeight="false" outlineLevel="0" collapsed="false">
      <c r="C68" s="211" t="s">
        <v>489</v>
      </c>
      <c r="D68" s="212" t="s">
        <v>498</v>
      </c>
      <c r="E68" s="241" t="n">
        <v>0</v>
      </c>
      <c r="F68" s="241" t="n">
        <v>0</v>
      </c>
      <c r="G68" s="241" t="n">
        <v>0</v>
      </c>
      <c r="H68" s="241" t="n">
        <v>0.24</v>
      </c>
      <c r="I68" s="241" t="n">
        <v>0</v>
      </c>
      <c r="J68" s="241" t="n">
        <v>0</v>
      </c>
      <c r="K68" s="241" t="n">
        <v>0.25</v>
      </c>
      <c r="L68" s="241" t="n">
        <v>0</v>
      </c>
      <c r="M68" s="241" t="n">
        <v>0</v>
      </c>
      <c r="N68" s="241" t="n">
        <v>0</v>
      </c>
      <c r="O68" s="241" t="n">
        <v>0</v>
      </c>
      <c r="P68" s="241" t="n">
        <v>0</v>
      </c>
      <c r="Q68" s="241" t="n">
        <v>0.365912939428666</v>
      </c>
      <c r="R68" s="241" t="n">
        <v>0.144087060571334</v>
      </c>
      <c r="S68" s="241" t="n">
        <v>0</v>
      </c>
      <c r="T68" s="241" t="n">
        <f aca="false">SUM(E68:S68)</f>
        <v>1</v>
      </c>
      <c r="U68" s="242"/>
      <c r="W68" s="189" t="s">
        <v>31</v>
      </c>
      <c r="X68" s="189"/>
      <c r="Y68" s="249" t="n">
        <f aca="false">'Mix éner %'!Y113</f>
        <v>0</v>
      </c>
      <c r="Z68" s="249" t="n">
        <f aca="false">'Mix éner %'!Z113</f>
        <v>0</v>
      </c>
      <c r="AA68" s="249" t="n">
        <f aca="false">'Mix éner %'!AA113</f>
        <v>0.45</v>
      </c>
      <c r="AB68" s="249" t="n">
        <f aca="false">'Mix éner %'!AB113</f>
        <v>0.124951012410189</v>
      </c>
      <c r="AC68" s="249" t="n">
        <f aca="false">'Mix éner %'!AC113</f>
        <v>0.0374265186152841</v>
      </c>
      <c r="AD68" s="249" t="n">
        <f aca="false">'Mix éner %'!AD113</f>
        <v>0.0259590423997693</v>
      </c>
      <c r="AE68" s="249" t="n">
        <f aca="false">'Mix éner %'!AE113</f>
        <v>0</v>
      </c>
      <c r="AF68" s="249" t="n">
        <f aca="false">'Mix éner %'!AF113</f>
        <v>0</v>
      </c>
      <c r="AG68" s="249" t="n">
        <f aca="false">'Mix éner %'!AG113</f>
        <v>0</v>
      </c>
      <c r="AH68" s="249" t="n">
        <f aca="false">'Mix éner %'!AH113</f>
        <v>0</v>
      </c>
      <c r="AI68" s="249" t="n">
        <f aca="false">'Mix éner %'!AI113</f>
        <v>0.342</v>
      </c>
      <c r="AJ68" s="249" t="n">
        <f aca="false">'Mix éner %'!AJ113</f>
        <v>0</v>
      </c>
      <c r="AK68" s="249" t="n">
        <f aca="false">'Mix éner %'!AK113</f>
        <v>0</v>
      </c>
      <c r="AL68" s="249" t="n">
        <f aca="false">'Mix éner %'!AL113</f>
        <v>0.02</v>
      </c>
      <c r="AM68" s="249" t="n">
        <f aca="false">'Mix éner %'!AM113</f>
        <v>1.00033657342524</v>
      </c>
    </row>
    <row r="69" customFormat="false" ht="14.5" hidden="false" customHeight="false" outlineLevel="0" collapsed="false">
      <c r="C69" s="211" t="s">
        <v>490</v>
      </c>
      <c r="D69" s="212" t="s">
        <v>498</v>
      </c>
      <c r="E69" s="241" t="n">
        <v>0</v>
      </c>
      <c r="F69" s="241" t="n">
        <v>0</v>
      </c>
      <c r="G69" s="241" t="n">
        <v>0.04</v>
      </c>
      <c r="H69" s="241" t="n">
        <v>0.301490724374404</v>
      </c>
      <c r="I69" s="241" t="n">
        <v>0</v>
      </c>
      <c r="J69" s="241" t="n">
        <v>0</v>
      </c>
      <c r="K69" s="241" t="n">
        <v>0.02</v>
      </c>
      <c r="L69" s="241" t="n">
        <v>0</v>
      </c>
      <c r="M69" s="241" t="n">
        <v>0</v>
      </c>
      <c r="N69" s="241" t="n">
        <v>0</v>
      </c>
      <c r="O69" s="241" t="n">
        <v>0</v>
      </c>
      <c r="P69" s="241" t="n">
        <v>0</v>
      </c>
      <c r="Q69" s="241" t="n">
        <v>0.618509275625596</v>
      </c>
      <c r="R69" s="241" t="n">
        <v>0.02</v>
      </c>
      <c r="S69" s="241" t="n">
        <v>0</v>
      </c>
      <c r="T69" s="241" t="n">
        <f aca="false">SUM(E69:S69)</f>
        <v>1</v>
      </c>
      <c r="U69" s="242"/>
      <c r="W69" s="189" t="s">
        <v>488</v>
      </c>
      <c r="X69" s="189"/>
      <c r="Y69" s="243"/>
      <c r="Z69" s="243"/>
      <c r="AA69" s="243"/>
      <c r="AB69" s="243"/>
      <c r="AC69" s="243"/>
      <c r="AD69" s="243"/>
      <c r="AE69" s="243"/>
      <c r="AF69" s="243"/>
      <c r="AG69" s="243"/>
      <c r="AH69" s="243"/>
      <c r="AI69" s="243"/>
      <c r="AJ69" s="243"/>
      <c r="AK69" s="243"/>
      <c r="AL69" s="243"/>
      <c r="AM69" s="243"/>
    </row>
    <row r="70" customFormat="false" ht="14.5" hidden="false" customHeight="false" outlineLevel="0" collapsed="false">
      <c r="W70" s="192" t="s">
        <v>489</v>
      </c>
      <c r="X70" s="192" t="s">
        <v>498</v>
      </c>
      <c r="Y70" s="244" t="n">
        <f aca="false">'Mix éner %'!Y118</f>
        <v>0</v>
      </c>
      <c r="Z70" s="244" t="n">
        <f aca="false">'Mix éner %'!Z118</f>
        <v>0</v>
      </c>
      <c r="AA70" s="244" t="n">
        <f aca="false">'Mix éner %'!AA118</f>
        <v>0</v>
      </c>
      <c r="AB70" s="244" t="n">
        <f aca="false">'Mix éner %'!AB118</f>
        <v>0.200912939428666</v>
      </c>
      <c r="AC70" s="244" t="n">
        <f aca="false">'Mix éner %'!AC118</f>
        <v>0.3</v>
      </c>
      <c r="AD70" s="244" t="n">
        <f aca="false">'Mix éner %'!AD118</f>
        <v>0</v>
      </c>
      <c r="AE70" s="244" t="n">
        <f aca="false">'Mix éner %'!AE118</f>
        <v>0</v>
      </c>
      <c r="AF70" s="244" t="n">
        <f aca="false">'Mix éner %'!AF118</f>
        <v>0</v>
      </c>
      <c r="AG70" s="244" t="n">
        <f aca="false">'Mix éner %'!AG118</f>
        <v>0.05</v>
      </c>
      <c r="AH70" s="244" t="n">
        <f aca="false">'Mix éner %'!AH118</f>
        <v>0</v>
      </c>
      <c r="AI70" s="244" t="n">
        <f aca="false">'Mix éner %'!AI118</f>
        <v>0.28</v>
      </c>
      <c r="AJ70" s="244" t="n">
        <f aca="false">'Mix éner %'!AJ118</f>
        <v>0.025</v>
      </c>
      <c r="AK70" s="244" t="n">
        <f aca="false">'Mix éner %'!AK118</f>
        <v>0.144087060571334</v>
      </c>
      <c r="AL70" s="244" t="n">
        <f aca="false">'Mix éner %'!AL118</f>
        <v>0</v>
      </c>
      <c r="AM70" s="244" t="n">
        <f aca="false">'Mix éner %'!AM118</f>
        <v>1</v>
      </c>
    </row>
    <row r="71" customFormat="false" ht="14.5" hidden="false" customHeight="false" outlineLevel="0" collapsed="false">
      <c r="W71" s="192" t="s">
        <v>490</v>
      </c>
      <c r="X71" s="192" t="s">
        <v>498</v>
      </c>
      <c r="Y71" s="244" t="n">
        <f aca="false">'Mix éner %'!Y122</f>
        <v>0</v>
      </c>
      <c r="Z71" s="244" t="n">
        <f aca="false">'Mix éner %'!Z122</f>
        <v>0</v>
      </c>
      <c r="AA71" s="244" t="n">
        <f aca="false">'Mix éner %'!AA122</f>
        <v>0.04</v>
      </c>
      <c r="AB71" s="244" t="n">
        <f aca="false">'Mix éner %'!AB122</f>
        <v>0.31</v>
      </c>
      <c r="AC71" s="244" t="n">
        <f aca="false">'Mix éner %'!AC122</f>
        <v>0.02</v>
      </c>
      <c r="AD71" s="244" t="n">
        <f aca="false">'Mix éner %'!AD122</f>
        <v>0</v>
      </c>
      <c r="AE71" s="244" t="n">
        <f aca="false">'Mix éner %'!AE122</f>
        <v>0</v>
      </c>
      <c r="AF71" s="244" t="n">
        <f aca="false">'Mix éner %'!AF122</f>
        <v>0</v>
      </c>
      <c r="AG71" s="244" t="n">
        <f aca="false">'Mix éner %'!AG122</f>
        <v>0.06</v>
      </c>
      <c r="AH71" s="244" t="n">
        <f aca="false">'Mix éner %'!AH122</f>
        <v>0</v>
      </c>
      <c r="AI71" s="244" t="n">
        <f aca="false">'Mix éner %'!AI122</f>
        <v>0.52</v>
      </c>
      <c r="AJ71" s="244" t="n">
        <f aca="false">'Mix éner %'!AJ122</f>
        <v>0.03</v>
      </c>
      <c r="AK71" s="244" t="n">
        <f aca="false">'Mix éner %'!AK122</f>
        <v>0.02</v>
      </c>
      <c r="AL71" s="244" t="n">
        <f aca="false">'Mix éner %'!AL122</f>
        <v>0</v>
      </c>
      <c r="AM71" s="244" t="n">
        <f aca="false">'Mix éner %'!AM122</f>
        <v>1</v>
      </c>
    </row>
    <row r="73" customFormat="false" ht="14.5" hidden="false" customHeight="false" outlineLevel="0" collapsed="false">
      <c r="Y73" s="191"/>
      <c r="Z73" s="191"/>
      <c r="AA73" s="191"/>
      <c r="AB73" s="191"/>
      <c r="AC73" s="191"/>
      <c r="AD73" s="191"/>
      <c r="AE73" s="191"/>
      <c r="AF73" s="191"/>
      <c r="AG73" s="191"/>
      <c r="AH73" s="191"/>
      <c r="AI73" s="191"/>
      <c r="AJ73" s="191"/>
      <c r="AK73" s="191"/>
      <c r="AL73" s="191"/>
      <c r="AM73" s="191"/>
    </row>
    <row r="75" customFormat="false" ht="14.5" hidden="false" customHeight="false" outlineLevel="0" collapsed="false">
      <c r="C75" s="236" t="s">
        <v>540</v>
      </c>
      <c r="D75" s="236"/>
      <c r="E75" s="236"/>
      <c r="F75" s="236"/>
      <c r="G75" s="236"/>
      <c r="H75" s="236"/>
      <c r="I75" s="236"/>
      <c r="J75" s="236"/>
      <c r="K75" s="236"/>
      <c r="L75" s="236"/>
      <c r="M75" s="236"/>
      <c r="N75" s="236"/>
      <c r="O75" s="236"/>
      <c r="P75" s="236"/>
      <c r="Q75" s="236"/>
      <c r="R75" s="236"/>
      <c r="S75" s="236"/>
      <c r="T75" s="236"/>
      <c r="U75" s="237"/>
      <c r="W75" s="183" t="n">
        <v>2050</v>
      </c>
      <c r="X75" s="183"/>
      <c r="Y75" s="183"/>
      <c r="Z75" s="183"/>
      <c r="AA75" s="183"/>
      <c r="AB75" s="183"/>
      <c r="AC75" s="183"/>
      <c r="AD75" s="183"/>
      <c r="AE75" s="183"/>
      <c r="AF75" s="183"/>
      <c r="AG75" s="183"/>
      <c r="AH75" s="183"/>
      <c r="AI75" s="183"/>
      <c r="AJ75" s="183"/>
      <c r="AK75" s="183"/>
      <c r="AL75" s="183"/>
      <c r="AM75" s="183"/>
    </row>
    <row r="76" customFormat="false" ht="14.5" hidden="false" customHeight="true" outlineLevel="0" collapsed="false">
      <c r="C76" s="238" t="s">
        <v>495</v>
      </c>
      <c r="D76" s="238"/>
      <c r="E76" s="203" t="s">
        <v>439</v>
      </c>
      <c r="F76" s="203" t="s">
        <v>440</v>
      </c>
      <c r="G76" s="203" t="s">
        <v>441</v>
      </c>
      <c r="H76" s="203" t="s">
        <v>442</v>
      </c>
      <c r="I76" s="203" t="s">
        <v>537</v>
      </c>
      <c r="J76" s="203" t="s">
        <v>538</v>
      </c>
      <c r="K76" s="203" t="s">
        <v>443</v>
      </c>
      <c r="L76" s="203"/>
      <c r="M76" s="203"/>
      <c r="N76" s="203"/>
      <c r="O76" s="203"/>
      <c r="P76" s="203"/>
      <c r="Q76" s="203" t="s">
        <v>446</v>
      </c>
      <c r="R76" s="203" t="s">
        <v>447</v>
      </c>
      <c r="S76" s="203" t="s">
        <v>448</v>
      </c>
      <c r="T76" s="203" t="s">
        <v>52</v>
      </c>
      <c r="U76" s="239"/>
      <c r="W76" s="184" t="s">
        <v>539</v>
      </c>
      <c r="X76" s="184"/>
      <c r="Y76" s="185" t="s">
        <v>439</v>
      </c>
      <c r="Z76" s="185"/>
      <c r="AA76" s="185" t="s">
        <v>441</v>
      </c>
      <c r="AB76" s="185" t="s">
        <v>442</v>
      </c>
      <c r="AC76" s="185" t="s">
        <v>443</v>
      </c>
      <c r="AD76" s="185"/>
      <c r="AE76" s="185"/>
      <c r="AF76" s="185"/>
      <c r="AG76" s="185" t="s">
        <v>444</v>
      </c>
      <c r="AH76" s="185" t="s">
        <v>445</v>
      </c>
      <c r="AI76" s="185" t="s">
        <v>446</v>
      </c>
      <c r="AJ76" s="187"/>
      <c r="AK76" s="185" t="s">
        <v>447</v>
      </c>
      <c r="AL76" s="186" t="s">
        <v>448</v>
      </c>
      <c r="AM76" s="185" t="s">
        <v>52</v>
      </c>
    </row>
    <row r="77" customFormat="false" ht="70.5" hidden="false" customHeight="false" outlineLevel="0" collapsed="false">
      <c r="C77" s="209" t="s">
        <v>24</v>
      </c>
      <c r="D77" s="209"/>
      <c r="E77" s="203"/>
      <c r="F77" s="203"/>
      <c r="G77" s="203"/>
      <c r="H77" s="203"/>
      <c r="I77" s="203"/>
      <c r="J77" s="203"/>
      <c r="K77" s="203" t="s">
        <v>451</v>
      </c>
      <c r="L77" s="203" t="s">
        <v>452</v>
      </c>
      <c r="M77" s="203" t="s">
        <v>453</v>
      </c>
      <c r="N77" s="203" t="s">
        <v>454</v>
      </c>
      <c r="O77" s="203" t="s">
        <v>444</v>
      </c>
      <c r="P77" s="203" t="s">
        <v>445</v>
      </c>
      <c r="Q77" s="203"/>
      <c r="R77" s="203"/>
      <c r="S77" s="203" t="s">
        <v>448</v>
      </c>
      <c r="T77" s="203"/>
      <c r="U77" s="239"/>
      <c r="W77" s="184"/>
      <c r="X77" s="184"/>
      <c r="Y77" s="185"/>
      <c r="Z77" s="185" t="s">
        <v>455</v>
      </c>
      <c r="AA77" s="185"/>
      <c r="AB77" s="185"/>
      <c r="AC77" s="186" t="s">
        <v>451</v>
      </c>
      <c r="AD77" s="186" t="s">
        <v>452</v>
      </c>
      <c r="AE77" s="186" t="s">
        <v>453</v>
      </c>
      <c r="AF77" s="186" t="s">
        <v>454</v>
      </c>
      <c r="AG77" s="185"/>
      <c r="AH77" s="185"/>
      <c r="AI77" s="185"/>
      <c r="AJ77" s="188" t="s">
        <v>456</v>
      </c>
      <c r="AK77" s="185"/>
      <c r="AL77" s="186" t="s">
        <v>448</v>
      </c>
      <c r="AM77" s="185"/>
    </row>
    <row r="78" customFormat="false" ht="14.5" hidden="false" customHeight="false" outlineLevel="0" collapsed="false">
      <c r="C78" s="211" t="s">
        <v>461</v>
      </c>
      <c r="D78" s="212" t="s">
        <v>498</v>
      </c>
      <c r="E78" s="240" t="n">
        <f aca="false">11.1635061772858%+5%</f>
        <v>0.161635061772858</v>
      </c>
      <c r="F78" s="240" t="n">
        <v>0</v>
      </c>
      <c r="G78" s="240" t="n">
        <v>0</v>
      </c>
      <c r="H78" s="240" t="n">
        <v>0.388478806835458</v>
      </c>
      <c r="I78" s="240" t="n">
        <v>0</v>
      </c>
      <c r="J78" s="240" t="n">
        <v>0</v>
      </c>
      <c r="K78" s="240" t="n">
        <v>0.173010449959066</v>
      </c>
      <c r="L78" s="240" t="n">
        <v>0</v>
      </c>
      <c r="M78" s="240" t="n">
        <v>0</v>
      </c>
      <c r="N78" s="240" t="n">
        <v>0</v>
      </c>
      <c r="O78" s="240" t="n">
        <v>0</v>
      </c>
      <c r="P78" s="240" t="n">
        <v>0</v>
      </c>
      <c r="Q78" s="240" t="n">
        <v>0.276875681432618</v>
      </c>
      <c r="R78" s="240" t="n">
        <v>0</v>
      </c>
      <c r="S78" s="240" t="n">
        <v>0</v>
      </c>
      <c r="T78" s="241" t="n">
        <f aca="false">SUM(E78:S78)</f>
        <v>1</v>
      </c>
      <c r="U78" s="242"/>
      <c r="W78" s="189" t="s">
        <v>24</v>
      </c>
      <c r="X78" s="189"/>
      <c r="Y78" s="243"/>
      <c r="Z78" s="243"/>
      <c r="AA78" s="243"/>
      <c r="AB78" s="243"/>
      <c r="AC78" s="243"/>
      <c r="AD78" s="243"/>
      <c r="AE78" s="243"/>
      <c r="AF78" s="243"/>
      <c r="AG78" s="243"/>
      <c r="AH78" s="243"/>
      <c r="AI78" s="243"/>
      <c r="AJ78" s="243"/>
      <c r="AK78" s="243"/>
      <c r="AL78" s="243"/>
      <c r="AM78" s="243"/>
    </row>
    <row r="79" customFormat="false" ht="14.5" hidden="false" customHeight="false" outlineLevel="0" collapsed="false">
      <c r="C79" s="211" t="s">
        <v>464</v>
      </c>
      <c r="D79" s="212" t="s">
        <v>498</v>
      </c>
      <c r="E79" s="240" t="n">
        <v>0.0105140678769938</v>
      </c>
      <c r="F79" s="240" t="n">
        <v>0</v>
      </c>
      <c r="G79" s="240" t="n">
        <v>0.0160951739582194</v>
      </c>
      <c r="H79" s="240" t="n">
        <v>0.144139696174567</v>
      </c>
      <c r="I79" s="240" t="n">
        <v>0</v>
      </c>
      <c r="J79" s="240" t="n">
        <v>0</v>
      </c>
      <c r="K79" s="240" t="n">
        <v>0.0219855996537811</v>
      </c>
      <c r="L79" s="240" t="n">
        <v>0</v>
      </c>
      <c r="M79" s="240" t="n">
        <v>0</v>
      </c>
      <c r="N79" s="240" t="n">
        <v>0</v>
      </c>
      <c r="O79" s="240" t="n">
        <v>0</v>
      </c>
      <c r="P79" s="240" t="n">
        <v>0</v>
      </c>
      <c r="Q79" s="240" t="n">
        <v>0.807265462336439</v>
      </c>
      <c r="R79" s="240" t="n">
        <v>0</v>
      </c>
      <c r="S79" s="240" t="n">
        <v>0</v>
      </c>
      <c r="T79" s="241" t="n">
        <f aca="false">SUM(E79:S79)</f>
        <v>1</v>
      </c>
      <c r="U79" s="242"/>
      <c r="W79" s="192" t="s">
        <v>461</v>
      </c>
      <c r="X79" s="192" t="s">
        <v>498</v>
      </c>
      <c r="Y79" s="244" t="n">
        <f aca="false">'Mix éner %'!Y47</f>
        <v>0.335003303171459</v>
      </c>
      <c r="Z79" s="244" t="n">
        <f aca="false">'Mix éner %'!Z47</f>
        <v>0.494996696828541</v>
      </c>
      <c r="AA79" s="244" t="n">
        <f aca="false">'Mix éner %'!AA47</f>
        <v>0</v>
      </c>
      <c r="AB79" s="244" t="n">
        <f aca="false">'Mix éner %'!AB47</f>
        <v>0</v>
      </c>
      <c r="AC79" s="244" t="n">
        <f aca="false">'Mix éner %'!AC47</f>
        <v>0.05</v>
      </c>
      <c r="AD79" s="244" t="n">
        <f aca="false">'Mix éner %'!AD47</f>
        <v>0.12</v>
      </c>
      <c r="AE79" s="244" t="n">
        <f aca="false">'Mix éner %'!AE47</f>
        <v>0</v>
      </c>
      <c r="AF79" s="244" t="n">
        <f aca="false">'Mix éner %'!AF47</f>
        <v>0</v>
      </c>
      <c r="AG79" s="244" t="n">
        <f aca="false">'Mix éner %'!AG47</f>
        <v>0</v>
      </c>
      <c r="AH79" s="244" t="n">
        <f aca="false">'Mix éner %'!AH47</f>
        <v>0</v>
      </c>
      <c r="AI79" s="244" t="n">
        <f aca="false">'Mix éner %'!AI47</f>
        <v>0</v>
      </c>
      <c r="AJ79" s="244" t="n">
        <f aca="false">'Mix éner %'!AJ47</f>
        <v>0</v>
      </c>
      <c r="AK79" s="244" t="n">
        <f aca="false">'Mix éner %'!AK47</f>
        <v>0</v>
      </c>
      <c r="AL79" s="244" t="n">
        <f aca="false">'Mix éner %'!AL47</f>
        <v>0</v>
      </c>
      <c r="AM79" s="244" t="n">
        <f aca="false">'Mix éner %'!AM47</f>
        <v>1</v>
      </c>
    </row>
    <row r="80" customFormat="false" ht="14.5" hidden="false" customHeight="false" outlineLevel="0" collapsed="false">
      <c r="C80" s="211" t="s">
        <v>466</v>
      </c>
      <c r="D80" s="212" t="s">
        <v>498</v>
      </c>
      <c r="E80" s="240" t="n">
        <v>0</v>
      </c>
      <c r="F80" s="240" t="n">
        <v>0</v>
      </c>
      <c r="G80" s="240" t="n">
        <v>0</v>
      </c>
      <c r="H80" s="240" t="n">
        <v>0.15207756232687</v>
      </c>
      <c r="I80" s="240" t="n">
        <v>0</v>
      </c>
      <c r="J80" s="240" t="n">
        <v>0</v>
      </c>
      <c r="K80" s="240" t="n">
        <v>0</v>
      </c>
      <c r="L80" s="240" t="n">
        <v>0</v>
      </c>
      <c r="M80" s="240" t="n">
        <v>0</v>
      </c>
      <c r="N80" s="240" t="n">
        <v>0</v>
      </c>
      <c r="O80" s="240" t="n">
        <v>0</v>
      </c>
      <c r="P80" s="240" t="n">
        <v>0</v>
      </c>
      <c r="Q80" s="240" t="n">
        <v>0.137673130193906</v>
      </c>
      <c r="R80" s="240" t="n">
        <v>0</v>
      </c>
      <c r="S80" s="240" t="n">
        <v>0.710249307479224</v>
      </c>
      <c r="T80" s="241" t="n">
        <f aca="false">SUM(E80:S80)</f>
        <v>1</v>
      </c>
      <c r="U80" s="242"/>
      <c r="W80" s="192" t="s">
        <v>464</v>
      </c>
      <c r="X80" s="192" t="s">
        <v>498</v>
      </c>
      <c r="Y80" s="244" t="n">
        <f aca="false">'Mix éner %'!Y51</f>
        <v>0.0105140678769938</v>
      </c>
      <c r="Z80" s="244" t="n">
        <f aca="false">'Mix éner %'!Z51</f>
        <v>0</v>
      </c>
      <c r="AA80" s="244" t="n">
        <f aca="false">'Mix éner %'!AA51</f>
        <v>0.0160951739582194</v>
      </c>
      <c r="AB80" s="244" t="n">
        <f aca="false">'Mix éner %'!AB51</f>
        <v>0.144139696174567</v>
      </c>
      <c r="AC80" s="244" t="n">
        <f aca="false">'Mix éner %'!AC51</f>
        <v>0.0219855996537811</v>
      </c>
      <c r="AD80" s="244" t="n">
        <f aca="false">'Mix éner %'!AD51</f>
        <v>0</v>
      </c>
      <c r="AE80" s="244" t="n">
        <f aca="false">'Mix éner %'!AE51</f>
        <v>0</v>
      </c>
      <c r="AF80" s="244" t="n">
        <f aca="false">'Mix éner %'!AF51</f>
        <v>0</v>
      </c>
      <c r="AG80" s="244" t="n">
        <f aca="false">'Mix éner %'!AG51</f>
        <v>0</v>
      </c>
      <c r="AH80" s="244" t="n">
        <f aca="false">'Mix éner %'!AH51</f>
        <v>0</v>
      </c>
      <c r="AI80" s="244" t="n">
        <f aca="false">'Mix éner %'!AI51</f>
        <v>0.807265462336439</v>
      </c>
      <c r="AJ80" s="244" t="n">
        <f aca="false">'Mix éner %'!AJ51</f>
        <v>0</v>
      </c>
      <c r="AK80" s="244" t="n">
        <f aca="false">'Mix éner %'!AK51</f>
        <v>0</v>
      </c>
      <c r="AL80" s="244" t="n">
        <f aca="false">'Mix éner %'!AL51</f>
        <v>0</v>
      </c>
      <c r="AM80" s="244" t="n">
        <f aca="false">'Mix éner %'!AM51</f>
        <v>1</v>
      </c>
    </row>
    <row r="81" customFormat="false" ht="14.5" hidden="false" customHeight="false" outlineLevel="0" collapsed="false">
      <c r="C81" s="211" t="s">
        <v>469</v>
      </c>
      <c r="D81" s="212" t="s">
        <v>498</v>
      </c>
      <c r="E81" s="241" t="n">
        <v>0</v>
      </c>
      <c r="F81" s="241" t="n">
        <v>0</v>
      </c>
      <c r="G81" s="241" t="n">
        <v>0</v>
      </c>
      <c r="H81" s="241" t="n">
        <v>0.120723236835815</v>
      </c>
      <c r="I81" s="241" t="n">
        <v>0</v>
      </c>
      <c r="J81" s="241" t="n">
        <v>0</v>
      </c>
      <c r="K81" s="241" t="n">
        <v>0</v>
      </c>
      <c r="L81" s="241" t="n">
        <v>0</v>
      </c>
      <c r="M81" s="241" t="n">
        <v>0</v>
      </c>
      <c r="N81" s="241" t="n">
        <v>0</v>
      </c>
      <c r="O81" s="241" t="n">
        <v>0</v>
      </c>
      <c r="P81" s="241" t="n">
        <v>0</v>
      </c>
      <c r="Q81" s="241" t="n">
        <v>0.871113704245312</v>
      </c>
      <c r="R81" s="241" t="n">
        <v>0.01</v>
      </c>
      <c r="S81" s="241" t="n">
        <v>0</v>
      </c>
      <c r="T81" s="241" t="n">
        <f aca="false">SUM(E81:S81)</f>
        <v>1.00183694108113</v>
      </c>
      <c r="U81" s="242"/>
      <c r="W81" s="192" t="s">
        <v>466</v>
      </c>
      <c r="X81" s="192" t="s">
        <v>498</v>
      </c>
      <c r="Y81" s="244" t="n">
        <f aca="false">'Mix éner %'!Y55</f>
        <v>0</v>
      </c>
      <c r="Z81" s="244" t="n">
        <f aca="false">'Mix éner %'!Z55</f>
        <v>0</v>
      </c>
      <c r="AA81" s="244" t="n">
        <f aca="false">'Mix éner %'!AA55</f>
        <v>0</v>
      </c>
      <c r="AB81" s="244" t="n">
        <f aca="false">'Mix éner %'!AB55</f>
        <v>0.15207756232687</v>
      </c>
      <c r="AC81" s="244" t="n">
        <f aca="false">'Mix éner %'!AC55</f>
        <v>0</v>
      </c>
      <c r="AD81" s="244" t="n">
        <f aca="false">'Mix éner %'!AD55</f>
        <v>0</v>
      </c>
      <c r="AE81" s="244" t="n">
        <f aca="false">'Mix éner %'!AE55</f>
        <v>0</v>
      </c>
      <c r="AF81" s="244" t="n">
        <f aca="false">'Mix éner %'!AF55</f>
        <v>0</v>
      </c>
      <c r="AG81" s="244" t="n">
        <f aca="false">'Mix éner %'!AG55</f>
        <v>0</v>
      </c>
      <c r="AH81" s="244" t="n">
        <f aca="false">'Mix éner %'!AH55</f>
        <v>0</v>
      </c>
      <c r="AI81" s="244" t="n">
        <f aca="false">'Mix éner %'!AI55</f>
        <v>0.137673130193906</v>
      </c>
      <c r="AJ81" s="244" t="n">
        <f aca="false">'Mix éner %'!AJ55</f>
        <v>0</v>
      </c>
      <c r="AK81" s="244" t="n">
        <f aca="false">'Mix éner %'!AK55</f>
        <v>0</v>
      </c>
      <c r="AL81" s="244" t="n">
        <f aca="false">'Mix éner %'!AL55</f>
        <v>0.710249307479224</v>
      </c>
      <c r="AM81" s="244" t="n">
        <f aca="false">'Mix éner %'!AM55</f>
        <v>1</v>
      </c>
    </row>
    <row r="82" customFormat="false" ht="14.5" hidden="false" customHeight="false" outlineLevel="0" collapsed="false">
      <c r="C82" s="211" t="s">
        <v>471</v>
      </c>
      <c r="D82" s="212" t="s">
        <v>498</v>
      </c>
      <c r="E82" s="241" t="n">
        <v>0</v>
      </c>
      <c r="F82" s="241" t="n">
        <v>0</v>
      </c>
      <c r="G82" s="241" t="n">
        <v>0</v>
      </c>
      <c r="H82" s="241" t="n">
        <v>0.758566228345877</v>
      </c>
      <c r="I82" s="241" t="n">
        <v>0</v>
      </c>
      <c r="J82" s="241" t="n">
        <v>0</v>
      </c>
      <c r="K82" s="241" t="n">
        <v>0</v>
      </c>
      <c r="L82" s="241" t="n">
        <v>0</v>
      </c>
      <c r="M82" s="241" t="n">
        <v>0</v>
      </c>
      <c r="N82" s="241" t="n">
        <v>0</v>
      </c>
      <c r="O82" s="241" t="n">
        <v>0</v>
      </c>
      <c r="P82" s="241" t="n">
        <v>0</v>
      </c>
      <c r="Q82" s="241" t="n">
        <v>0.241433771654123</v>
      </c>
      <c r="R82" s="241" t="n">
        <v>0</v>
      </c>
      <c r="S82" s="241" t="n">
        <v>0</v>
      </c>
      <c r="T82" s="241" t="n">
        <f aca="false">SUM(E82:S82)</f>
        <v>1</v>
      </c>
      <c r="U82" s="242"/>
      <c r="W82" s="198" t="s">
        <v>467</v>
      </c>
      <c r="X82" s="192" t="s">
        <v>498</v>
      </c>
      <c r="Y82" s="244" t="n">
        <f aca="false">'Mix éner %'!Y59</f>
        <v>0.03</v>
      </c>
      <c r="Z82" s="244" t="n">
        <f aca="false">'Mix éner %'!Z59</f>
        <v>0</v>
      </c>
      <c r="AA82" s="244" t="n">
        <f aca="false">'Mix éner %'!AA59</f>
        <v>0.01</v>
      </c>
      <c r="AB82" s="244" t="n">
        <f aca="false">'Mix éner %'!AB59</f>
        <v>0.2</v>
      </c>
      <c r="AC82" s="244" t="n">
        <f aca="false">'Mix éner %'!AC59</f>
        <v>0.05</v>
      </c>
      <c r="AD82" s="244" t="n">
        <f aca="false">'Mix éner %'!AD59</f>
        <v>0</v>
      </c>
      <c r="AE82" s="244" t="n">
        <f aca="false">'Mix éner %'!AE59</f>
        <v>0</v>
      </c>
      <c r="AF82" s="244" t="n">
        <f aca="false">'Mix éner %'!AF59</f>
        <v>0</v>
      </c>
      <c r="AG82" s="244" t="n">
        <f aca="false">'Mix éner %'!AG59</f>
        <v>0</v>
      </c>
      <c r="AH82" s="244" t="n">
        <f aca="false">'Mix éner %'!AH59</f>
        <v>0</v>
      </c>
      <c r="AI82" s="244" t="n">
        <f aca="false">'Mix éner %'!AI59</f>
        <v>0.7</v>
      </c>
      <c r="AJ82" s="244" t="n">
        <f aca="false">'Mix éner %'!AJ59</f>
        <v>0</v>
      </c>
      <c r="AK82" s="244" t="n">
        <f aca="false">'Mix éner %'!AK59</f>
        <v>0.01</v>
      </c>
      <c r="AL82" s="244" t="n">
        <f aca="false">'Mix éner %'!AL59</f>
        <v>0</v>
      </c>
      <c r="AM82" s="244" t="n">
        <f aca="false">'Mix éner %'!AM59</f>
        <v>1</v>
      </c>
    </row>
    <row r="83" customFormat="false" ht="14.5" hidden="false" customHeight="false" outlineLevel="0" collapsed="false">
      <c r="C83" s="211" t="s">
        <v>473</v>
      </c>
      <c r="D83" s="212" t="s">
        <v>498</v>
      </c>
      <c r="E83" s="241" t="n">
        <v>0</v>
      </c>
      <c r="F83" s="241" t="n">
        <v>0</v>
      </c>
      <c r="G83" s="241" t="n">
        <v>0</v>
      </c>
      <c r="H83" s="241" t="n">
        <v>0.05</v>
      </c>
      <c r="I83" s="241" t="n">
        <v>0</v>
      </c>
      <c r="J83" s="241" t="n">
        <v>0</v>
      </c>
      <c r="K83" s="241" t="n">
        <v>0.02</v>
      </c>
      <c r="L83" s="241" t="n">
        <v>0</v>
      </c>
      <c r="M83" s="241" t="n">
        <v>0</v>
      </c>
      <c r="N83" s="241" t="n">
        <v>0</v>
      </c>
      <c r="O83" s="241" t="n">
        <v>0</v>
      </c>
      <c r="P83" s="241" t="n">
        <v>0</v>
      </c>
      <c r="Q83" s="241" t="n">
        <v>0.675092566766244</v>
      </c>
      <c r="R83" s="241" t="n">
        <v>0</v>
      </c>
      <c r="S83" s="241" t="n">
        <v>0.254907433233756</v>
      </c>
      <c r="T83" s="241" t="n">
        <f aca="false">SUM(E83:S83)</f>
        <v>1</v>
      </c>
      <c r="U83" s="242"/>
      <c r="W83" s="192" t="s">
        <v>469</v>
      </c>
      <c r="X83" s="192" t="s">
        <v>498</v>
      </c>
      <c r="Y83" s="244" t="n">
        <f aca="false">'Mix éner %'!Y63</f>
        <v>0</v>
      </c>
      <c r="Z83" s="244" t="n">
        <f aca="false">'Mix éner %'!Z63</f>
        <v>0</v>
      </c>
      <c r="AA83" s="244" t="n">
        <f aca="false">'Mix éner %'!AA63</f>
        <v>0</v>
      </c>
      <c r="AB83" s="244" t="n">
        <f aca="false">'Mix éner %'!AB63</f>
        <v>0.12</v>
      </c>
      <c r="AC83" s="244" t="n">
        <f aca="false">'Mix éner %'!AC63</f>
        <v>0</v>
      </c>
      <c r="AD83" s="244" t="n">
        <f aca="false">'Mix éner %'!AD63</f>
        <v>0</v>
      </c>
      <c r="AE83" s="244" t="n">
        <f aca="false">'Mix éner %'!AE63</f>
        <v>0</v>
      </c>
      <c r="AF83" s="244" t="n">
        <f aca="false">'Mix éner %'!AF63</f>
        <v>0</v>
      </c>
      <c r="AG83" s="244" t="n">
        <f aca="false">'Mix éner %'!AG63</f>
        <v>0</v>
      </c>
      <c r="AH83" s="244" t="n">
        <f aca="false">'Mix éner %'!AH63</f>
        <v>0</v>
      </c>
      <c r="AI83" s="244" t="n">
        <f aca="false">'Mix éner %'!AI63</f>
        <v>0.87</v>
      </c>
      <c r="AJ83" s="244" t="n">
        <f aca="false">'Mix éner %'!AJ63</f>
        <v>0</v>
      </c>
      <c r="AK83" s="244" t="n">
        <f aca="false">'Mix éner %'!AK63</f>
        <v>0.01</v>
      </c>
      <c r="AL83" s="244" t="n">
        <f aca="false">'Mix éner %'!AL63</f>
        <v>0</v>
      </c>
      <c r="AM83" s="244" t="n">
        <f aca="false">'Mix éner %'!AM63</f>
        <v>1</v>
      </c>
    </row>
    <row r="84" customFormat="false" ht="14.5" hidden="false" customHeight="false" outlineLevel="0" collapsed="false">
      <c r="C84" s="209" t="s">
        <v>25</v>
      </c>
      <c r="D84" s="209"/>
      <c r="E84" s="246"/>
      <c r="F84" s="246"/>
      <c r="G84" s="246"/>
      <c r="H84" s="246"/>
      <c r="I84" s="246"/>
      <c r="J84" s="246"/>
      <c r="K84" s="246"/>
      <c r="L84" s="246"/>
      <c r="M84" s="246"/>
      <c r="N84" s="246"/>
      <c r="O84" s="246"/>
      <c r="P84" s="246"/>
      <c r="Q84" s="246"/>
      <c r="R84" s="246"/>
      <c r="S84" s="246"/>
      <c r="T84" s="246"/>
      <c r="U84" s="247"/>
      <c r="W84" s="192" t="s">
        <v>471</v>
      </c>
      <c r="X84" s="192" t="s">
        <v>498</v>
      </c>
      <c r="Y84" s="244" t="n">
        <f aca="false">'Mix éner %'!Y67</f>
        <v>0</v>
      </c>
      <c r="Z84" s="244" t="n">
        <f aca="false">'Mix éner %'!Z67</f>
        <v>0</v>
      </c>
      <c r="AA84" s="244" t="n">
        <f aca="false">'Mix éner %'!AA67</f>
        <v>0</v>
      </c>
      <c r="AB84" s="244" t="n">
        <f aca="false">'Mix éner %'!AB67</f>
        <v>0.25</v>
      </c>
      <c r="AC84" s="244" t="n">
        <f aca="false">'Mix éner %'!AC67</f>
        <v>0</v>
      </c>
      <c r="AD84" s="244" t="n">
        <f aca="false">'Mix éner %'!AD67</f>
        <v>0</v>
      </c>
      <c r="AE84" s="244" t="n">
        <f aca="false">'Mix éner %'!AE67</f>
        <v>0</v>
      </c>
      <c r="AF84" s="244" t="n">
        <f aca="false">'Mix éner %'!AF67</f>
        <v>0</v>
      </c>
      <c r="AG84" s="244" t="n">
        <f aca="false">'Mix éner %'!AG67</f>
        <v>0</v>
      </c>
      <c r="AH84" s="244" t="n">
        <f aca="false">'Mix éner %'!AH67</f>
        <v>0</v>
      </c>
      <c r="AI84" s="244" t="n">
        <f aca="false">'Mix éner %'!AI67</f>
        <v>0.75</v>
      </c>
      <c r="AJ84" s="244" t="n">
        <f aca="false">'Mix éner %'!AJ67</f>
        <v>0</v>
      </c>
      <c r="AK84" s="244" t="n">
        <f aca="false">'Mix éner %'!AK67</f>
        <v>0</v>
      </c>
      <c r="AL84" s="244" t="n">
        <f aca="false">'Mix éner %'!AL67</f>
        <v>0</v>
      </c>
      <c r="AM84" s="244" t="n">
        <f aca="false">'Mix éner %'!AM67</f>
        <v>1</v>
      </c>
    </row>
    <row r="85" customFormat="false" ht="14.5" hidden="false" customHeight="false" outlineLevel="0" collapsed="false">
      <c r="C85" s="211" t="s">
        <v>475</v>
      </c>
      <c r="D85" s="212" t="s">
        <v>498</v>
      </c>
      <c r="E85" s="241" t="n">
        <v>0</v>
      </c>
      <c r="F85" s="241" t="n">
        <v>0</v>
      </c>
      <c r="G85" s="241" t="n">
        <v>0</v>
      </c>
      <c r="H85" s="241" t="n">
        <v>0.18437935446393</v>
      </c>
      <c r="I85" s="241" t="n">
        <v>0</v>
      </c>
      <c r="J85" s="241" t="n">
        <v>0</v>
      </c>
      <c r="K85" s="241" t="n">
        <v>0</v>
      </c>
      <c r="L85" s="241" t="n">
        <v>0</v>
      </c>
      <c r="M85" s="241" t="n">
        <v>0</v>
      </c>
      <c r="N85" s="241" t="n">
        <v>0</v>
      </c>
      <c r="O85" s="241" t="n">
        <v>0</v>
      </c>
      <c r="P85" s="241" t="n">
        <v>0</v>
      </c>
      <c r="Q85" s="241" t="n">
        <v>0.81562064553607</v>
      </c>
      <c r="R85" s="241" t="n">
        <v>0</v>
      </c>
      <c r="S85" s="241" t="n">
        <v>0</v>
      </c>
      <c r="T85" s="241" t="n">
        <f aca="false">SUM(E85:S85)</f>
        <v>1</v>
      </c>
      <c r="U85" s="242"/>
      <c r="W85" s="192" t="s">
        <v>473</v>
      </c>
      <c r="X85" s="192" t="s">
        <v>498</v>
      </c>
      <c r="Y85" s="244" t="n">
        <f aca="false">'Mix éner %'!Y71</f>
        <v>0</v>
      </c>
      <c r="Z85" s="244" t="n">
        <f aca="false">'Mix éner %'!Z71</f>
        <v>0</v>
      </c>
      <c r="AA85" s="244" t="n">
        <f aca="false">'Mix éner %'!AA71</f>
        <v>0</v>
      </c>
      <c r="AB85" s="244" t="n">
        <f aca="false">'Mix éner %'!AB71</f>
        <v>0.08</v>
      </c>
      <c r="AC85" s="244" t="n">
        <f aca="false">'Mix éner %'!AC71</f>
        <v>0.05</v>
      </c>
      <c r="AD85" s="244" t="n">
        <f aca="false">'Mix éner %'!AD71</f>
        <v>0</v>
      </c>
      <c r="AE85" s="244" t="n">
        <f aca="false">'Mix éner %'!AE71</f>
        <v>0</v>
      </c>
      <c r="AF85" s="244" t="n">
        <f aca="false">'Mix éner %'!AF71</f>
        <v>0</v>
      </c>
      <c r="AG85" s="244" t="n">
        <f aca="false">'Mix éner %'!AG71</f>
        <v>0</v>
      </c>
      <c r="AH85" s="244" t="n">
        <f aca="false">'Mix éner %'!AH71</f>
        <v>0</v>
      </c>
      <c r="AI85" s="244" t="n">
        <f aca="false">'Mix éner %'!AI71</f>
        <v>0.79</v>
      </c>
      <c r="AJ85" s="244" t="n">
        <f aca="false">'Mix éner %'!AJ71</f>
        <v>0</v>
      </c>
      <c r="AK85" s="244" t="n">
        <f aca="false">'Mix éner %'!AK71</f>
        <v>0</v>
      </c>
      <c r="AL85" s="244" t="n">
        <f aca="false">'Mix éner %'!AL71</f>
        <v>0.08</v>
      </c>
      <c r="AM85" s="244" t="n">
        <f aca="false">'Mix éner %'!AM71</f>
        <v>1</v>
      </c>
    </row>
    <row r="86" customFormat="false" ht="14.5" hidden="false" customHeight="false" outlineLevel="0" collapsed="false">
      <c r="C86" s="211" t="s">
        <v>476</v>
      </c>
      <c r="D86" s="212" t="s">
        <v>498</v>
      </c>
      <c r="E86" s="241" t="n">
        <v>0</v>
      </c>
      <c r="F86" s="241" t="n">
        <v>0</v>
      </c>
      <c r="G86" s="241" t="n">
        <v>0</v>
      </c>
      <c r="H86" s="241" t="n">
        <v>0.300177840152946</v>
      </c>
      <c r="I86" s="241" t="n">
        <v>0</v>
      </c>
      <c r="J86" s="241" t="n">
        <v>0</v>
      </c>
      <c r="K86" s="241" t="n">
        <v>0.030411115934224</v>
      </c>
      <c r="L86" s="241" t="n">
        <v>0</v>
      </c>
      <c r="M86" s="241" t="n">
        <v>0</v>
      </c>
      <c r="N86" s="241" t="n">
        <v>0</v>
      </c>
      <c r="O86" s="241" t="n">
        <v>0</v>
      </c>
      <c r="P86" s="241" t="n">
        <v>0</v>
      </c>
      <c r="Q86" s="241" t="n">
        <v>0.491288793440946</v>
      </c>
      <c r="R86" s="241" t="n">
        <v>0.178122250471884</v>
      </c>
      <c r="S86" s="241" t="n">
        <v>0</v>
      </c>
      <c r="T86" s="241" t="n">
        <f aca="false">SUM(E86:S86)</f>
        <v>1</v>
      </c>
      <c r="U86" s="242"/>
      <c r="W86" s="189" t="s">
        <v>25</v>
      </c>
      <c r="X86" s="189"/>
      <c r="Y86" s="243"/>
      <c r="Z86" s="243"/>
      <c r="AA86" s="243"/>
      <c r="AB86" s="243"/>
      <c r="AC86" s="243"/>
      <c r="AD86" s="243"/>
      <c r="AE86" s="243"/>
      <c r="AF86" s="243"/>
      <c r="AG86" s="243"/>
      <c r="AH86" s="243"/>
      <c r="AI86" s="243"/>
      <c r="AJ86" s="243"/>
      <c r="AK86" s="243"/>
      <c r="AL86" s="243"/>
      <c r="AM86" s="243"/>
    </row>
    <row r="87" customFormat="false" ht="14.5" hidden="false" customHeight="false" outlineLevel="0" collapsed="false">
      <c r="C87" s="211" t="s">
        <v>479</v>
      </c>
      <c r="D87" s="212" t="s">
        <v>498</v>
      </c>
      <c r="E87" s="241" t="n">
        <v>0</v>
      </c>
      <c r="F87" s="241" t="n">
        <v>0</v>
      </c>
      <c r="G87" s="241" t="n">
        <v>0</v>
      </c>
      <c r="H87" s="241" t="n">
        <v>0.2</v>
      </c>
      <c r="I87" s="241" t="n">
        <v>0</v>
      </c>
      <c r="J87" s="241" t="n">
        <v>0</v>
      </c>
      <c r="K87" s="241" t="n">
        <v>0.01</v>
      </c>
      <c r="L87" s="241" t="n">
        <v>0</v>
      </c>
      <c r="M87" s="241" t="n">
        <v>0</v>
      </c>
      <c r="N87" s="241" t="n">
        <v>0</v>
      </c>
      <c r="O87" s="241" t="n">
        <v>0</v>
      </c>
      <c r="P87" s="241" t="n">
        <v>0</v>
      </c>
      <c r="Q87" s="241" t="n">
        <v>0.384533724435848</v>
      </c>
      <c r="R87" s="241" t="n">
        <v>0.405466275564152</v>
      </c>
      <c r="S87" s="241" t="n">
        <v>0</v>
      </c>
      <c r="T87" s="241" t="n">
        <f aca="false">SUM(E87:S87)</f>
        <v>1</v>
      </c>
      <c r="U87" s="242"/>
      <c r="W87" s="192" t="s">
        <v>475</v>
      </c>
      <c r="X87" s="192" t="s">
        <v>498</v>
      </c>
      <c r="Y87" s="244" t="n">
        <f aca="false">'Mix éner %'!Y76</f>
        <v>0</v>
      </c>
      <c r="Z87" s="244" t="n">
        <f aca="false">'Mix éner %'!Z76</f>
        <v>0</v>
      </c>
      <c r="AA87" s="244" t="n">
        <f aca="false">'Mix éner %'!AA76</f>
        <v>0</v>
      </c>
      <c r="AB87" s="244" t="n">
        <f aca="false">'Mix éner %'!AB76</f>
        <v>0.25</v>
      </c>
      <c r="AC87" s="244" t="n">
        <f aca="false">'Mix éner %'!AC76</f>
        <v>0</v>
      </c>
      <c r="AD87" s="244" t="n">
        <f aca="false">'Mix éner %'!AD76</f>
        <v>0</v>
      </c>
      <c r="AE87" s="244" t="n">
        <f aca="false">'Mix éner %'!AE76</f>
        <v>0</v>
      </c>
      <c r="AF87" s="244" t="n">
        <f aca="false">'Mix éner %'!AF76</f>
        <v>0</v>
      </c>
      <c r="AG87" s="244" t="n">
        <f aca="false">'Mix éner %'!AG76</f>
        <v>0</v>
      </c>
      <c r="AH87" s="244" t="n">
        <f aca="false">'Mix éner %'!AH76</f>
        <v>0</v>
      </c>
      <c r="AI87" s="244" t="n">
        <f aca="false">'Mix éner %'!AI76</f>
        <v>0.75</v>
      </c>
      <c r="AJ87" s="244" t="n">
        <f aca="false">'Mix éner %'!AJ76</f>
        <v>0</v>
      </c>
      <c r="AK87" s="244" t="n">
        <f aca="false">'Mix éner %'!AK76</f>
        <v>0</v>
      </c>
      <c r="AL87" s="244" t="n">
        <f aca="false">'Mix éner %'!AL76</f>
        <v>0</v>
      </c>
      <c r="AM87" s="244" t="n">
        <f aca="false">'Mix éner %'!AM76</f>
        <v>1</v>
      </c>
    </row>
    <row r="88" customFormat="false" ht="14.5" hidden="false" customHeight="false" outlineLevel="0" collapsed="false">
      <c r="C88" s="209" t="s">
        <v>480</v>
      </c>
      <c r="D88" s="209"/>
      <c r="E88" s="246"/>
      <c r="F88" s="246"/>
      <c r="G88" s="246"/>
      <c r="H88" s="246"/>
      <c r="I88" s="246"/>
      <c r="J88" s="246"/>
      <c r="K88" s="246"/>
      <c r="L88" s="246"/>
      <c r="M88" s="246"/>
      <c r="N88" s="246"/>
      <c r="O88" s="246"/>
      <c r="P88" s="246"/>
      <c r="Q88" s="246"/>
      <c r="R88" s="246"/>
      <c r="S88" s="246"/>
      <c r="T88" s="246"/>
      <c r="U88" s="247"/>
      <c r="W88" s="192" t="s">
        <v>476</v>
      </c>
      <c r="X88" s="192" t="s">
        <v>498</v>
      </c>
      <c r="Y88" s="244" t="n">
        <f aca="false">'Mix éner %'!Y80</f>
        <v>0</v>
      </c>
      <c r="Z88" s="244" t="n">
        <f aca="false">'Mix éner %'!Z80</f>
        <v>0</v>
      </c>
      <c r="AA88" s="244" t="n">
        <f aca="false">'Mix éner %'!AA80</f>
        <v>0</v>
      </c>
      <c r="AB88" s="244" t="n">
        <f aca="false">'Mix éner %'!AB80</f>
        <v>0.41</v>
      </c>
      <c r="AC88" s="244" t="n">
        <f aca="false">'Mix éner %'!AC80</f>
        <v>0.12</v>
      </c>
      <c r="AD88" s="244" t="n">
        <f aca="false">'Mix éner %'!AD80</f>
        <v>0</v>
      </c>
      <c r="AE88" s="244" t="n">
        <f aca="false">'Mix éner %'!AE80</f>
        <v>0</v>
      </c>
      <c r="AF88" s="244" t="n">
        <f aca="false">'Mix éner %'!AF80</f>
        <v>0</v>
      </c>
      <c r="AG88" s="244" t="n">
        <f aca="false">'Mix éner %'!AG80</f>
        <v>0</v>
      </c>
      <c r="AH88" s="244" t="n">
        <f aca="false">'Mix éner %'!AH80</f>
        <v>0</v>
      </c>
      <c r="AI88" s="244" t="n">
        <f aca="false">'Mix éner %'!AI80</f>
        <v>0.32</v>
      </c>
      <c r="AJ88" s="244" t="n">
        <f aca="false">'Mix éner %'!AJ80</f>
        <v>0</v>
      </c>
      <c r="AK88" s="244" t="n">
        <f aca="false">'Mix éner %'!AK80</f>
        <v>0.15</v>
      </c>
      <c r="AL88" s="244" t="n">
        <f aca="false">'Mix éner %'!AL80</f>
        <v>0</v>
      </c>
      <c r="AM88" s="244" t="n">
        <f aca="false">'Mix éner %'!AM80</f>
        <v>1</v>
      </c>
    </row>
    <row r="89" customFormat="false" ht="14.5" hidden="false" customHeight="false" outlineLevel="0" collapsed="false">
      <c r="C89" s="211" t="s">
        <v>481</v>
      </c>
      <c r="D89" s="212" t="s">
        <v>498</v>
      </c>
      <c r="E89" s="241" t="n">
        <v>0</v>
      </c>
      <c r="F89" s="241" t="n">
        <v>0</v>
      </c>
      <c r="G89" s="241" t="n">
        <v>0</v>
      </c>
      <c r="H89" s="241" t="n">
        <v>0.02</v>
      </c>
      <c r="I89" s="241" t="n">
        <v>0</v>
      </c>
      <c r="J89" s="241" t="n">
        <v>0</v>
      </c>
      <c r="K89" s="241" t="n">
        <v>0.773764338983087</v>
      </c>
      <c r="L89" s="241" t="n">
        <v>0</v>
      </c>
      <c r="M89" s="241" t="n">
        <v>0</v>
      </c>
      <c r="N89" s="241" t="n">
        <v>0</v>
      </c>
      <c r="O89" s="241" t="n">
        <v>0</v>
      </c>
      <c r="P89" s="241" t="n">
        <v>0</v>
      </c>
      <c r="Q89" s="241" t="n">
        <v>0.2</v>
      </c>
      <c r="R89" s="241" t="n">
        <v>0.00623566101691358</v>
      </c>
      <c r="S89" s="241" t="n">
        <v>0</v>
      </c>
      <c r="T89" s="241" t="n">
        <f aca="false">SUM(E89:S89)</f>
        <v>1</v>
      </c>
      <c r="U89" s="242"/>
      <c r="W89" s="192" t="s">
        <v>479</v>
      </c>
      <c r="X89" s="192" t="s">
        <v>498</v>
      </c>
      <c r="Y89" s="244" t="n">
        <f aca="false">'Mix éner %'!Y84</f>
        <v>0</v>
      </c>
      <c r="Z89" s="244" t="n">
        <f aca="false">'Mix éner %'!Z84</f>
        <v>0</v>
      </c>
      <c r="AA89" s="244" t="n">
        <f aca="false">'Mix éner %'!AA84</f>
        <v>0</v>
      </c>
      <c r="AB89" s="244" t="n">
        <f aca="false">'Mix éner %'!AB84</f>
        <v>0.02</v>
      </c>
      <c r="AC89" s="244" t="n">
        <f aca="false">'Mix éner %'!AC84</f>
        <v>0.05</v>
      </c>
      <c r="AD89" s="244" t="n">
        <f aca="false">'Mix éner %'!AD84</f>
        <v>0</v>
      </c>
      <c r="AE89" s="244" t="n">
        <f aca="false">'Mix éner %'!AE84</f>
        <v>0</v>
      </c>
      <c r="AF89" s="244" t="n">
        <f aca="false">'Mix éner %'!AF84</f>
        <v>0</v>
      </c>
      <c r="AG89" s="244" t="n">
        <f aca="false">'Mix éner %'!AG84</f>
        <v>0.1</v>
      </c>
      <c r="AH89" s="244" t="n">
        <f aca="false">'Mix éner %'!AH84</f>
        <v>0.01</v>
      </c>
      <c r="AI89" s="244" t="n">
        <f aca="false">'Mix éner %'!AI84</f>
        <v>0.52</v>
      </c>
      <c r="AJ89" s="244" t="n">
        <f aca="false">'Mix éner %'!AJ84</f>
        <v>0.05</v>
      </c>
      <c r="AK89" s="244" t="n">
        <f aca="false">'Mix éner %'!AK84</f>
        <v>0.25</v>
      </c>
      <c r="AL89" s="244" t="n">
        <f aca="false">'Mix éner %'!AL84</f>
        <v>0</v>
      </c>
      <c r="AM89" s="244" t="n">
        <f aca="false">'Mix éner %'!AM84</f>
        <v>1</v>
      </c>
    </row>
    <row r="90" customFormat="false" ht="14.5" hidden="false" customHeight="false" outlineLevel="0" collapsed="false">
      <c r="C90" s="211" t="s">
        <v>482</v>
      </c>
      <c r="D90" s="212" t="s">
        <v>498</v>
      </c>
      <c r="E90" s="241" t="n">
        <v>0</v>
      </c>
      <c r="F90" s="241" t="n">
        <v>0</v>
      </c>
      <c r="G90" s="241" t="n">
        <v>0</v>
      </c>
      <c r="H90" s="241" t="n">
        <v>0.154075988632277</v>
      </c>
      <c r="I90" s="241" t="n">
        <v>0</v>
      </c>
      <c r="J90" s="241" t="n">
        <v>0</v>
      </c>
      <c r="K90" s="241" t="n">
        <v>0</v>
      </c>
      <c r="L90" s="241" t="n">
        <v>0</v>
      </c>
      <c r="M90" s="241" t="n">
        <v>0</v>
      </c>
      <c r="N90" s="241" t="n">
        <v>0</v>
      </c>
      <c r="O90" s="241" t="n">
        <v>0</v>
      </c>
      <c r="P90" s="241" t="n">
        <v>0</v>
      </c>
      <c r="Q90" s="241" t="n">
        <v>0.845924011367723</v>
      </c>
      <c r="R90" s="241" t="n">
        <v>0</v>
      </c>
      <c r="S90" s="241" t="n">
        <v>0</v>
      </c>
      <c r="T90" s="241" t="n">
        <f aca="false">SUM(E90:S90)</f>
        <v>1</v>
      </c>
      <c r="U90" s="242"/>
      <c r="W90" s="189" t="s">
        <v>480</v>
      </c>
      <c r="X90" s="189"/>
      <c r="Y90" s="243"/>
      <c r="Z90" s="243"/>
      <c r="AA90" s="243"/>
      <c r="AB90" s="243"/>
      <c r="AC90" s="243"/>
      <c r="AD90" s="243"/>
      <c r="AE90" s="243"/>
      <c r="AF90" s="243"/>
      <c r="AG90" s="243"/>
      <c r="AH90" s="243"/>
      <c r="AI90" s="243"/>
      <c r="AJ90" s="243"/>
      <c r="AK90" s="243"/>
      <c r="AL90" s="243"/>
      <c r="AM90" s="243"/>
    </row>
    <row r="91" customFormat="false" ht="14.5" hidden="false" customHeight="false" outlineLevel="0" collapsed="false">
      <c r="C91" s="211" t="s">
        <v>483</v>
      </c>
      <c r="D91" s="212" t="s">
        <v>498</v>
      </c>
      <c r="E91" s="245" t="n">
        <v>0</v>
      </c>
      <c r="F91" s="245" t="n">
        <v>0</v>
      </c>
      <c r="G91" s="241" t="n">
        <v>0</v>
      </c>
      <c r="H91" s="241" t="n">
        <v>0.42</v>
      </c>
      <c r="I91" s="245" t="n">
        <v>0</v>
      </c>
      <c r="J91" s="245" t="n">
        <v>0</v>
      </c>
      <c r="K91" s="241" t="n">
        <v>0.0195195779195001</v>
      </c>
      <c r="L91" s="245" t="n">
        <v>0</v>
      </c>
      <c r="M91" s="245" t="n">
        <v>0</v>
      </c>
      <c r="N91" s="245" t="n">
        <v>0</v>
      </c>
      <c r="O91" s="245" t="n">
        <v>0</v>
      </c>
      <c r="P91" s="245" t="n">
        <v>0</v>
      </c>
      <c r="Q91" s="241" t="n">
        <v>0.5604804220805</v>
      </c>
      <c r="R91" s="245" t="n">
        <v>0</v>
      </c>
      <c r="S91" s="245" t="n">
        <v>0</v>
      </c>
      <c r="T91" s="241" t="n">
        <f aca="false">SUM(E91:S91)</f>
        <v>1</v>
      </c>
      <c r="U91" s="242"/>
      <c r="W91" s="192" t="s">
        <v>481</v>
      </c>
      <c r="X91" s="192" t="s">
        <v>498</v>
      </c>
      <c r="Y91" s="244" t="n">
        <f aca="false">'Mix éner %'!Y89</f>
        <v>0</v>
      </c>
      <c r="Z91" s="244" t="n">
        <f aca="false">'Mix éner %'!Z89</f>
        <v>0</v>
      </c>
      <c r="AA91" s="244" t="n">
        <f aca="false">'Mix éner %'!AA89</f>
        <v>0.07</v>
      </c>
      <c r="AB91" s="244" t="n">
        <f aca="false">'Mix éner %'!AB89</f>
        <v>0.01</v>
      </c>
      <c r="AC91" s="244" t="n">
        <f aca="false">'Mix éner %'!AC89</f>
        <v>0.36</v>
      </c>
      <c r="AD91" s="244" t="n">
        <f aca="false">'Mix éner %'!AD89</f>
        <v>0.36</v>
      </c>
      <c r="AE91" s="244" t="n">
        <f aca="false">'Mix éner %'!AE89</f>
        <v>0</v>
      </c>
      <c r="AF91" s="244" t="n">
        <f aca="false">'Mix éner %'!AF89</f>
        <v>0</v>
      </c>
      <c r="AG91" s="244" t="n">
        <f aca="false">'Mix éner %'!AG89</f>
        <v>0</v>
      </c>
      <c r="AH91" s="244" t="n">
        <f aca="false">'Mix éner %'!AH89</f>
        <v>0</v>
      </c>
      <c r="AI91" s="244" t="n">
        <f aca="false">'Mix éner %'!AI89</f>
        <v>0.18</v>
      </c>
      <c r="AJ91" s="244" t="n">
        <f aca="false">'Mix éner %'!AJ89</f>
        <v>0</v>
      </c>
      <c r="AK91" s="244" t="n">
        <f aca="false">'Mix éner %'!AK89</f>
        <v>0.02</v>
      </c>
      <c r="AL91" s="244" t="n">
        <f aca="false">'Mix éner %'!AL89</f>
        <v>0</v>
      </c>
      <c r="AM91" s="244" t="n">
        <f aca="false">'Mix éner %'!AM89</f>
        <v>1</v>
      </c>
    </row>
    <row r="92" customFormat="false" ht="14.5" hidden="false" customHeight="false" outlineLevel="0" collapsed="false">
      <c r="C92" s="209" t="s">
        <v>484</v>
      </c>
      <c r="D92" s="209"/>
      <c r="E92" s="246"/>
      <c r="F92" s="246"/>
      <c r="G92" s="246"/>
      <c r="H92" s="246"/>
      <c r="I92" s="246"/>
      <c r="J92" s="246"/>
      <c r="K92" s="246"/>
      <c r="L92" s="246"/>
      <c r="M92" s="246"/>
      <c r="N92" s="246"/>
      <c r="O92" s="246"/>
      <c r="P92" s="246"/>
      <c r="Q92" s="246"/>
      <c r="R92" s="246"/>
      <c r="S92" s="246"/>
      <c r="T92" s="246"/>
      <c r="U92" s="247"/>
      <c r="W92" s="192" t="s">
        <v>482</v>
      </c>
      <c r="X92" s="192" t="s">
        <v>498</v>
      </c>
      <c r="Y92" s="244" t="n">
        <f aca="false">'Mix éner %'!Y93</f>
        <v>0</v>
      </c>
      <c r="Z92" s="244" t="n">
        <f aca="false">'Mix éner %'!Z93</f>
        <v>0</v>
      </c>
      <c r="AA92" s="244" t="n">
        <f aca="false">'Mix éner %'!AA93</f>
        <v>0</v>
      </c>
      <c r="AB92" s="244" t="n">
        <f aca="false">'Mix éner %'!AB93</f>
        <v>0.154075988632277</v>
      </c>
      <c r="AC92" s="244" t="n">
        <f aca="false">'Mix éner %'!AC93</f>
        <v>0</v>
      </c>
      <c r="AD92" s="244" t="n">
        <f aca="false">'Mix éner %'!AD93</f>
        <v>0</v>
      </c>
      <c r="AE92" s="244" t="n">
        <f aca="false">'Mix éner %'!AE93</f>
        <v>0</v>
      </c>
      <c r="AF92" s="244" t="n">
        <f aca="false">'Mix éner %'!AF93</f>
        <v>0</v>
      </c>
      <c r="AG92" s="244" t="n">
        <f aca="false">'Mix éner %'!AG93</f>
        <v>0</v>
      </c>
      <c r="AH92" s="244" t="n">
        <f aca="false">'Mix éner %'!AH93</f>
        <v>0</v>
      </c>
      <c r="AI92" s="244" t="n">
        <f aca="false">'Mix éner %'!AI93</f>
        <v>0.845924011367723</v>
      </c>
      <c r="AJ92" s="244" t="n">
        <f aca="false">'Mix éner %'!AJ93</f>
        <v>0</v>
      </c>
      <c r="AK92" s="244" t="n">
        <f aca="false">'Mix éner %'!AK93</f>
        <v>0</v>
      </c>
      <c r="AL92" s="244" t="n">
        <f aca="false">'Mix éner %'!AL93</f>
        <v>0</v>
      </c>
      <c r="AM92" s="244" t="n">
        <f aca="false">'Mix éner %'!AM93</f>
        <v>1</v>
      </c>
    </row>
    <row r="93" customFormat="false" ht="14.5" hidden="false" customHeight="false" outlineLevel="0" collapsed="false">
      <c r="C93" s="211" t="s">
        <v>485</v>
      </c>
      <c r="D93" s="212" t="s">
        <v>498</v>
      </c>
      <c r="E93" s="241" t="n">
        <v>0</v>
      </c>
      <c r="F93" s="241" t="n">
        <v>0</v>
      </c>
      <c r="G93" s="241" t="n">
        <v>0</v>
      </c>
      <c r="H93" s="241" t="n">
        <v>0.183386939754153</v>
      </c>
      <c r="I93" s="241" t="n">
        <v>0</v>
      </c>
      <c r="J93" s="241" t="n">
        <v>0</v>
      </c>
      <c r="K93" s="241" t="n">
        <v>0.0632862880268826</v>
      </c>
      <c r="L93" s="245" t="n">
        <v>0</v>
      </c>
      <c r="M93" s="245" t="n">
        <v>0</v>
      </c>
      <c r="N93" s="245" t="n">
        <v>0</v>
      </c>
      <c r="O93" s="245" t="n">
        <v>0</v>
      </c>
      <c r="P93" s="245" t="n">
        <v>0</v>
      </c>
      <c r="Q93" s="241" t="n">
        <v>0.753326772218964</v>
      </c>
      <c r="R93" s="241" t="n">
        <v>0</v>
      </c>
      <c r="S93" s="241" t="n">
        <v>0</v>
      </c>
      <c r="T93" s="241" t="n">
        <f aca="false">SUM(E93:S93)</f>
        <v>1</v>
      </c>
      <c r="U93" s="242"/>
      <c r="W93" s="192" t="s">
        <v>483</v>
      </c>
      <c r="X93" s="192" t="s">
        <v>498</v>
      </c>
      <c r="Y93" s="244" t="n">
        <f aca="false">'Mix éner %'!Y97</f>
        <v>0</v>
      </c>
      <c r="Z93" s="244" t="n">
        <f aca="false">'Mix éner %'!Z97</f>
        <v>0</v>
      </c>
      <c r="AA93" s="244" t="n">
        <f aca="false">'Mix éner %'!AA97</f>
        <v>0</v>
      </c>
      <c r="AB93" s="244" t="n">
        <f aca="false">'Mix éner %'!AB97</f>
        <v>0.3895195779195</v>
      </c>
      <c r="AC93" s="244" t="n">
        <f aca="false">'Mix éner %'!AC97</f>
        <v>0.05</v>
      </c>
      <c r="AD93" s="244" t="n">
        <f aca="false">'Mix éner %'!AD97</f>
        <v>0</v>
      </c>
      <c r="AE93" s="244" t="n">
        <f aca="false">'Mix éner %'!AE97</f>
        <v>0</v>
      </c>
      <c r="AF93" s="244" t="n">
        <f aca="false">'Mix éner %'!AF97</f>
        <v>0</v>
      </c>
      <c r="AG93" s="244" t="n">
        <f aca="false">'Mix éner %'!AG97</f>
        <v>0</v>
      </c>
      <c r="AH93" s="244" t="n">
        <f aca="false">'Mix éner %'!AH97</f>
        <v>0</v>
      </c>
      <c r="AI93" s="244" t="n">
        <f aca="false">'Mix éner %'!AI97</f>
        <v>0.5604804220805</v>
      </c>
      <c r="AJ93" s="244" t="n">
        <f aca="false">'Mix éner %'!AJ97</f>
        <v>0</v>
      </c>
      <c r="AK93" s="244" t="n">
        <f aca="false">'Mix éner %'!AK97</f>
        <v>0</v>
      </c>
      <c r="AL93" s="244" t="n">
        <f aca="false">'Mix éner %'!AL97</f>
        <v>0</v>
      </c>
      <c r="AM93" s="244" t="n">
        <f aca="false">'Mix éner %'!AM97</f>
        <v>1</v>
      </c>
    </row>
    <row r="94" customFormat="false" ht="14.5" hidden="false" customHeight="false" outlineLevel="0" collapsed="false">
      <c r="C94" s="211" t="s">
        <v>486</v>
      </c>
      <c r="D94" s="212" t="s">
        <v>498</v>
      </c>
      <c r="E94" s="245" t="n">
        <v>0</v>
      </c>
      <c r="F94" s="245" t="n">
        <v>0</v>
      </c>
      <c r="G94" s="245" t="n">
        <v>0</v>
      </c>
      <c r="H94" s="241" t="n">
        <v>0.244406489242222</v>
      </c>
      <c r="I94" s="245" t="n">
        <v>0</v>
      </c>
      <c r="J94" s="245" t="n">
        <v>0</v>
      </c>
      <c r="K94" s="241" t="n">
        <v>0.0735570057014643</v>
      </c>
      <c r="L94" s="245" t="n">
        <v>0</v>
      </c>
      <c r="M94" s="245" t="n">
        <v>0</v>
      </c>
      <c r="N94" s="245" t="n">
        <v>0</v>
      </c>
      <c r="O94" s="245" t="n">
        <v>0</v>
      </c>
      <c r="P94" s="245" t="n">
        <v>0</v>
      </c>
      <c r="Q94" s="241" t="n">
        <v>0.602325874442579</v>
      </c>
      <c r="R94" s="241" t="n">
        <v>0.0797106306137344</v>
      </c>
      <c r="S94" s="245" t="n">
        <v>0</v>
      </c>
      <c r="T94" s="241" t="n">
        <f aca="false">SUM(E94:S94)</f>
        <v>1</v>
      </c>
      <c r="U94" s="242"/>
      <c r="W94" s="189" t="s">
        <v>484</v>
      </c>
      <c r="X94" s="189"/>
      <c r="Y94" s="243"/>
      <c r="Z94" s="243"/>
      <c r="AA94" s="243"/>
      <c r="AB94" s="243"/>
      <c r="AC94" s="243"/>
      <c r="AD94" s="243"/>
      <c r="AE94" s="243"/>
      <c r="AF94" s="243"/>
      <c r="AG94" s="243"/>
      <c r="AH94" s="243"/>
      <c r="AI94" s="243"/>
      <c r="AJ94" s="243"/>
      <c r="AK94" s="243"/>
      <c r="AL94" s="243"/>
      <c r="AM94" s="243"/>
    </row>
    <row r="95" customFormat="false" ht="14.5" hidden="false" customHeight="false" outlineLevel="0" collapsed="false">
      <c r="C95" s="209" t="s">
        <v>487</v>
      </c>
      <c r="D95" s="209"/>
      <c r="E95" s="241" t="n">
        <v>0</v>
      </c>
      <c r="F95" s="241" t="n">
        <v>0</v>
      </c>
      <c r="G95" s="241" t="n">
        <v>0</v>
      </c>
      <c r="H95" s="241" t="n">
        <v>0.200038244171801</v>
      </c>
      <c r="I95" s="241" t="n">
        <v>0</v>
      </c>
      <c r="J95" s="241" t="n">
        <v>0</v>
      </c>
      <c r="K95" s="241" t="n">
        <v>0</v>
      </c>
      <c r="L95" s="241" t="n">
        <v>0</v>
      </c>
      <c r="M95" s="241" t="n">
        <v>0</v>
      </c>
      <c r="N95" s="241" t="n">
        <v>0</v>
      </c>
      <c r="O95" s="241" t="n">
        <v>0</v>
      </c>
      <c r="P95" s="241" t="n">
        <v>0</v>
      </c>
      <c r="Q95" s="241" t="n">
        <v>0.795810583841677</v>
      </c>
      <c r="R95" s="241" t="n">
        <v>0</v>
      </c>
      <c r="S95" s="241" t="n">
        <v>0</v>
      </c>
      <c r="T95" s="241" t="n">
        <f aca="false">SUM(E95:S95)</f>
        <v>0.995848828013478</v>
      </c>
      <c r="U95" s="242"/>
      <c r="W95" s="192" t="s">
        <v>485</v>
      </c>
      <c r="X95" s="192" t="s">
        <v>498</v>
      </c>
      <c r="Y95" s="244" t="n">
        <f aca="false">'Mix éner %'!Y102</f>
        <v>0</v>
      </c>
      <c r="Z95" s="244" t="n">
        <f aca="false">'Mix éner %'!Z102</f>
        <v>0</v>
      </c>
      <c r="AA95" s="244" t="n">
        <f aca="false">'Mix éner %'!AA102</f>
        <v>0</v>
      </c>
      <c r="AB95" s="244" t="n">
        <f aca="false">'Mix éner %'!AB102</f>
        <v>0.183386939754153</v>
      </c>
      <c r="AC95" s="244" t="n">
        <f aca="false">'Mix éner %'!AC102</f>
        <v>0.0632862880268826</v>
      </c>
      <c r="AD95" s="244" t="n">
        <f aca="false">'Mix éner %'!AD102</f>
        <v>0</v>
      </c>
      <c r="AE95" s="244" t="n">
        <f aca="false">'Mix éner %'!AE102</f>
        <v>0</v>
      </c>
      <c r="AF95" s="244" t="n">
        <f aca="false">'Mix éner %'!AF102</f>
        <v>0</v>
      </c>
      <c r="AG95" s="244" t="n">
        <f aca="false">'Mix éner %'!AG102</f>
        <v>0</v>
      </c>
      <c r="AH95" s="244" t="n">
        <f aca="false">'Mix éner %'!AH102</f>
        <v>0</v>
      </c>
      <c r="AI95" s="244" t="n">
        <f aca="false">'Mix éner %'!AI102</f>
        <v>0.753326772218964</v>
      </c>
      <c r="AJ95" s="244" t="n">
        <f aca="false">'Mix éner %'!AJ102</f>
        <v>0</v>
      </c>
      <c r="AK95" s="244" t="n">
        <f aca="false">'Mix éner %'!AK102</f>
        <v>0</v>
      </c>
      <c r="AL95" s="244" t="n">
        <f aca="false">'Mix éner %'!AL102</f>
        <v>0</v>
      </c>
      <c r="AM95" s="244" t="n">
        <f aca="false">'Mix éner %'!AM102</f>
        <v>1</v>
      </c>
    </row>
    <row r="96" customFormat="false" ht="14.5" hidden="false" customHeight="false" outlineLevel="0" collapsed="false">
      <c r="C96" s="248" t="s">
        <v>31</v>
      </c>
      <c r="D96" s="248"/>
      <c r="E96" s="241" t="n">
        <v>0</v>
      </c>
      <c r="F96" s="241" t="n">
        <v>0</v>
      </c>
      <c r="G96" s="241" t="n">
        <v>0.533761049908301</v>
      </c>
      <c r="H96" s="241" t="n">
        <v>0.11</v>
      </c>
      <c r="I96" s="241" t="n">
        <v>0</v>
      </c>
      <c r="J96" s="241" t="n">
        <v>0</v>
      </c>
      <c r="K96" s="241" t="n">
        <v>0.0374265186152841</v>
      </c>
      <c r="L96" s="241" t="n">
        <v>0.0866765725606736</v>
      </c>
      <c r="M96" s="241" t="n">
        <v>0</v>
      </c>
      <c r="N96" s="241" t="n">
        <v>0</v>
      </c>
      <c r="O96" s="241" t="n">
        <v>0</v>
      </c>
      <c r="P96" s="241" t="n">
        <v>0</v>
      </c>
      <c r="Q96" s="241" t="n">
        <v>0.232135858915741</v>
      </c>
      <c r="R96" s="241" t="n">
        <v>0</v>
      </c>
      <c r="S96" s="241" t="n">
        <v>0</v>
      </c>
      <c r="T96" s="241" t="n">
        <f aca="false">SUM(E96:S96)</f>
        <v>1</v>
      </c>
      <c r="U96" s="242"/>
      <c r="W96" s="192" t="s">
        <v>486</v>
      </c>
      <c r="X96" s="192" t="s">
        <v>498</v>
      </c>
      <c r="Y96" s="244" t="n">
        <f aca="false">'Mix éner %'!Y106</f>
        <v>0</v>
      </c>
      <c r="Z96" s="244" t="n">
        <f aca="false">'Mix éner %'!Z106</f>
        <v>0</v>
      </c>
      <c r="AA96" s="244" t="n">
        <f aca="false">'Mix éner %'!AA106</f>
        <v>0</v>
      </c>
      <c r="AB96" s="244" t="n">
        <f aca="false">'Mix éner %'!AB106</f>
        <v>0.0817323636848013</v>
      </c>
      <c r="AC96" s="244" t="n">
        <f aca="false">'Mix éner %'!AC106</f>
        <v>0.0735570057014643</v>
      </c>
      <c r="AD96" s="244" t="n">
        <f aca="false">'Mix éner %'!AD106</f>
        <v>0</v>
      </c>
      <c r="AE96" s="244" t="n">
        <f aca="false">'Mix éner %'!AE106</f>
        <v>0</v>
      </c>
      <c r="AF96" s="244" t="n">
        <f aca="false">'Mix éner %'!AF106</f>
        <v>0</v>
      </c>
      <c r="AG96" s="244" t="n">
        <f aca="false">'Mix éner %'!AG106</f>
        <v>0.17</v>
      </c>
      <c r="AH96" s="244" t="n">
        <f aca="false">'Mix éner %'!AH106</f>
        <v>0</v>
      </c>
      <c r="AI96" s="244" t="n">
        <f aca="false">'Mix éner %'!AI106</f>
        <v>0.51</v>
      </c>
      <c r="AJ96" s="244" t="n">
        <f aca="false">'Mix éner %'!AJ106</f>
        <v>0.085</v>
      </c>
      <c r="AK96" s="244" t="n">
        <f aca="false">'Mix éner %'!AK106</f>
        <v>0.0797106306137344</v>
      </c>
      <c r="AL96" s="244" t="n">
        <f aca="false">'Mix éner %'!AL106</f>
        <v>0</v>
      </c>
      <c r="AM96" s="244" t="n">
        <f aca="false">'Mix éner %'!AM106</f>
        <v>1</v>
      </c>
    </row>
    <row r="97" customFormat="false" ht="14.5" hidden="false" customHeight="false" outlineLevel="0" collapsed="false">
      <c r="C97" s="209" t="s">
        <v>488</v>
      </c>
      <c r="D97" s="209"/>
      <c r="E97" s="246"/>
      <c r="F97" s="246"/>
      <c r="G97" s="246"/>
      <c r="H97" s="246"/>
      <c r="I97" s="246"/>
      <c r="J97" s="246"/>
      <c r="K97" s="246"/>
      <c r="L97" s="246"/>
      <c r="M97" s="246"/>
      <c r="N97" s="246"/>
      <c r="O97" s="246"/>
      <c r="P97" s="246"/>
      <c r="Q97" s="246"/>
      <c r="R97" s="246"/>
      <c r="S97" s="246"/>
      <c r="T97" s="246"/>
      <c r="U97" s="247"/>
      <c r="W97" s="189" t="s">
        <v>487</v>
      </c>
      <c r="X97" s="189"/>
      <c r="Y97" s="249" t="n">
        <f aca="false">'Mix éner %'!Y110</f>
        <v>0</v>
      </c>
      <c r="Z97" s="249" t="n">
        <f aca="false">'Mix éner %'!Z110</f>
        <v>0</v>
      </c>
      <c r="AA97" s="249" t="n">
        <f aca="false">'Mix éner %'!AA110</f>
        <v>0</v>
      </c>
      <c r="AB97" s="249" t="n">
        <f aca="false">'Mix éner %'!AB110</f>
        <v>0.139189416158323</v>
      </c>
      <c r="AC97" s="249" t="n">
        <f aca="false">'Mix éner %'!AC110</f>
        <v>0</v>
      </c>
      <c r="AD97" s="249" t="n">
        <f aca="false">'Mix éner %'!AD110</f>
        <v>0</v>
      </c>
      <c r="AE97" s="249" t="n">
        <f aca="false">'Mix éner %'!AE110</f>
        <v>0</v>
      </c>
      <c r="AF97" s="249" t="n">
        <f aca="false">'Mix éner %'!AF110</f>
        <v>0</v>
      </c>
      <c r="AG97" s="249" t="n">
        <f aca="false">'Mix éner %'!AG110</f>
        <v>0.09</v>
      </c>
      <c r="AH97" s="249" t="n">
        <f aca="false">'Mix éner %'!AH110</f>
        <v>0</v>
      </c>
      <c r="AI97" s="249" t="n">
        <f aca="false">'Mix éner %'!AI110</f>
        <v>0.705810583841677</v>
      </c>
      <c r="AJ97" s="249" t="n">
        <f aca="false">'Mix éner %'!AJ110</f>
        <v>0.045</v>
      </c>
      <c r="AK97" s="249" t="n">
        <f aca="false">'Mix éner %'!AK110</f>
        <v>0.02</v>
      </c>
      <c r="AL97" s="249" t="n">
        <f aca="false">'Mix éner %'!AL110</f>
        <v>0</v>
      </c>
      <c r="AM97" s="249" t="n">
        <f aca="false">'Mix éner %'!AM110</f>
        <v>1</v>
      </c>
    </row>
    <row r="98" customFormat="false" ht="14.5" hidden="false" customHeight="false" outlineLevel="0" collapsed="false">
      <c r="C98" s="211" t="s">
        <v>489</v>
      </c>
      <c r="D98" s="212" t="s">
        <v>498</v>
      </c>
      <c r="E98" s="241" t="n">
        <v>0</v>
      </c>
      <c r="F98" s="241" t="n">
        <v>0</v>
      </c>
      <c r="G98" s="241" t="n">
        <v>0</v>
      </c>
      <c r="H98" s="241" t="n">
        <v>0.175292644587171</v>
      </c>
      <c r="I98" s="241" t="n">
        <v>0</v>
      </c>
      <c r="J98" s="241" t="n">
        <v>0</v>
      </c>
      <c r="K98" s="241" t="n">
        <v>0.188504425535677</v>
      </c>
      <c r="L98" s="241" t="n">
        <v>0</v>
      </c>
      <c r="M98" s="241" t="n">
        <v>0</v>
      </c>
      <c r="N98" s="241" t="n">
        <v>0</v>
      </c>
      <c r="O98" s="241" t="n">
        <v>0</v>
      </c>
      <c r="P98" s="241" t="n">
        <v>0</v>
      </c>
      <c r="Q98" s="241" t="n">
        <v>0.486202929877152</v>
      </c>
      <c r="R98" s="241" t="n">
        <v>0.15</v>
      </c>
      <c r="S98" s="241" t="n">
        <v>0</v>
      </c>
      <c r="T98" s="241" t="n">
        <f aca="false">SUM(E98:S98)</f>
        <v>1</v>
      </c>
      <c r="U98" s="242"/>
      <c r="W98" s="189" t="s">
        <v>31</v>
      </c>
      <c r="X98" s="189"/>
      <c r="Y98" s="249" t="n">
        <f aca="false">'Mix éner %'!Y114</f>
        <v>0</v>
      </c>
      <c r="Z98" s="249" t="n">
        <f aca="false">'Mix éner %'!Z114</f>
        <v>0</v>
      </c>
      <c r="AA98" s="249" t="n">
        <f aca="false">'Mix éner %'!AA114</f>
        <v>0.1</v>
      </c>
      <c r="AB98" s="249" t="n">
        <f aca="false">'Mix éner %'!AB114</f>
        <v>0.11</v>
      </c>
      <c r="AC98" s="249" t="n">
        <f aca="false">'Mix éner %'!AC114</f>
        <v>0.0374265186152841</v>
      </c>
      <c r="AD98" s="249" t="n">
        <f aca="false">'Mix éner %'!AD114</f>
        <v>0.0866765725606736</v>
      </c>
      <c r="AE98" s="249" t="n">
        <f aca="false">'Mix éner %'!AE114</f>
        <v>0</v>
      </c>
      <c r="AF98" s="249" t="n">
        <f aca="false">'Mix éner %'!AF114</f>
        <v>0</v>
      </c>
      <c r="AG98" s="249" t="n">
        <f aca="false">'Mix éner %'!AG114</f>
        <v>0</v>
      </c>
      <c r="AH98" s="249" t="n">
        <f aca="false">'Mix éner %'!AH114</f>
        <v>0</v>
      </c>
      <c r="AI98" s="249" t="n">
        <f aca="false">'Mix éner %'!AI114</f>
        <v>0.596</v>
      </c>
      <c r="AJ98" s="249" t="n">
        <f aca="false">'Mix éner %'!AJ114</f>
        <v>0</v>
      </c>
      <c r="AK98" s="249" t="n">
        <f aca="false">'Mix éner %'!AK114</f>
        <v>0</v>
      </c>
      <c r="AL98" s="249" t="n">
        <f aca="false">'Mix éner %'!AL114</f>
        <v>0.07</v>
      </c>
      <c r="AM98" s="249" t="n">
        <f aca="false">'Mix éner %'!AM114</f>
        <v>1.00010309117596</v>
      </c>
    </row>
    <row r="99" customFormat="false" ht="14.5" hidden="false" customHeight="false" outlineLevel="0" collapsed="false">
      <c r="C99" s="211" t="s">
        <v>490</v>
      </c>
      <c r="D99" s="212" t="s">
        <v>498</v>
      </c>
      <c r="E99" s="241" t="n">
        <v>0</v>
      </c>
      <c r="F99" s="241" t="n">
        <v>0</v>
      </c>
      <c r="G99" s="241" t="n">
        <v>0</v>
      </c>
      <c r="H99" s="241" t="n">
        <v>0.284594065622731</v>
      </c>
      <c r="I99" s="241" t="n">
        <v>0</v>
      </c>
      <c r="J99" s="241" t="n">
        <v>0</v>
      </c>
      <c r="K99" s="241" t="n">
        <v>0.02</v>
      </c>
      <c r="L99" s="241" t="n">
        <v>0</v>
      </c>
      <c r="M99" s="241" t="n">
        <v>0</v>
      </c>
      <c r="N99" s="241" t="n">
        <v>0</v>
      </c>
      <c r="O99" s="241" t="n">
        <v>0</v>
      </c>
      <c r="P99" s="241" t="n">
        <v>0</v>
      </c>
      <c r="Q99" s="241" t="n">
        <v>0.669257415563369</v>
      </c>
      <c r="R99" s="241" t="n">
        <v>0.0261485188139</v>
      </c>
      <c r="S99" s="241" t="n">
        <v>0</v>
      </c>
      <c r="T99" s="241" t="n">
        <f aca="false">SUM(E99:S99)</f>
        <v>1</v>
      </c>
      <c r="U99" s="242"/>
      <c r="W99" s="189" t="s">
        <v>488</v>
      </c>
      <c r="X99" s="189"/>
      <c r="Y99" s="243"/>
      <c r="Z99" s="243"/>
      <c r="AA99" s="243"/>
      <c r="AB99" s="243"/>
      <c r="AC99" s="243"/>
      <c r="AD99" s="243"/>
      <c r="AE99" s="243"/>
      <c r="AF99" s="243"/>
      <c r="AG99" s="243"/>
      <c r="AH99" s="243"/>
      <c r="AI99" s="243"/>
      <c r="AJ99" s="243"/>
      <c r="AK99" s="243"/>
      <c r="AL99" s="243"/>
      <c r="AM99" s="243"/>
    </row>
    <row r="100" customFormat="false" ht="14.5" hidden="false" customHeight="false" outlineLevel="0" collapsed="false">
      <c r="W100" s="192" t="s">
        <v>489</v>
      </c>
      <c r="X100" s="192" t="s">
        <v>498</v>
      </c>
      <c r="Y100" s="244" t="n">
        <f aca="false">'Mix éner %'!Y119</f>
        <v>0</v>
      </c>
      <c r="Z100" s="244" t="n">
        <f aca="false">'Mix éner %'!Z119</f>
        <v>0</v>
      </c>
      <c r="AA100" s="244" t="n">
        <f aca="false">'Mix éner %'!AA119</f>
        <v>0</v>
      </c>
      <c r="AB100" s="244" t="n">
        <f aca="false">'Mix éner %'!AB119</f>
        <v>0.04</v>
      </c>
      <c r="AC100" s="244" t="n">
        <f aca="false">'Mix éner %'!AC119</f>
        <v>0.24</v>
      </c>
      <c r="AD100" s="244" t="n">
        <f aca="false">'Mix éner %'!AD119</f>
        <v>0</v>
      </c>
      <c r="AE100" s="244" t="n">
        <f aca="false">'Mix éner %'!AE119</f>
        <v>0</v>
      </c>
      <c r="AF100" s="244" t="n">
        <f aca="false">'Mix éner %'!AF119</f>
        <v>0</v>
      </c>
      <c r="AG100" s="244" t="n">
        <f aca="false">'Mix éner %'!AG119</f>
        <v>0.18</v>
      </c>
      <c r="AH100" s="244" t="n">
        <f aca="false">'Mix éner %'!AH119</f>
        <v>0</v>
      </c>
      <c r="AI100" s="244" t="n">
        <f aca="false">'Mix éner %'!AI119</f>
        <v>0.25</v>
      </c>
      <c r="AJ100" s="244" t="n">
        <f aca="false">'Mix éner %'!AJ119</f>
        <v>0.09</v>
      </c>
      <c r="AK100" s="244" t="n">
        <f aca="false">'Mix éner %'!AK119</f>
        <v>0.2</v>
      </c>
      <c r="AL100" s="244" t="n">
        <f aca="false">'Mix éner %'!AL119</f>
        <v>0</v>
      </c>
      <c r="AM100" s="244" t="n">
        <f aca="false">'Mix éner %'!AM119</f>
        <v>1</v>
      </c>
    </row>
    <row r="101" customFormat="false" ht="14.5" hidden="false" customHeight="false" outlineLevel="0" collapsed="false">
      <c r="W101" s="192" t="s">
        <v>490</v>
      </c>
      <c r="X101" s="192" t="s">
        <v>498</v>
      </c>
      <c r="Y101" s="244" t="n">
        <f aca="false">'Mix éner %'!Y123</f>
        <v>0</v>
      </c>
      <c r="Z101" s="244" t="n">
        <f aca="false">'Mix éner %'!Z123</f>
        <v>0</v>
      </c>
      <c r="AA101" s="244" t="n">
        <f aca="false">'Mix éner %'!AA123</f>
        <v>0</v>
      </c>
      <c r="AB101" s="244" t="n">
        <f aca="false">'Mix éner %'!AB123</f>
        <v>0.0838514811861</v>
      </c>
      <c r="AC101" s="244" t="n">
        <f aca="false">'Mix éner %'!AC123</f>
        <v>0.02</v>
      </c>
      <c r="AD101" s="244" t="n">
        <f aca="false">'Mix éner %'!AD123</f>
        <v>0</v>
      </c>
      <c r="AE101" s="244" t="n">
        <f aca="false">'Mix éner %'!AE123</f>
        <v>0</v>
      </c>
      <c r="AF101" s="244" t="n">
        <f aca="false">'Mix éner %'!AF123</f>
        <v>0</v>
      </c>
      <c r="AG101" s="244" t="n">
        <f aca="false">'Mix éner %'!AG123</f>
        <v>0.22</v>
      </c>
      <c r="AH101" s="244" t="n">
        <f aca="false">'Mix éner %'!AH123</f>
        <v>0</v>
      </c>
      <c r="AI101" s="244" t="n">
        <f aca="false">'Mix éner %'!AI123</f>
        <v>0.54</v>
      </c>
      <c r="AJ101" s="244" t="n">
        <f aca="false">'Mix éner %'!AJ123</f>
        <v>0.11</v>
      </c>
      <c r="AK101" s="244" t="n">
        <f aca="false">'Mix éner %'!AK123</f>
        <v>0.0261485188139</v>
      </c>
      <c r="AL101" s="244" t="n">
        <f aca="false">'Mix éner %'!AL123</f>
        <v>0</v>
      </c>
      <c r="AM101" s="244" t="n">
        <f aca="false">'Mix éner %'!AM123</f>
        <v>1</v>
      </c>
    </row>
    <row r="108" customFormat="false" ht="14.5" hidden="false" customHeight="false" outlineLevel="0" collapsed="false">
      <c r="C108" s="180" t="s">
        <v>3</v>
      </c>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c r="AA108" s="180"/>
      <c r="AB108" s="180"/>
      <c r="AC108" s="180"/>
      <c r="AD108" s="180"/>
      <c r="AE108" s="180"/>
      <c r="AF108" s="180"/>
      <c r="AG108" s="180"/>
      <c r="AH108" s="180"/>
      <c r="AI108" s="180"/>
      <c r="AJ108" s="180"/>
      <c r="AK108" s="180"/>
      <c r="AL108" s="180"/>
      <c r="AM108" s="180"/>
      <c r="AN108" s="180"/>
    </row>
    <row r="110" customFormat="false" ht="14.5" hidden="false" customHeight="false" outlineLevel="0" collapsed="false">
      <c r="C110" s="181" t="s">
        <v>436</v>
      </c>
      <c r="V110" s="181" t="s">
        <v>437</v>
      </c>
      <c r="W110" s="181"/>
      <c r="X110" s="181"/>
      <c r="Y110" s="181"/>
      <c r="Z110" s="181"/>
      <c r="AA110" s="181"/>
      <c r="AB110" s="181"/>
      <c r="AC110" s="181"/>
      <c r="AD110" s="181"/>
      <c r="AE110" s="181"/>
      <c r="AF110" s="181"/>
      <c r="AG110" s="181"/>
      <c r="AH110" s="181"/>
      <c r="AI110" s="181"/>
      <c r="AJ110" s="181"/>
      <c r="AK110" s="181"/>
      <c r="AL110" s="181"/>
      <c r="AM110" s="181"/>
    </row>
    <row r="112" customFormat="false" ht="14.5" hidden="false" customHeight="false" outlineLevel="0" collapsed="false">
      <c r="C112" s="236" t="s">
        <v>541</v>
      </c>
      <c r="D112" s="236"/>
      <c r="E112" s="236"/>
      <c r="F112" s="236"/>
      <c r="G112" s="236"/>
      <c r="H112" s="236"/>
      <c r="I112" s="236"/>
      <c r="J112" s="236"/>
      <c r="K112" s="236"/>
      <c r="L112" s="236"/>
      <c r="M112" s="236"/>
      <c r="N112" s="236"/>
      <c r="O112" s="236"/>
      <c r="P112" s="236"/>
      <c r="Q112" s="236"/>
      <c r="R112" s="236"/>
      <c r="S112" s="236"/>
      <c r="T112" s="236"/>
      <c r="U112" s="237"/>
    </row>
    <row r="113" customFormat="false" ht="14.5" hidden="false" customHeight="true" outlineLevel="0" collapsed="false">
      <c r="C113" s="238" t="s">
        <v>495</v>
      </c>
      <c r="D113" s="238"/>
      <c r="E113" s="203" t="s">
        <v>439</v>
      </c>
      <c r="F113" s="203" t="s">
        <v>440</v>
      </c>
      <c r="G113" s="203" t="s">
        <v>441</v>
      </c>
      <c r="H113" s="203" t="s">
        <v>442</v>
      </c>
      <c r="I113" s="203" t="s">
        <v>537</v>
      </c>
      <c r="J113" s="203" t="s">
        <v>538</v>
      </c>
      <c r="K113" s="203" t="s">
        <v>443</v>
      </c>
      <c r="L113" s="203"/>
      <c r="M113" s="203"/>
      <c r="N113" s="203"/>
      <c r="O113" s="203"/>
      <c r="P113" s="203"/>
      <c r="Q113" s="203" t="s">
        <v>446</v>
      </c>
      <c r="R113" s="203" t="s">
        <v>447</v>
      </c>
      <c r="S113" s="203" t="s">
        <v>448</v>
      </c>
      <c r="T113" s="203" t="s">
        <v>52</v>
      </c>
      <c r="U113" s="239"/>
      <c r="W113" s="183" t="n">
        <v>2025</v>
      </c>
      <c r="X113" s="183"/>
      <c r="Y113" s="183"/>
      <c r="Z113" s="183"/>
      <c r="AA113" s="183"/>
      <c r="AB113" s="183"/>
      <c r="AC113" s="183"/>
      <c r="AD113" s="183"/>
      <c r="AE113" s="183"/>
      <c r="AF113" s="183"/>
      <c r="AG113" s="183"/>
      <c r="AH113" s="183"/>
      <c r="AI113" s="183"/>
      <c r="AJ113" s="183"/>
      <c r="AK113" s="183"/>
      <c r="AL113" s="183"/>
      <c r="AM113" s="183"/>
    </row>
    <row r="114" customFormat="false" ht="70.5" hidden="false" customHeight="true" outlineLevel="0" collapsed="false">
      <c r="C114" s="209" t="s">
        <v>24</v>
      </c>
      <c r="D114" s="209"/>
      <c r="E114" s="203"/>
      <c r="F114" s="203"/>
      <c r="G114" s="203"/>
      <c r="H114" s="203"/>
      <c r="I114" s="203"/>
      <c r="J114" s="203"/>
      <c r="K114" s="203" t="s">
        <v>451</v>
      </c>
      <c r="L114" s="203" t="s">
        <v>452</v>
      </c>
      <c r="M114" s="203" t="s">
        <v>453</v>
      </c>
      <c r="N114" s="203" t="s">
        <v>454</v>
      </c>
      <c r="O114" s="203" t="s">
        <v>444</v>
      </c>
      <c r="P114" s="203" t="s">
        <v>445</v>
      </c>
      <c r="Q114" s="203"/>
      <c r="R114" s="203"/>
      <c r="S114" s="203" t="s">
        <v>448</v>
      </c>
      <c r="T114" s="203"/>
      <c r="U114" s="239"/>
      <c r="W114" s="184" t="s">
        <v>539</v>
      </c>
      <c r="X114" s="184"/>
      <c r="Y114" s="185" t="s">
        <v>439</v>
      </c>
      <c r="Z114" s="185"/>
      <c r="AA114" s="185" t="s">
        <v>441</v>
      </c>
      <c r="AB114" s="185" t="s">
        <v>442</v>
      </c>
      <c r="AC114" s="185" t="s">
        <v>443</v>
      </c>
      <c r="AD114" s="185"/>
      <c r="AE114" s="185"/>
      <c r="AF114" s="185"/>
      <c r="AG114" s="185" t="s">
        <v>444</v>
      </c>
      <c r="AH114" s="185" t="s">
        <v>445</v>
      </c>
      <c r="AI114" s="185" t="s">
        <v>446</v>
      </c>
      <c r="AJ114" s="187"/>
      <c r="AK114" s="185" t="s">
        <v>447</v>
      </c>
      <c r="AL114" s="186" t="s">
        <v>448</v>
      </c>
      <c r="AM114" s="185" t="s">
        <v>52</v>
      </c>
    </row>
    <row r="115" customFormat="false" ht="43.5" hidden="false" customHeight="false" outlineLevel="0" collapsed="false">
      <c r="C115" s="211" t="s">
        <v>461</v>
      </c>
      <c r="D115" s="212" t="s">
        <v>498</v>
      </c>
      <c r="E115" s="240" t="n">
        <f aca="false">37.543184302947%+10.5%</f>
        <v>0.48043184302947</v>
      </c>
      <c r="F115" s="240" t="n">
        <v>0</v>
      </c>
      <c r="G115" s="240" t="n">
        <v>0.00441072724409894</v>
      </c>
      <c r="H115" s="240" t="n">
        <v>0.285645893464373</v>
      </c>
      <c r="I115" s="240" t="n">
        <v>0</v>
      </c>
      <c r="J115" s="240" t="n">
        <v>0</v>
      </c>
      <c r="K115" s="240" t="n">
        <v>0</v>
      </c>
      <c r="L115" s="240" t="n">
        <v>0</v>
      </c>
      <c r="M115" s="240" t="n">
        <v>0</v>
      </c>
      <c r="N115" s="240" t="n">
        <v>0</v>
      </c>
      <c r="O115" s="240" t="n">
        <v>0</v>
      </c>
      <c r="P115" s="240" t="n">
        <v>0</v>
      </c>
      <c r="Q115" s="240" t="n">
        <v>0.226845961035822</v>
      </c>
      <c r="R115" s="240" t="n">
        <v>0.00269566284669806</v>
      </c>
      <c r="S115" s="240" t="n">
        <v>0</v>
      </c>
      <c r="T115" s="241" t="n">
        <f aca="false">SUM(E115:S115)</f>
        <v>1.00003008762046</v>
      </c>
      <c r="U115" s="242"/>
      <c r="W115" s="184"/>
      <c r="X115" s="184"/>
      <c r="Y115" s="185"/>
      <c r="Z115" s="185" t="s">
        <v>455</v>
      </c>
      <c r="AA115" s="185"/>
      <c r="AB115" s="185"/>
      <c r="AC115" s="186" t="s">
        <v>451</v>
      </c>
      <c r="AD115" s="186" t="s">
        <v>452</v>
      </c>
      <c r="AE115" s="186" t="s">
        <v>453</v>
      </c>
      <c r="AF115" s="186" t="s">
        <v>454</v>
      </c>
      <c r="AG115" s="185"/>
      <c r="AH115" s="185"/>
      <c r="AI115" s="185"/>
      <c r="AJ115" s="188" t="s">
        <v>456</v>
      </c>
      <c r="AK115" s="185"/>
      <c r="AL115" s="186" t="s">
        <v>448</v>
      </c>
      <c r="AM115" s="185"/>
    </row>
    <row r="116" customFormat="false" ht="14.5" hidden="false" customHeight="false" outlineLevel="0" collapsed="false">
      <c r="C116" s="211" t="s">
        <v>464</v>
      </c>
      <c r="D116" s="212" t="s">
        <v>498</v>
      </c>
      <c r="E116" s="244" t="n">
        <v>0.035</v>
      </c>
      <c r="F116" s="240"/>
      <c r="G116" s="244" t="n">
        <v>0.02</v>
      </c>
      <c r="H116" s="244" t="n">
        <v>0.191</v>
      </c>
      <c r="I116" s="240"/>
      <c r="J116" s="240"/>
      <c r="K116" s="244" t="n">
        <v>0.029</v>
      </c>
      <c r="L116" s="244" t="n">
        <v>0</v>
      </c>
      <c r="M116" s="244" t="n">
        <v>0</v>
      </c>
      <c r="N116" s="244" t="n">
        <v>0</v>
      </c>
      <c r="O116" s="244" t="n">
        <v>0</v>
      </c>
      <c r="P116" s="244" t="n">
        <v>0</v>
      </c>
      <c r="Q116" s="244" t="n">
        <v>0.725</v>
      </c>
      <c r="R116" s="244" t="n">
        <v>0</v>
      </c>
      <c r="S116" s="244" t="n">
        <v>0</v>
      </c>
      <c r="T116" s="241" t="n">
        <f aca="false">SUM(E116:S116)</f>
        <v>1</v>
      </c>
      <c r="U116" s="242"/>
      <c r="W116" s="189" t="s">
        <v>24</v>
      </c>
      <c r="X116" s="189"/>
      <c r="Y116" s="243"/>
      <c r="Z116" s="243"/>
      <c r="AA116" s="243"/>
      <c r="AB116" s="243"/>
      <c r="AC116" s="243"/>
      <c r="AD116" s="243"/>
      <c r="AE116" s="243"/>
      <c r="AF116" s="243"/>
      <c r="AG116" s="243"/>
      <c r="AH116" s="243"/>
      <c r="AI116" s="243"/>
      <c r="AJ116" s="243"/>
      <c r="AK116" s="243"/>
      <c r="AL116" s="243"/>
      <c r="AM116" s="243"/>
    </row>
    <row r="117" customFormat="false" ht="14.5" hidden="false" customHeight="false" outlineLevel="0" collapsed="false">
      <c r="C117" s="211" t="s">
        <v>466</v>
      </c>
      <c r="D117" s="212" t="s">
        <v>498</v>
      </c>
      <c r="E117" s="240" t="n">
        <v>0</v>
      </c>
      <c r="F117" s="240" t="n">
        <v>0</v>
      </c>
      <c r="G117" s="240" t="n">
        <v>0</v>
      </c>
      <c r="H117" s="240" t="n">
        <v>0.15207756232687</v>
      </c>
      <c r="I117" s="240" t="n">
        <v>0</v>
      </c>
      <c r="J117" s="240" t="n">
        <v>0</v>
      </c>
      <c r="K117" s="240" t="n">
        <v>0</v>
      </c>
      <c r="L117" s="240" t="n">
        <v>0</v>
      </c>
      <c r="M117" s="240" t="n">
        <v>0</v>
      </c>
      <c r="N117" s="240" t="n">
        <v>0</v>
      </c>
      <c r="O117" s="240" t="n">
        <v>0</v>
      </c>
      <c r="P117" s="240" t="n">
        <v>0</v>
      </c>
      <c r="Q117" s="240" t="n">
        <v>0.137673130193906</v>
      </c>
      <c r="R117" s="240" t="n">
        <v>0</v>
      </c>
      <c r="S117" s="240" t="n">
        <v>0.710249307479224</v>
      </c>
      <c r="T117" s="241" t="n">
        <f aca="false">SUM(E117:S117)</f>
        <v>1</v>
      </c>
      <c r="U117" s="242"/>
      <c r="W117" s="192" t="s">
        <v>461</v>
      </c>
      <c r="X117" s="192" t="s">
        <v>498</v>
      </c>
      <c r="Y117" s="244" t="n">
        <f aca="false">'Mix éner %'!Y135</f>
        <v>0.403618437555975</v>
      </c>
      <c r="Z117" s="244" t="n">
        <f aca="false">'Mix éner %'!Z135</f>
        <v>0.596381562444025</v>
      </c>
      <c r="AA117" s="244" t="n">
        <f aca="false">'Mix éner %'!AA135</f>
        <v>0.00441072724409894</v>
      </c>
      <c r="AB117" s="244" t="n">
        <f aca="false">'Mix éner %'!AB135</f>
        <v>0</v>
      </c>
      <c r="AC117" s="244" t="n">
        <f aca="false">'Mix éner %'!AC135</f>
        <v>0</v>
      </c>
      <c r="AD117" s="244" t="n">
        <f aca="false">'Mix éner %'!AD135</f>
        <v>0</v>
      </c>
      <c r="AE117" s="244" t="n">
        <f aca="false">'Mix éner %'!AE135</f>
        <v>0</v>
      </c>
      <c r="AF117" s="244" t="n">
        <f aca="false">'Mix éner %'!AF135</f>
        <v>0</v>
      </c>
      <c r="AG117" s="244" t="n">
        <f aca="false">'Mix éner %'!AG135</f>
        <v>0</v>
      </c>
      <c r="AH117" s="244" t="n">
        <f aca="false">'Mix éner %'!AH135</f>
        <v>0</v>
      </c>
      <c r="AI117" s="244" t="n">
        <f aca="false">'Mix éner %'!AI135</f>
        <v>0</v>
      </c>
      <c r="AJ117" s="244" t="n">
        <f aca="false">'Mix éner %'!AJ135</f>
        <v>0</v>
      </c>
      <c r="AK117" s="244" t="n">
        <f aca="false">'Mix éner %'!AK135</f>
        <v>0.00269566284669806</v>
      </c>
      <c r="AL117" s="244" t="n">
        <f aca="false">'Mix éner %'!AL135</f>
        <v>0</v>
      </c>
      <c r="AM117" s="244" t="n">
        <f aca="false">'Mix éner %'!AM135</f>
        <v>1</v>
      </c>
    </row>
    <row r="118" customFormat="false" ht="14.5" hidden="false" customHeight="false" outlineLevel="0" collapsed="false">
      <c r="C118" s="211" t="s">
        <v>469</v>
      </c>
      <c r="D118" s="212" t="s">
        <v>498</v>
      </c>
      <c r="E118" s="250" t="n">
        <v>0.004</v>
      </c>
      <c r="F118" s="241" t="n">
        <v>0</v>
      </c>
      <c r="G118" s="250" t="n">
        <v>0.028</v>
      </c>
      <c r="H118" s="250" t="n">
        <v>0.25</v>
      </c>
      <c r="I118" s="240" t="n">
        <v>0</v>
      </c>
      <c r="J118" s="240" t="n">
        <v>0</v>
      </c>
      <c r="K118" s="240" t="n">
        <v>0</v>
      </c>
      <c r="L118" s="240" t="n">
        <v>0</v>
      </c>
      <c r="M118" s="240" t="n">
        <v>0</v>
      </c>
      <c r="N118" s="240" t="n">
        <v>0</v>
      </c>
      <c r="O118" s="240" t="n">
        <v>0</v>
      </c>
      <c r="P118" s="240" t="n">
        <v>0</v>
      </c>
      <c r="Q118" s="250" t="n">
        <v>0.71</v>
      </c>
      <c r="R118" s="250" t="n">
        <v>0.008</v>
      </c>
      <c r="S118" s="241" t="n">
        <v>0</v>
      </c>
      <c r="T118" s="241" t="n">
        <f aca="false">SUM(E118:S118)</f>
        <v>1</v>
      </c>
      <c r="U118" s="242"/>
      <c r="W118" s="192" t="s">
        <v>464</v>
      </c>
      <c r="X118" s="192" t="s">
        <v>498</v>
      </c>
      <c r="Y118" s="244" t="n">
        <f aca="false">'Mix éner %'!Y139</f>
        <v>0.035</v>
      </c>
      <c r="Z118" s="244" t="n">
        <f aca="false">'Mix éner %'!Z139</f>
        <v>0</v>
      </c>
      <c r="AA118" s="244" t="n">
        <f aca="false">'Mix éner %'!AA139</f>
        <v>0.02</v>
      </c>
      <c r="AB118" s="244" t="n">
        <f aca="false">'Mix éner %'!AB139</f>
        <v>0.22</v>
      </c>
      <c r="AC118" s="244" t="n">
        <f aca="false">'Mix éner %'!AC139</f>
        <v>0</v>
      </c>
      <c r="AD118" s="244" t="n">
        <f aca="false">'Mix éner %'!AD139</f>
        <v>0</v>
      </c>
      <c r="AE118" s="244" t="n">
        <f aca="false">'Mix éner %'!AE139</f>
        <v>0</v>
      </c>
      <c r="AF118" s="244" t="n">
        <f aca="false">'Mix éner %'!AF139</f>
        <v>0</v>
      </c>
      <c r="AG118" s="244" t="n">
        <f aca="false">'Mix éner %'!AG139</f>
        <v>0</v>
      </c>
      <c r="AH118" s="244" t="n">
        <f aca="false">'Mix éner %'!AH139</f>
        <v>0</v>
      </c>
      <c r="AI118" s="244" t="n">
        <f aca="false">'Mix éner %'!AI139</f>
        <v>0.725</v>
      </c>
      <c r="AJ118" s="244" t="n">
        <f aca="false">'Mix éner %'!AJ139</f>
        <v>0</v>
      </c>
      <c r="AK118" s="244" t="n">
        <f aca="false">'Mix éner %'!AK139</f>
        <v>0</v>
      </c>
      <c r="AL118" s="244" t="n">
        <f aca="false">'Mix éner %'!AL139</f>
        <v>0</v>
      </c>
      <c r="AM118" s="244" t="n">
        <f aca="false">'Mix éner %'!AM139</f>
        <v>1</v>
      </c>
    </row>
    <row r="119" customFormat="false" ht="14.5" hidden="false" customHeight="false" outlineLevel="0" collapsed="false">
      <c r="C119" s="211" t="s">
        <v>471</v>
      </c>
      <c r="D119" s="212" t="s">
        <v>498</v>
      </c>
      <c r="E119" s="241" t="n">
        <v>0</v>
      </c>
      <c r="F119" s="241" t="n">
        <v>0</v>
      </c>
      <c r="G119" s="241" t="n">
        <v>0</v>
      </c>
      <c r="H119" s="241" t="n">
        <v>0.9</v>
      </c>
      <c r="I119" s="240" t="n">
        <v>0</v>
      </c>
      <c r="J119" s="240" t="n">
        <v>0</v>
      </c>
      <c r="K119" s="240" t="n">
        <v>0</v>
      </c>
      <c r="L119" s="240" t="n">
        <v>0</v>
      </c>
      <c r="M119" s="240" t="n">
        <v>0</v>
      </c>
      <c r="N119" s="240" t="n">
        <v>0</v>
      </c>
      <c r="O119" s="240" t="n">
        <v>0</v>
      </c>
      <c r="P119" s="240" t="n">
        <v>0</v>
      </c>
      <c r="Q119" s="241" t="n">
        <v>0.1</v>
      </c>
      <c r="R119" s="241" t="n">
        <v>0</v>
      </c>
      <c r="S119" s="241" t="n">
        <v>0</v>
      </c>
      <c r="T119" s="241" t="n">
        <f aca="false">SUM(E119:S119)</f>
        <v>1</v>
      </c>
      <c r="U119" s="242"/>
      <c r="W119" s="192" t="s">
        <v>466</v>
      </c>
      <c r="X119" s="192" t="s">
        <v>498</v>
      </c>
      <c r="Y119" s="244" t="n">
        <f aca="false">'Mix éner %'!Y143</f>
        <v>0</v>
      </c>
      <c r="Z119" s="244" t="n">
        <f aca="false">'Mix éner %'!Z143</f>
        <v>0</v>
      </c>
      <c r="AA119" s="244" t="n">
        <f aca="false">'Mix éner %'!AA143</f>
        <v>0</v>
      </c>
      <c r="AB119" s="244" t="n">
        <f aca="false">'Mix éner %'!AB143</f>
        <v>0</v>
      </c>
      <c r="AC119" s="244" t="n">
        <f aca="false">'Mix éner %'!AC143</f>
        <v>0</v>
      </c>
      <c r="AD119" s="244" t="n">
        <f aca="false">'Mix éner %'!AD143</f>
        <v>0</v>
      </c>
      <c r="AE119" s="244" t="n">
        <f aca="false">'Mix éner %'!AE143</f>
        <v>0</v>
      </c>
      <c r="AF119" s="244" t="n">
        <f aca="false">'Mix éner %'!AF143</f>
        <v>0</v>
      </c>
      <c r="AG119" s="244" t="n">
        <f aca="false">'Mix éner %'!AG143</f>
        <v>0</v>
      </c>
      <c r="AH119" s="244" t="n">
        <f aca="false">'Mix éner %'!AH143</f>
        <v>0</v>
      </c>
      <c r="AI119" s="244" t="n">
        <f aca="false">'Mix éner %'!AI143</f>
        <v>0</v>
      </c>
      <c r="AJ119" s="244" t="n">
        <f aca="false">'Mix éner %'!AJ143</f>
        <v>0</v>
      </c>
      <c r="AK119" s="244" t="n">
        <f aca="false">'Mix éner %'!AK143</f>
        <v>0</v>
      </c>
      <c r="AL119" s="244" t="n">
        <f aca="false">'Mix éner %'!AL143</f>
        <v>0</v>
      </c>
      <c r="AM119" s="244" t="n">
        <f aca="false">'Mix éner %'!AM143</f>
        <v>0</v>
      </c>
    </row>
    <row r="120" customFormat="false" ht="14.5" hidden="false" customHeight="false" outlineLevel="0" collapsed="false">
      <c r="C120" s="211" t="s">
        <v>473</v>
      </c>
      <c r="D120" s="212" t="s">
        <v>498</v>
      </c>
      <c r="E120" s="241" t="n">
        <v>0.000218316716171187</v>
      </c>
      <c r="F120" s="241" t="n">
        <v>0.000218316716171187</v>
      </c>
      <c r="G120" s="241" t="n">
        <v>0.152259671871665</v>
      </c>
      <c r="H120" s="241" t="n">
        <v>0.157128528851314</v>
      </c>
      <c r="I120" s="241" t="n">
        <v>0.000218316716171187</v>
      </c>
      <c r="J120" s="241" t="n">
        <v>0.000218316716171187</v>
      </c>
      <c r="K120" s="241" t="n">
        <v>0.000218316716171187</v>
      </c>
      <c r="L120" s="241" t="n">
        <v>0.000218316716171187</v>
      </c>
      <c r="M120" s="241" t="n">
        <v>0.000218316716171187</v>
      </c>
      <c r="N120" s="241" t="n">
        <v>0.000218316716171187</v>
      </c>
      <c r="O120" s="241" t="n">
        <v>0.000218316716171187</v>
      </c>
      <c r="P120" s="241" t="n">
        <v>0.000218316716171187</v>
      </c>
      <c r="Q120" s="241" t="n">
        <v>0.675599380753927</v>
      </c>
      <c r="R120" s="241" t="n">
        <v>0.0145757850907516</v>
      </c>
      <c r="S120" s="241" t="n">
        <v>0.000218316716171187</v>
      </c>
      <c r="T120" s="241" t="n">
        <f aca="false">SUM(E120:S120)</f>
        <v>1.00196485044554</v>
      </c>
      <c r="U120" s="242"/>
      <c r="W120" s="198" t="s">
        <v>467</v>
      </c>
      <c r="X120" s="192" t="s">
        <v>498</v>
      </c>
      <c r="Y120" s="244" t="n">
        <f aca="false">'Mix éner %'!Y147</f>
        <v>0.0558449092555247</v>
      </c>
      <c r="Z120" s="244" t="n">
        <f aca="false">'Mix éner %'!Z147</f>
        <v>0.0324236893802455</v>
      </c>
      <c r="AA120" s="244" t="n">
        <f aca="false">'Mix éner %'!AA147</f>
        <v>0.0113704022297733</v>
      </c>
      <c r="AB120" s="244" t="n">
        <f aca="false">'Mix éner %'!AB147</f>
        <v>0.311435998294995</v>
      </c>
      <c r="AC120" s="244" t="n">
        <f aca="false">'Mix éner %'!AC147</f>
        <v>0.000298560675692869</v>
      </c>
      <c r="AD120" s="244" t="n">
        <f aca="false">'Mix éner %'!AD147</f>
        <v>0</v>
      </c>
      <c r="AE120" s="244" t="n">
        <f aca="false">'Mix éner %'!AE147</f>
        <v>0</v>
      </c>
      <c r="AF120" s="244" t="n">
        <f aca="false">'Mix éner %'!AF147</f>
        <v>0</v>
      </c>
      <c r="AG120" s="244" t="n">
        <f aca="false">'Mix éner %'!AG147</f>
        <v>0</v>
      </c>
      <c r="AH120" s="244" t="n">
        <f aca="false">'Mix éner %'!AH147</f>
        <v>0</v>
      </c>
      <c r="AI120" s="244" t="n">
        <f aca="false">'Mix éner %'!AI147</f>
        <v>0.582595514514773</v>
      </c>
      <c r="AJ120" s="244" t="n">
        <f aca="false">'Mix éner %'!AJ147</f>
        <v>0</v>
      </c>
      <c r="AK120" s="244" t="n">
        <f aca="false">'Mix éner %'!AK147</f>
        <v>0.00603092564899595</v>
      </c>
      <c r="AL120" s="244" t="n">
        <f aca="false">'Mix éner %'!AL147</f>
        <v>0</v>
      </c>
      <c r="AM120" s="244" t="n">
        <f aca="false">'Mix éner %'!AM147</f>
        <v>1</v>
      </c>
    </row>
    <row r="121" customFormat="false" ht="14.5" hidden="false" customHeight="false" outlineLevel="0" collapsed="false">
      <c r="C121" s="209" t="s">
        <v>25</v>
      </c>
      <c r="D121" s="209"/>
      <c r="E121" s="246"/>
      <c r="F121" s="246"/>
      <c r="G121" s="246"/>
      <c r="H121" s="246"/>
      <c r="I121" s="246"/>
      <c r="J121" s="246"/>
      <c r="K121" s="246"/>
      <c r="L121" s="246"/>
      <c r="M121" s="246"/>
      <c r="N121" s="246"/>
      <c r="O121" s="246"/>
      <c r="P121" s="246"/>
      <c r="Q121" s="246"/>
      <c r="R121" s="246"/>
      <c r="S121" s="246"/>
      <c r="T121" s="249" t="n">
        <f aca="false">SUM(E121:S121)</f>
        <v>0</v>
      </c>
      <c r="U121" s="242"/>
      <c r="W121" s="192" t="s">
        <v>469</v>
      </c>
      <c r="X121" s="192" t="s">
        <v>498</v>
      </c>
      <c r="Y121" s="244" t="n">
        <f aca="false">'Mix éner %'!Y151</f>
        <v>0.004</v>
      </c>
      <c r="Z121" s="244" t="n">
        <f aca="false">'Mix éner %'!Z151</f>
        <v>0</v>
      </c>
      <c r="AA121" s="244" t="n">
        <f aca="false">'Mix éner %'!AA151</f>
        <v>0.028</v>
      </c>
      <c r="AB121" s="244" t="n">
        <f aca="false">'Mix éner %'!AB151</f>
        <v>0.25</v>
      </c>
      <c r="AC121" s="244" t="n">
        <f aca="false">'Mix éner %'!AC151</f>
        <v>0</v>
      </c>
      <c r="AD121" s="244" t="n">
        <f aca="false">'Mix éner %'!AD151</f>
        <v>0</v>
      </c>
      <c r="AE121" s="244" t="n">
        <f aca="false">'Mix éner %'!AE151</f>
        <v>0</v>
      </c>
      <c r="AF121" s="244" t="n">
        <f aca="false">'Mix éner %'!AF151</f>
        <v>0</v>
      </c>
      <c r="AG121" s="244" t="n">
        <f aca="false">'Mix éner %'!AG151</f>
        <v>0</v>
      </c>
      <c r="AH121" s="244" t="n">
        <f aca="false">'Mix éner %'!AH151</f>
        <v>0</v>
      </c>
      <c r="AI121" s="244" t="n">
        <f aca="false">'Mix éner %'!AI151</f>
        <v>0.71</v>
      </c>
      <c r="AJ121" s="244" t="n">
        <f aca="false">'Mix éner %'!AJ151</f>
        <v>0</v>
      </c>
      <c r="AK121" s="244" t="n">
        <f aca="false">'Mix éner %'!AK151</f>
        <v>0.008</v>
      </c>
      <c r="AL121" s="244" t="n">
        <f aca="false">'Mix éner %'!AL151</f>
        <v>0</v>
      </c>
      <c r="AM121" s="244" t="n">
        <f aca="false">'Mix éner %'!AM151</f>
        <v>1</v>
      </c>
    </row>
    <row r="122" customFormat="false" ht="14.5" hidden="false" customHeight="false" outlineLevel="0" collapsed="false">
      <c r="C122" s="211" t="s">
        <v>475</v>
      </c>
      <c r="D122" s="212" t="s">
        <v>498</v>
      </c>
      <c r="E122" s="241" t="n">
        <v>0</v>
      </c>
      <c r="F122" s="241" t="n">
        <v>0</v>
      </c>
      <c r="G122" s="241" t="n">
        <v>0.005</v>
      </c>
      <c r="H122" s="241" t="n">
        <v>0.93</v>
      </c>
      <c r="I122" s="241" t="n">
        <v>0</v>
      </c>
      <c r="J122" s="241" t="n">
        <v>0</v>
      </c>
      <c r="K122" s="241" t="n">
        <v>0.005</v>
      </c>
      <c r="L122" s="241" t="n">
        <v>0</v>
      </c>
      <c r="M122" s="241" t="n">
        <v>0</v>
      </c>
      <c r="N122" s="241" t="n">
        <v>0</v>
      </c>
      <c r="O122" s="241" t="n">
        <v>0</v>
      </c>
      <c r="P122" s="241" t="n">
        <v>0</v>
      </c>
      <c r="Q122" s="241" t="n">
        <v>0.06</v>
      </c>
      <c r="R122" s="241" t="n">
        <v>0</v>
      </c>
      <c r="S122" s="241" t="n">
        <v>0</v>
      </c>
      <c r="T122" s="241" t="n">
        <f aca="false">SUM(E122:S122)</f>
        <v>1</v>
      </c>
      <c r="U122" s="242"/>
      <c r="W122" s="192" t="s">
        <v>471</v>
      </c>
      <c r="X122" s="192" t="s">
        <v>498</v>
      </c>
      <c r="Y122" s="244" t="n">
        <f aca="false">'Mix éner %'!Y155</f>
        <v>0</v>
      </c>
      <c r="Z122" s="244" t="n">
        <f aca="false">'Mix éner %'!Z155</f>
        <v>0</v>
      </c>
      <c r="AA122" s="244" t="n">
        <f aca="false">'Mix éner %'!AA155</f>
        <v>0.0246193395293652</v>
      </c>
      <c r="AB122" s="244" t="n">
        <f aca="false">'Mix éner %'!AB155</f>
        <v>0.639905082064465</v>
      </c>
      <c r="AC122" s="244" t="n">
        <f aca="false">'Mix éner %'!AC155</f>
        <v>0</v>
      </c>
      <c r="AD122" s="244" t="n">
        <f aca="false">'Mix éner %'!AD155</f>
        <v>0</v>
      </c>
      <c r="AE122" s="244" t="n">
        <f aca="false">'Mix éner %'!AE155</f>
        <v>0</v>
      </c>
      <c r="AF122" s="244" t="n">
        <f aca="false">'Mix éner %'!AF155</f>
        <v>0</v>
      </c>
      <c r="AG122" s="244" t="n">
        <f aca="false">'Mix éner %'!AG155</f>
        <v>0</v>
      </c>
      <c r="AH122" s="244" t="n">
        <f aca="false">'Mix éner %'!AH155</f>
        <v>0</v>
      </c>
      <c r="AI122" s="244" t="n">
        <f aca="false">'Mix éner %'!AI155</f>
        <v>0.33547557840617</v>
      </c>
      <c r="AJ122" s="244" t="n">
        <f aca="false">'Mix éner %'!AJ155</f>
        <v>0</v>
      </c>
      <c r="AK122" s="244" t="n">
        <f aca="false">'Mix éner %'!AK155</f>
        <v>0</v>
      </c>
      <c r="AL122" s="244" t="n">
        <f aca="false">'Mix éner %'!AL155</f>
        <v>0</v>
      </c>
      <c r="AM122" s="244" t="n">
        <f aca="false">'Mix éner %'!AM155</f>
        <v>1</v>
      </c>
    </row>
    <row r="123" customFormat="false" ht="14.5" hidden="false" customHeight="false" outlineLevel="0" collapsed="false">
      <c r="C123" s="211" t="s">
        <v>476</v>
      </c>
      <c r="D123" s="212" t="s">
        <v>498</v>
      </c>
      <c r="E123" s="241" t="n">
        <v>0</v>
      </c>
      <c r="F123" s="241" t="n">
        <v>0</v>
      </c>
      <c r="G123" s="241" t="n">
        <v>0.0365190272306893</v>
      </c>
      <c r="H123" s="241" t="n">
        <v>0.494979970656034</v>
      </c>
      <c r="I123" s="241" t="n">
        <v>0</v>
      </c>
      <c r="J123" s="241" t="n">
        <v>0</v>
      </c>
      <c r="K123" s="241" t="n">
        <v>0.030411115934224</v>
      </c>
      <c r="L123" s="241" t="n">
        <v>0</v>
      </c>
      <c r="M123" s="241" t="n">
        <v>0</v>
      </c>
      <c r="N123" s="241" t="n">
        <v>0</v>
      </c>
      <c r="O123" s="241" t="n">
        <v>0</v>
      </c>
      <c r="P123" s="241" t="n">
        <v>0</v>
      </c>
      <c r="Q123" s="241" t="n">
        <v>0.248219525480862</v>
      </c>
      <c r="R123" s="241" t="n">
        <v>0.178122250471884</v>
      </c>
      <c r="S123" s="241" t="n">
        <v>0.0117</v>
      </c>
      <c r="T123" s="241" t="n">
        <f aca="false">SUM(E123:S123)</f>
        <v>0.999951889773693</v>
      </c>
      <c r="U123" s="242"/>
      <c r="W123" s="192" t="s">
        <v>473</v>
      </c>
      <c r="X123" s="192" t="s">
        <v>498</v>
      </c>
      <c r="Y123" s="244" t="n">
        <f aca="false">'Mix éner %'!Y159</f>
        <v>0.000218316716171187</v>
      </c>
      <c r="Z123" s="244" t="n">
        <f aca="false">'Mix éner %'!Z159</f>
        <v>0</v>
      </c>
      <c r="AA123" s="244" t="n">
        <f aca="false">'Mix éner %'!AA159</f>
        <v>0.17</v>
      </c>
      <c r="AB123" s="244" t="n">
        <f aca="false">'Mix éner %'!AB159</f>
        <v>0.085</v>
      </c>
      <c r="AC123" s="244" t="n">
        <f aca="false">'Mix éner %'!AC159</f>
        <v>0.000218316716171187</v>
      </c>
      <c r="AD123" s="244" t="n">
        <f aca="false">'Mix éner %'!AD159</f>
        <v>0.000218316716171187</v>
      </c>
      <c r="AE123" s="244" t="n">
        <f aca="false">'Mix éner %'!AE159</f>
        <v>0.000218316716171187</v>
      </c>
      <c r="AF123" s="244" t="n">
        <f aca="false">'Mix éner %'!AF159</f>
        <v>0.000218316716171187</v>
      </c>
      <c r="AG123" s="244" t="n">
        <f aca="false">'Mix éner %'!AG159</f>
        <v>0.000218316716171187</v>
      </c>
      <c r="AH123" s="244" t="n">
        <f aca="false">'Mix éner %'!AH159</f>
        <v>0.000218316716171187</v>
      </c>
      <c r="AI123" s="244" t="n">
        <f aca="false">'Mix éner %'!AI159</f>
        <v>0.728566484469445</v>
      </c>
      <c r="AJ123" s="244" t="n">
        <f aca="false">'Mix éner %'!AJ159</f>
        <v>0</v>
      </c>
      <c r="AK123" s="244" t="n">
        <f aca="false">'Mix éner %'!AK159</f>
        <v>0.0145757850907516</v>
      </c>
      <c r="AL123" s="244" t="n">
        <f aca="false">'Mix éner %'!AL159</f>
        <v>0.000218316716171187</v>
      </c>
      <c r="AM123" s="244" t="n">
        <f aca="false">'Mix éner %'!AM159</f>
        <v>0.999888803289566</v>
      </c>
    </row>
    <row r="124" customFormat="false" ht="14.5" hidden="false" customHeight="false" outlineLevel="0" collapsed="false">
      <c r="C124" s="211" t="s">
        <v>479</v>
      </c>
      <c r="D124" s="212" t="s">
        <v>498</v>
      </c>
      <c r="E124" s="241" t="n">
        <v>0.0625506275145885</v>
      </c>
      <c r="F124" s="241" t="n">
        <v>0</v>
      </c>
      <c r="G124" s="241" t="n">
        <v>0.0585958942995415</v>
      </c>
      <c r="H124" s="241" t="n">
        <v>0.39124178724877</v>
      </c>
      <c r="I124" s="241" t="n">
        <v>0</v>
      </c>
      <c r="J124" s="241" t="n">
        <v>0</v>
      </c>
      <c r="K124" s="241" t="n">
        <v>0.0173870977130318</v>
      </c>
      <c r="L124" s="241" t="n">
        <v>0</v>
      </c>
      <c r="M124" s="241" t="n">
        <v>0</v>
      </c>
      <c r="N124" s="241" t="n">
        <v>0</v>
      </c>
      <c r="O124" s="241" t="n">
        <v>0</v>
      </c>
      <c r="P124" s="241" t="n">
        <v>0</v>
      </c>
      <c r="Q124" s="241" t="n">
        <v>0.30482105840412</v>
      </c>
      <c r="R124" s="241" t="n">
        <v>0.163891876538359</v>
      </c>
      <c r="S124" s="241" t="n">
        <v>0</v>
      </c>
      <c r="T124" s="241" t="n">
        <f aca="false">SUM(E124:S124)</f>
        <v>0.998488341718411</v>
      </c>
      <c r="U124" s="242"/>
      <c r="W124" s="189" t="s">
        <v>25</v>
      </c>
      <c r="X124" s="189"/>
      <c r="Y124" s="243"/>
      <c r="Z124" s="243"/>
      <c r="AA124" s="243"/>
      <c r="AB124" s="243"/>
      <c r="AC124" s="243"/>
      <c r="AD124" s="243"/>
      <c r="AE124" s="243"/>
      <c r="AF124" s="243"/>
      <c r="AG124" s="243"/>
      <c r="AH124" s="243"/>
      <c r="AI124" s="243"/>
      <c r="AJ124" s="243"/>
      <c r="AK124" s="243"/>
      <c r="AL124" s="243"/>
      <c r="AM124" s="243"/>
    </row>
    <row r="125" customFormat="false" ht="14.5" hidden="false" customHeight="false" outlineLevel="0" collapsed="false">
      <c r="C125" s="209" t="s">
        <v>480</v>
      </c>
      <c r="D125" s="209"/>
      <c r="E125" s="246"/>
      <c r="F125" s="246"/>
      <c r="G125" s="246"/>
      <c r="H125" s="246"/>
      <c r="I125" s="246"/>
      <c r="J125" s="246"/>
      <c r="K125" s="246"/>
      <c r="L125" s="246"/>
      <c r="M125" s="246"/>
      <c r="N125" s="246"/>
      <c r="O125" s="246"/>
      <c r="P125" s="246"/>
      <c r="Q125" s="246"/>
      <c r="R125" s="246"/>
      <c r="S125" s="246"/>
      <c r="T125" s="249" t="n">
        <f aca="false">SUM(E125:S125)</f>
        <v>0</v>
      </c>
      <c r="U125" s="242"/>
      <c r="W125" s="192" t="s">
        <v>475</v>
      </c>
      <c r="X125" s="192" t="s">
        <v>498</v>
      </c>
      <c r="Y125" s="244" t="n">
        <f aca="false">'Mix éner %'!Y164</f>
        <v>0</v>
      </c>
      <c r="Z125" s="244" t="n">
        <f aca="false">'Mix éner %'!Z164</f>
        <v>0</v>
      </c>
      <c r="AA125" s="244" t="n">
        <f aca="false">'Mix éner %'!AA164</f>
        <v>0.005</v>
      </c>
      <c r="AB125" s="244" t="n">
        <f aca="false">'Mix éner %'!AB164</f>
        <v>0.93</v>
      </c>
      <c r="AC125" s="244" t="n">
        <f aca="false">'Mix éner %'!AC164</f>
        <v>0.005</v>
      </c>
      <c r="AD125" s="244" t="n">
        <f aca="false">'Mix éner %'!AD164</f>
        <v>0</v>
      </c>
      <c r="AE125" s="244" t="n">
        <f aca="false">'Mix éner %'!AE164</f>
        <v>0</v>
      </c>
      <c r="AF125" s="244" t="n">
        <f aca="false">'Mix éner %'!AF164</f>
        <v>0</v>
      </c>
      <c r="AG125" s="244" t="n">
        <f aca="false">'Mix éner %'!AG164</f>
        <v>0</v>
      </c>
      <c r="AH125" s="244" t="n">
        <f aca="false">'Mix éner %'!AH164</f>
        <v>0</v>
      </c>
      <c r="AI125" s="244" t="n">
        <f aca="false">'Mix éner %'!AI164</f>
        <v>0.06</v>
      </c>
      <c r="AJ125" s="244" t="n">
        <f aca="false">'Mix éner %'!AJ164</f>
        <v>0</v>
      </c>
      <c r="AK125" s="244" t="n">
        <f aca="false">'Mix éner %'!AK164</f>
        <v>0</v>
      </c>
      <c r="AL125" s="244" t="n">
        <f aca="false">'Mix éner %'!AL164</f>
        <v>0</v>
      </c>
      <c r="AM125" s="244" t="n">
        <f aca="false">'Mix éner %'!AM164</f>
        <v>1</v>
      </c>
    </row>
    <row r="126" customFormat="false" ht="14.5" hidden="false" customHeight="false" outlineLevel="0" collapsed="false">
      <c r="C126" s="211" t="s">
        <v>481</v>
      </c>
      <c r="D126" s="212" t="s">
        <v>498</v>
      </c>
      <c r="E126" s="241" t="n">
        <v>0.138067512085551</v>
      </c>
      <c r="F126" s="241" t="n">
        <v>0</v>
      </c>
      <c r="G126" s="251" t="n">
        <v>0.385</v>
      </c>
      <c r="H126" s="241" t="n">
        <v>0.02</v>
      </c>
      <c r="I126" s="241" t="n">
        <v>0</v>
      </c>
      <c r="J126" s="241" t="n">
        <v>0</v>
      </c>
      <c r="K126" s="241" t="n">
        <v>0.426932487914449</v>
      </c>
      <c r="L126" s="241" t="n">
        <v>0</v>
      </c>
      <c r="M126" s="241" t="n">
        <v>0</v>
      </c>
      <c r="N126" s="241" t="n">
        <v>0</v>
      </c>
      <c r="O126" s="241" t="n">
        <v>0</v>
      </c>
      <c r="P126" s="241" t="n">
        <v>0</v>
      </c>
      <c r="Q126" s="241" t="n">
        <v>0.03</v>
      </c>
      <c r="R126" s="241" t="n">
        <v>0</v>
      </c>
      <c r="S126" s="241" t="n">
        <v>0</v>
      </c>
      <c r="T126" s="241" t="n">
        <f aca="false">SUM(E126:S126)</f>
        <v>1</v>
      </c>
      <c r="U126" s="242"/>
      <c r="W126" s="192" t="s">
        <v>476</v>
      </c>
      <c r="X126" s="192" t="s">
        <v>498</v>
      </c>
      <c r="Y126" s="244" t="n">
        <f aca="false">'Mix éner %'!Y168</f>
        <v>0</v>
      </c>
      <c r="Z126" s="244" t="n">
        <f aca="false">'Mix éner %'!Z168</f>
        <v>0</v>
      </c>
      <c r="AA126" s="244" t="n">
        <f aca="false">'Mix éner %'!AA168</f>
        <v>0.03</v>
      </c>
      <c r="AB126" s="244" t="n">
        <f aca="false">'Mix éner %'!AB168</f>
        <v>0.64</v>
      </c>
      <c r="AC126" s="244" t="n">
        <f aca="false">'Mix éner %'!AC168</f>
        <v>0.030411115934224</v>
      </c>
      <c r="AD126" s="244" t="n">
        <f aca="false">'Mix éner %'!AD168</f>
        <v>0</v>
      </c>
      <c r="AE126" s="244" t="n">
        <f aca="false">'Mix éner %'!AE168</f>
        <v>0</v>
      </c>
      <c r="AF126" s="244" t="n">
        <f aca="false">'Mix éner %'!AF168</f>
        <v>0</v>
      </c>
      <c r="AG126" s="244" t="n">
        <f aca="false">'Mix éner %'!AG168</f>
        <v>0</v>
      </c>
      <c r="AH126" s="244" t="n">
        <f aca="false">'Mix éner %'!AH168</f>
        <v>0</v>
      </c>
      <c r="AI126" s="244" t="n">
        <f aca="false">'Mix éner %'!AI168</f>
        <v>0.17</v>
      </c>
      <c r="AJ126" s="244" t="n">
        <f aca="false">'Mix éner %'!AJ168</f>
        <v>0</v>
      </c>
      <c r="AK126" s="244" t="n">
        <f aca="false">'Mix éner %'!AK168</f>
        <v>0.12</v>
      </c>
      <c r="AL126" s="244" t="n">
        <f aca="false">'Mix éner %'!AL168</f>
        <v>0.01</v>
      </c>
      <c r="AM126" s="244" t="n">
        <f aca="false">'Mix éner %'!AM168</f>
        <v>1.00041111593422</v>
      </c>
    </row>
    <row r="127" customFormat="false" ht="14.5" hidden="false" customHeight="false" outlineLevel="0" collapsed="false">
      <c r="C127" s="211" t="s">
        <v>482</v>
      </c>
      <c r="D127" s="212" t="s">
        <v>498</v>
      </c>
      <c r="E127" s="241" t="n">
        <v>0</v>
      </c>
      <c r="F127" s="241" t="n">
        <v>0</v>
      </c>
      <c r="G127" s="252" t="n">
        <v>0.09</v>
      </c>
      <c r="H127" s="252" t="n">
        <v>0.67</v>
      </c>
      <c r="I127" s="241" t="n">
        <v>0</v>
      </c>
      <c r="J127" s="241" t="n">
        <v>0</v>
      </c>
      <c r="K127" s="241" t="n">
        <v>0</v>
      </c>
      <c r="L127" s="241" t="n">
        <v>0</v>
      </c>
      <c r="M127" s="241" t="n">
        <v>0</v>
      </c>
      <c r="N127" s="241" t="n">
        <v>0</v>
      </c>
      <c r="O127" s="241" t="n">
        <v>0</v>
      </c>
      <c r="P127" s="241" t="n">
        <v>0</v>
      </c>
      <c r="Q127" s="252" t="n">
        <v>0.24</v>
      </c>
      <c r="R127" s="241" t="n">
        <v>0</v>
      </c>
      <c r="S127" s="241" t="n">
        <v>0</v>
      </c>
      <c r="T127" s="241" t="n">
        <f aca="false">SUM(AY126:BM126)</f>
        <v>0</v>
      </c>
      <c r="U127" s="242"/>
      <c r="W127" s="192" t="s">
        <v>479</v>
      </c>
      <c r="X127" s="192" t="s">
        <v>498</v>
      </c>
      <c r="Y127" s="244" t="n">
        <f aca="false">'Mix éner %'!Y172</f>
        <v>0.11</v>
      </c>
      <c r="Z127" s="244" t="n">
        <f aca="false">'Mix éner %'!Z172</f>
        <v>0</v>
      </c>
      <c r="AA127" s="244" t="n">
        <f aca="false">'Mix éner %'!AA172</f>
        <v>0.09</v>
      </c>
      <c r="AB127" s="244" t="n">
        <f aca="false">'Mix éner %'!AB172</f>
        <v>0.0683431690234113</v>
      </c>
      <c r="AC127" s="244" t="n">
        <f aca="false">'Mix éner %'!AC172</f>
        <v>0.0173870977130318</v>
      </c>
      <c r="AD127" s="244" t="n">
        <f aca="false">'Mix éner %'!AD172</f>
        <v>0</v>
      </c>
      <c r="AE127" s="244" t="n">
        <f aca="false">'Mix éner %'!AE172</f>
        <v>0</v>
      </c>
      <c r="AF127" s="244" t="n">
        <f aca="false">'Mix éner %'!AF172</f>
        <v>0</v>
      </c>
      <c r="AG127" s="244" t="n">
        <f aca="false">'Mix éner %'!AG172</f>
        <v>0</v>
      </c>
      <c r="AH127" s="244" t="n">
        <f aca="false">'Mix éner %'!AH172</f>
        <v>0</v>
      </c>
      <c r="AI127" s="244" t="n">
        <f aca="false">'Mix éner %'!AI172</f>
        <v>0.494269733263557</v>
      </c>
      <c r="AJ127" s="244" t="n">
        <f aca="false">'Mix éner %'!AJ172</f>
        <v>0</v>
      </c>
      <c r="AK127" s="244" t="n">
        <f aca="false">'Mix éner %'!AK172</f>
        <v>0.22</v>
      </c>
      <c r="AL127" s="244" t="n">
        <f aca="false">'Mix éner %'!AL172</f>
        <v>0</v>
      </c>
      <c r="AM127" s="244" t="n">
        <f aca="false">'Mix éner %'!AM172</f>
        <v>1</v>
      </c>
    </row>
    <row r="128" customFormat="false" ht="14.5" hidden="false" customHeight="false" outlineLevel="0" collapsed="false">
      <c r="C128" s="211" t="s">
        <v>483</v>
      </c>
      <c r="D128" s="212" t="s">
        <v>498</v>
      </c>
      <c r="E128" s="241" t="n">
        <f aca="false">4.58828948153757%+2.6%</f>
        <v>0.0718828948153757</v>
      </c>
      <c r="F128" s="241" t="n">
        <v>0</v>
      </c>
      <c r="G128" s="241" t="n">
        <v>0.0201689588256188</v>
      </c>
      <c r="H128" s="241" t="n">
        <v>0.59670049547708</v>
      </c>
      <c r="I128" s="241" t="n">
        <v>0</v>
      </c>
      <c r="J128" s="241" t="n">
        <v>0</v>
      </c>
      <c r="K128" s="241" t="n">
        <v>0.0222599990791127</v>
      </c>
      <c r="L128" s="241" t="n">
        <v>0</v>
      </c>
      <c r="M128" s="241" t="n">
        <v>0</v>
      </c>
      <c r="N128" s="241" t="n">
        <v>0</v>
      </c>
      <c r="O128" s="241" t="n">
        <v>0</v>
      </c>
      <c r="P128" s="241" t="n">
        <v>0</v>
      </c>
      <c r="Q128" s="241" t="n">
        <v>0.288835432404667</v>
      </c>
      <c r="R128" s="241" t="n">
        <v>0</v>
      </c>
      <c r="S128" s="241" t="n">
        <v>0</v>
      </c>
      <c r="T128" s="241" t="n">
        <f aca="false">SUM(E128:S128)</f>
        <v>0.999847780601854</v>
      </c>
      <c r="U128" s="242"/>
      <c r="W128" s="189" t="s">
        <v>480</v>
      </c>
      <c r="X128" s="189"/>
      <c r="Y128" s="243"/>
      <c r="Z128" s="243"/>
      <c r="AA128" s="243"/>
      <c r="AB128" s="243"/>
      <c r="AC128" s="243"/>
      <c r="AD128" s="243"/>
      <c r="AE128" s="243"/>
      <c r="AF128" s="243"/>
      <c r="AG128" s="243"/>
      <c r="AH128" s="243"/>
      <c r="AI128" s="243"/>
      <c r="AJ128" s="243"/>
      <c r="AK128" s="243"/>
      <c r="AL128" s="243"/>
      <c r="AM128" s="243"/>
    </row>
    <row r="129" customFormat="false" ht="14.5" hidden="false" customHeight="false" outlineLevel="0" collapsed="false">
      <c r="C129" s="209" t="s">
        <v>484</v>
      </c>
      <c r="D129" s="209"/>
      <c r="E129" s="246"/>
      <c r="F129" s="246"/>
      <c r="G129" s="246"/>
      <c r="H129" s="246"/>
      <c r="I129" s="246"/>
      <c r="J129" s="246"/>
      <c r="K129" s="246"/>
      <c r="L129" s="246"/>
      <c r="M129" s="246"/>
      <c r="N129" s="246"/>
      <c r="O129" s="246"/>
      <c r="P129" s="246"/>
      <c r="Q129" s="246"/>
      <c r="R129" s="246"/>
      <c r="S129" s="246"/>
      <c r="T129" s="249" t="n">
        <f aca="false">SUM(E129:S129)</f>
        <v>0</v>
      </c>
      <c r="U129" s="242"/>
      <c r="W129" s="192" t="s">
        <v>481</v>
      </c>
      <c r="X129" s="192" t="s">
        <v>498</v>
      </c>
      <c r="Y129" s="244" t="n">
        <f aca="false">'Mix éner %'!Y177</f>
        <v>0.09</v>
      </c>
      <c r="Z129" s="244" t="n">
        <f aca="false">'Mix éner %'!Z177</f>
        <v>0</v>
      </c>
      <c r="AA129" s="244" t="n">
        <f aca="false">'Mix éner %'!AA177</f>
        <v>0.346949695875296</v>
      </c>
      <c r="AB129" s="244" t="n">
        <f aca="false">'Mix éner %'!AB177</f>
        <v>0.02</v>
      </c>
      <c r="AC129" s="244" t="n">
        <f aca="false">'Mix éner %'!AC177</f>
        <v>0.17</v>
      </c>
      <c r="AD129" s="244" t="n">
        <f aca="false">'Mix éner %'!AD177</f>
        <v>0.24</v>
      </c>
      <c r="AE129" s="244" t="n">
        <f aca="false">'Mix éner %'!AE177</f>
        <v>0</v>
      </c>
      <c r="AF129" s="244" t="n">
        <f aca="false">'Mix éner %'!AF177</f>
        <v>0</v>
      </c>
      <c r="AG129" s="244" t="n">
        <f aca="false">'Mix éner %'!AG177</f>
        <v>0</v>
      </c>
      <c r="AH129" s="244" t="n">
        <f aca="false">'Mix éner %'!AH177</f>
        <v>0</v>
      </c>
      <c r="AI129" s="244" t="n">
        <f aca="false">'Mix éner %'!AI177</f>
        <v>0.133050304124704</v>
      </c>
      <c r="AJ129" s="244" t="n">
        <f aca="false">'Mix éner %'!AJ177</f>
        <v>0</v>
      </c>
      <c r="AK129" s="244" t="n">
        <f aca="false">'Mix éner %'!AK177</f>
        <v>0</v>
      </c>
      <c r="AL129" s="244" t="n">
        <f aca="false">'Mix éner %'!AL177</f>
        <v>0</v>
      </c>
      <c r="AM129" s="244" t="n">
        <f aca="false">'Mix éner %'!AM177</f>
        <v>1</v>
      </c>
    </row>
    <row r="130" customFormat="false" ht="14.5" hidden="false" customHeight="false" outlineLevel="0" collapsed="false">
      <c r="C130" s="211" t="s">
        <v>485</v>
      </c>
      <c r="D130" s="212" t="s">
        <v>498</v>
      </c>
      <c r="E130" s="241" t="n">
        <v>0.151758764368625</v>
      </c>
      <c r="F130" s="241" t="n">
        <v>0</v>
      </c>
      <c r="G130" s="241" t="n">
        <v>0.09</v>
      </c>
      <c r="H130" s="241" t="n">
        <v>0.67</v>
      </c>
      <c r="I130" s="241" t="n">
        <v>0</v>
      </c>
      <c r="J130" s="241" t="n">
        <v>0</v>
      </c>
      <c r="K130" s="241" t="n">
        <v>0</v>
      </c>
      <c r="L130" s="241" t="n">
        <v>0</v>
      </c>
      <c r="M130" s="241" t="n">
        <v>0</v>
      </c>
      <c r="N130" s="241" t="n">
        <v>0</v>
      </c>
      <c r="O130" s="241" t="n">
        <v>0</v>
      </c>
      <c r="P130" s="241" t="n">
        <v>0</v>
      </c>
      <c r="Q130" s="241" t="n">
        <v>0.0747785579782601</v>
      </c>
      <c r="R130" s="241" t="n">
        <v>0.00946267765311507</v>
      </c>
      <c r="S130" s="241" t="n">
        <v>0</v>
      </c>
      <c r="T130" s="241" t="n">
        <f aca="false">SUM(E130:S130)</f>
        <v>0.996</v>
      </c>
      <c r="U130" s="242"/>
      <c r="W130" s="192" t="s">
        <v>482</v>
      </c>
      <c r="X130" s="192" t="s">
        <v>498</v>
      </c>
      <c r="Y130" s="244" t="n">
        <f aca="false">'Mix éner %'!Y181</f>
        <v>0</v>
      </c>
      <c r="Z130" s="244" t="n">
        <f aca="false">'Mix éner %'!Z181</f>
        <v>0</v>
      </c>
      <c r="AA130" s="244" t="n">
        <f aca="false">'Mix éner %'!AA181</f>
        <v>0.09</v>
      </c>
      <c r="AB130" s="244" t="n">
        <f aca="false">'Mix éner %'!AB181</f>
        <v>0.67</v>
      </c>
      <c r="AC130" s="244" t="n">
        <f aca="false">'Mix éner %'!AC181</f>
        <v>0</v>
      </c>
      <c r="AD130" s="244" t="n">
        <f aca="false">'Mix éner %'!AD181</f>
        <v>0</v>
      </c>
      <c r="AE130" s="244" t="n">
        <f aca="false">'Mix éner %'!AE181</f>
        <v>0</v>
      </c>
      <c r="AF130" s="244" t="n">
        <f aca="false">'Mix éner %'!AF181</f>
        <v>0</v>
      </c>
      <c r="AG130" s="244" t="n">
        <f aca="false">'Mix éner %'!AG181</f>
        <v>0</v>
      </c>
      <c r="AH130" s="244" t="n">
        <f aca="false">'Mix éner %'!AH181</f>
        <v>0</v>
      </c>
      <c r="AI130" s="244" t="n">
        <f aca="false">'Mix éner %'!AI181</f>
        <v>0.24</v>
      </c>
      <c r="AJ130" s="244" t="n">
        <f aca="false">'Mix éner %'!AJ181</f>
        <v>0</v>
      </c>
      <c r="AK130" s="244" t="n">
        <f aca="false">'Mix éner %'!AK181</f>
        <v>0</v>
      </c>
      <c r="AL130" s="244" t="n">
        <f aca="false">'Mix éner %'!AL181</f>
        <v>0</v>
      </c>
      <c r="AM130" s="244" t="n">
        <f aca="false">'Mix éner %'!AM181</f>
        <v>1</v>
      </c>
    </row>
    <row r="131" customFormat="false" ht="14.5" hidden="false" customHeight="false" outlineLevel="0" collapsed="false">
      <c r="C131" s="211" t="s">
        <v>486</v>
      </c>
      <c r="D131" s="212" t="s">
        <v>498</v>
      </c>
      <c r="E131" s="241" t="n">
        <v>0</v>
      </c>
      <c r="F131" s="241" t="n">
        <v>0</v>
      </c>
      <c r="G131" s="241" t="n">
        <v>0.0275400563866537</v>
      </c>
      <c r="H131" s="241" t="n">
        <v>0.379441691839836</v>
      </c>
      <c r="I131" s="241" t="n">
        <v>0</v>
      </c>
      <c r="J131" s="241" t="n">
        <v>0</v>
      </c>
      <c r="K131" s="241" t="n">
        <v>0.0773664895526031</v>
      </c>
      <c r="L131" s="241" t="n">
        <v>0</v>
      </c>
      <c r="M131" s="241" t="n">
        <v>0</v>
      </c>
      <c r="N131" s="241" t="n">
        <v>0</v>
      </c>
      <c r="O131" s="241" t="n">
        <v>0</v>
      </c>
      <c r="P131" s="241" t="n">
        <v>0</v>
      </c>
      <c r="Q131" s="241" t="n">
        <v>0.456363486523695</v>
      </c>
      <c r="R131" s="241" t="n">
        <v>0.0558230996804446</v>
      </c>
      <c r="S131" s="241" t="n">
        <v>0</v>
      </c>
      <c r="T131" s="241" t="n">
        <f aca="false">SUM(E131:S131)</f>
        <v>0.996534823983232</v>
      </c>
      <c r="U131" s="242"/>
      <c r="W131" s="192" t="s">
        <v>483</v>
      </c>
      <c r="X131" s="192" t="s">
        <v>498</v>
      </c>
      <c r="Y131" s="244" t="n">
        <f aca="false">'Mix éner %'!Y185</f>
        <v>0.045</v>
      </c>
      <c r="Z131" s="244" t="n">
        <f aca="false">'Mix éner %'!Z185</f>
        <v>0</v>
      </c>
      <c r="AA131" s="244" t="n">
        <f aca="false">'Mix éner %'!AA185</f>
        <v>0.0201689588256188</v>
      </c>
      <c r="AB131" s="244" t="n">
        <f aca="false">'Mix éner %'!AB185</f>
        <v>0.645</v>
      </c>
      <c r="AC131" s="244" t="n">
        <f aca="false">'Mix éner %'!AC185</f>
        <v>0.04</v>
      </c>
      <c r="AD131" s="244" t="n">
        <f aca="false">'Mix éner %'!AD185</f>
        <v>0</v>
      </c>
      <c r="AE131" s="244" t="n">
        <f aca="false">'Mix éner %'!AE185</f>
        <v>0</v>
      </c>
      <c r="AF131" s="244" t="n">
        <f aca="false">'Mix éner %'!AF185</f>
        <v>0</v>
      </c>
      <c r="AG131" s="244" t="n">
        <f aca="false">'Mix éner %'!AG185</f>
        <v>0</v>
      </c>
      <c r="AH131" s="244" t="n">
        <f aca="false">'Mix éner %'!AH185</f>
        <v>0</v>
      </c>
      <c r="AI131" s="244" t="n">
        <f aca="false">'Mix éner %'!AI185</f>
        <v>0.25</v>
      </c>
      <c r="AJ131" s="244" t="n">
        <f aca="false">'Mix éner %'!AJ185</f>
        <v>0</v>
      </c>
      <c r="AK131" s="244" t="n">
        <f aca="false">'Mix éner %'!AK185</f>
        <v>0</v>
      </c>
      <c r="AL131" s="244" t="n">
        <f aca="false">'Mix éner %'!AL185</f>
        <v>0</v>
      </c>
      <c r="AM131" s="244" t="n">
        <f aca="false">'Mix éner %'!AM185</f>
        <v>1.00016895882562</v>
      </c>
    </row>
    <row r="132" customFormat="false" ht="14.5" hidden="false" customHeight="false" outlineLevel="0" collapsed="false">
      <c r="C132" s="209" t="s">
        <v>487</v>
      </c>
      <c r="D132" s="209"/>
      <c r="E132" s="241" t="n">
        <f aca="false">0.931456200227532%+0.03%</f>
        <v>0.00961456200227532</v>
      </c>
      <c r="F132" s="241" t="n">
        <v>0.0002663172506082</v>
      </c>
      <c r="G132" s="241" t="n">
        <v>0.0453284982935154</v>
      </c>
      <c r="H132" s="241" t="n">
        <v>0.361811793672361</v>
      </c>
      <c r="I132" s="241" t="n">
        <v>0.0002663172506082</v>
      </c>
      <c r="J132" s="241" t="n">
        <v>0.0002663172506082</v>
      </c>
      <c r="K132" s="241" t="n">
        <v>0.00781989005915227</v>
      </c>
      <c r="L132" s="241" t="n">
        <v>0</v>
      </c>
      <c r="M132" s="241" t="n">
        <v>0</v>
      </c>
      <c r="N132" s="241" t="n">
        <v>0</v>
      </c>
      <c r="O132" s="241" t="n">
        <v>0</v>
      </c>
      <c r="P132" s="241" t="n">
        <v>0</v>
      </c>
      <c r="Q132" s="241" t="n">
        <v>0.574199220221134</v>
      </c>
      <c r="R132" s="241" t="n">
        <v>0.00125971850095424</v>
      </c>
      <c r="S132" s="241" t="n">
        <v>0</v>
      </c>
      <c r="T132" s="241" t="n">
        <f aca="false">SUM(E132:S132)</f>
        <v>1.00083263450122</v>
      </c>
      <c r="U132" s="242"/>
      <c r="W132" s="189" t="s">
        <v>484</v>
      </c>
      <c r="X132" s="189"/>
      <c r="Y132" s="243"/>
      <c r="Z132" s="243"/>
      <c r="AA132" s="243"/>
      <c r="AB132" s="243"/>
      <c r="AC132" s="243"/>
      <c r="AD132" s="243"/>
      <c r="AE132" s="243"/>
      <c r="AF132" s="243"/>
      <c r="AG132" s="243"/>
      <c r="AH132" s="243"/>
      <c r="AI132" s="243"/>
      <c r="AJ132" s="243"/>
      <c r="AK132" s="243"/>
      <c r="AL132" s="243"/>
      <c r="AM132" s="243"/>
    </row>
    <row r="133" customFormat="false" ht="14.5" hidden="false" customHeight="false" outlineLevel="0" collapsed="false">
      <c r="C133" s="248" t="s">
        <v>31</v>
      </c>
      <c r="D133" s="248"/>
      <c r="E133" s="253" t="n">
        <v>0</v>
      </c>
      <c r="F133" s="253" t="n">
        <v>0</v>
      </c>
      <c r="G133" s="241" t="n">
        <v>0.605486610058785</v>
      </c>
      <c r="H133" s="241" t="n">
        <v>0.124951012410189</v>
      </c>
      <c r="I133" s="241" t="n">
        <v>0.0002663172506082</v>
      </c>
      <c r="J133" s="241" t="n">
        <v>0.0002663172506082</v>
      </c>
      <c r="K133" s="241" t="n">
        <v>0.0374265186152841</v>
      </c>
      <c r="L133" s="241" t="n">
        <v>0</v>
      </c>
      <c r="M133" s="241" t="n">
        <v>0</v>
      </c>
      <c r="N133" s="241" t="n">
        <v>0</v>
      </c>
      <c r="O133" s="241" t="n">
        <v>0</v>
      </c>
      <c r="P133" s="241" t="n">
        <v>0</v>
      </c>
      <c r="Q133" s="241" t="n">
        <v>0.232135858915741</v>
      </c>
      <c r="R133" s="241" t="n">
        <v>0.00125971850095424</v>
      </c>
      <c r="S133" s="241" t="n">
        <v>0</v>
      </c>
      <c r="T133" s="241" t="n">
        <f aca="false">SUM(E133:S133)</f>
        <v>1.00179235300217</v>
      </c>
      <c r="U133" s="242"/>
      <c r="W133" s="192" t="s">
        <v>485</v>
      </c>
      <c r="X133" s="192" t="s">
        <v>498</v>
      </c>
      <c r="Y133" s="244" t="n">
        <f aca="false">'Mix éner %'!Y190</f>
        <v>0.16</v>
      </c>
      <c r="Z133" s="244" t="n">
        <f aca="false">'Mix éner %'!Z190</f>
        <v>0</v>
      </c>
      <c r="AA133" s="244" t="n">
        <f aca="false">'Mix éner %'!AA190</f>
        <v>0.085</v>
      </c>
      <c r="AB133" s="244" t="n">
        <f aca="false">'Mix éner %'!AB190</f>
        <v>0.666</v>
      </c>
      <c r="AC133" s="244" t="n">
        <f aca="false">'Mix éner %'!AC190</f>
        <v>0.02</v>
      </c>
      <c r="AD133" s="244" t="n">
        <f aca="false">'Mix éner %'!AD190</f>
        <v>0</v>
      </c>
      <c r="AE133" s="244" t="n">
        <f aca="false">'Mix éner %'!AE190</f>
        <v>0</v>
      </c>
      <c r="AF133" s="244" t="n">
        <f aca="false">'Mix éner %'!AF190</f>
        <v>0</v>
      </c>
      <c r="AG133" s="244" t="n">
        <f aca="false">'Mix éner %'!AG190</f>
        <v>0</v>
      </c>
      <c r="AH133" s="244" t="n">
        <f aca="false">'Mix éner %'!AH190</f>
        <v>0</v>
      </c>
      <c r="AI133" s="244" t="n">
        <f aca="false">'Mix éner %'!AI190</f>
        <v>0.06</v>
      </c>
      <c r="AJ133" s="244" t="n">
        <f aca="false">'Mix éner %'!AJ190</f>
        <v>0</v>
      </c>
      <c r="AK133" s="244" t="n">
        <f aca="false">'Mix éner %'!AK190</f>
        <v>0.00946267765311507</v>
      </c>
      <c r="AL133" s="244" t="n">
        <f aca="false">'Mix éner %'!AL190</f>
        <v>0</v>
      </c>
      <c r="AM133" s="244" t="n">
        <f aca="false">'Mix éner %'!AM190</f>
        <v>1.00046267765312</v>
      </c>
    </row>
    <row r="134" customFormat="false" ht="14.5" hidden="false" customHeight="false" outlineLevel="0" collapsed="false">
      <c r="C134" s="209" t="s">
        <v>488</v>
      </c>
      <c r="D134" s="209"/>
      <c r="E134" s="254"/>
      <c r="F134" s="254"/>
      <c r="G134" s="254"/>
      <c r="H134" s="254"/>
      <c r="I134" s="254"/>
      <c r="J134" s="254"/>
      <c r="K134" s="254"/>
      <c r="L134" s="254"/>
      <c r="M134" s="254"/>
      <c r="N134" s="254"/>
      <c r="O134" s="254"/>
      <c r="P134" s="254"/>
      <c r="Q134" s="254"/>
      <c r="R134" s="254"/>
      <c r="S134" s="254"/>
      <c r="T134" s="249" t="n">
        <f aca="false">SUM(E134:S134)</f>
        <v>0</v>
      </c>
      <c r="U134" s="242"/>
      <c r="W134" s="192" t="s">
        <v>486</v>
      </c>
      <c r="X134" s="192" t="s">
        <v>498</v>
      </c>
      <c r="Y134" s="244" t="n">
        <f aca="false">'Mix éner %'!Y194</f>
        <v>0</v>
      </c>
      <c r="Z134" s="244" t="n">
        <f aca="false">'Mix éner %'!Z194</f>
        <v>0</v>
      </c>
      <c r="AA134" s="244" t="n">
        <f aca="false">'Mix éner %'!AA194</f>
        <v>0.025</v>
      </c>
      <c r="AB134" s="244" t="n">
        <f aca="false">'Mix éner %'!AB194</f>
        <v>0.379441691839836</v>
      </c>
      <c r="AC134" s="244" t="n">
        <f aca="false">'Mix éner %'!AC194</f>
        <v>0.06</v>
      </c>
      <c r="AD134" s="244" t="n">
        <f aca="false">'Mix éner %'!AD194</f>
        <v>0</v>
      </c>
      <c r="AE134" s="244" t="n">
        <f aca="false">'Mix éner %'!AE194</f>
        <v>0</v>
      </c>
      <c r="AF134" s="244" t="n">
        <f aca="false">'Mix éner %'!AF194</f>
        <v>0</v>
      </c>
      <c r="AG134" s="244" t="n">
        <f aca="false">'Mix éner %'!AG194</f>
        <v>0</v>
      </c>
      <c r="AH134" s="244" t="n">
        <f aca="false">'Mix éner %'!AH194</f>
        <v>0</v>
      </c>
      <c r="AI134" s="244" t="n">
        <f aca="false">'Mix éner %'!AI194</f>
        <v>0.48</v>
      </c>
      <c r="AJ134" s="244" t="n">
        <f aca="false">'Mix éner %'!AJ194</f>
        <v>0</v>
      </c>
      <c r="AK134" s="244" t="n">
        <f aca="false">'Mix éner %'!AK194</f>
        <v>0.0558230996804446</v>
      </c>
      <c r="AL134" s="244" t="n">
        <f aca="false">'Mix éner %'!AL194</f>
        <v>0</v>
      </c>
      <c r="AM134" s="244" t="n">
        <f aca="false">'Mix éner %'!AM194</f>
        <v>1.00026479152028</v>
      </c>
    </row>
    <row r="135" customFormat="false" ht="14.5" hidden="false" customHeight="false" outlineLevel="0" collapsed="false">
      <c r="C135" s="211" t="s">
        <v>489</v>
      </c>
      <c r="D135" s="212" t="s">
        <v>498</v>
      </c>
      <c r="E135" s="241" t="n">
        <v>0.000544801762527428</v>
      </c>
      <c r="F135" s="241" t="n">
        <v>0</v>
      </c>
      <c r="G135" s="241" t="n">
        <v>0.0172156315557155</v>
      </c>
      <c r="H135" s="241" t="n">
        <v>0.306073185830215</v>
      </c>
      <c r="I135" s="241" t="n">
        <v>0</v>
      </c>
      <c r="J135" s="241" t="n">
        <v>0</v>
      </c>
      <c r="K135" s="241" t="n">
        <v>0.279171776352777</v>
      </c>
      <c r="L135" s="241" t="n">
        <v>0</v>
      </c>
      <c r="M135" s="241" t="n">
        <v>0</v>
      </c>
      <c r="N135" s="241" t="n">
        <v>0</v>
      </c>
      <c r="O135" s="241" t="n">
        <v>0</v>
      </c>
      <c r="P135" s="241" t="n">
        <v>0</v>
      </c>
      <c r="Q135" s="241" t="n">
        <v>0.279299831545867</v>
      </c>
      <c r="R135" s="241" t="n">
        <v>0.114087060571334</v>
      </c>
      <c r="S135" s="241" t="n">
        <v>0</v>
      </c>
      <c r="T135" s="241" t="n">
        <f aca="false">SUM(E135:S135)</f>
        <v>0.996392287618436</v>
      </c>
      <c r="U135" s="242"/>
      <c r="W135" s="189" t="s">
        <v>487</v>
      </c>
      <c r="X135" s="189"/>
      <c r="Y135" s="249" t="n">
        <f aca="false">'Mix éner %'!Y198</f>
        <v>0</v>
      </c>
      <c r="Z135" s="249" t="n">
        <f aca="false">'Mix éner %'!Z198</f>
        <v>0</v>
      </c>
      <c r="AA135" s="249" t="n">
        <f aca="false">'Mix éner %'!AA198</f>
        <v>0.0453284982935154</v>
      </c>
      <c r="AB135" s="249" t="n">
        <f aca="false">'Mix éner %'!AB198</f>
        <v>0.365</v>
      </c>
      <c r="AC135" s="249" t="n">
        <f aca="false">'Mix éner %'!AC198</f>
        <v>0.008</v>
      </c>
      <c r="AD135" s="249" t="n">
        <f aca="false">'Mix éner %'!AD198</f>
        <v>0</v>
      </c>
      <c r="AE135" s="249" t="n">
        <f aca="false">'Mix éner %'!AE198</f>
        <v>0</v>
      </c>
      <c r="AF135" s="249" t="n">
        <f aca="false">'Mix éner %'!AF198</f>
        <v>0</v>
      </c>
      <c r="AG135" s="249" t="n">
        <f aca="false">'Mix éner %'!AG198</f>
        <v>0</v>
      </c>
      <c r="AH135" s="249" t="n">
        <f aca="false">'Mix éner %'!AH198</f>
        <v>0</v>
      </c>
      <c r="AI135" s="249" t="n">
        <f aca="false">'Mix éner %'!AI198</f>
        <v>0.58</v>
      </c>
      <c r="AJ135" s="249" t="n">
        <f aca="false">'Mix éner %'!AJ198</f>
        <v>0</v>
      </c>
      <c r="AK135" s="249" t="n">
        <f aca="false">'Mix éner %'!AK198</f>
        <v>0.00125971850095424</v>
      </c>
      <c r="AL135" s="249" t="n">
        <f aca="false">'Mix éner %'!AL198</f>
        <v>0</v>
      </c>
      <c r="AM135" s="249" t="n">
        <f aca="false">'Mix éner %'!AM198</f>
        <v>0.99958821679447</v>
      </c>
    </row>
    <row r="136" customFormat="false" ht="14.5" hidden="false" customHeight="false" outlineLevel="0" collapsed="false">
      <c r="C136" s="211" t="s">
        <v>490</v>
      </c>
      <c r="D136" s="212" t="s">
        <v>498</v>
      </c>
      <c r="E136" s="241" t="n">
        <v>0</v>
      </c>
      <c r="F136" s="241" t="n">
        <v>0</v>
      </c>
      <c r="G136" s="241" t="n">
        <v>0.142357192645614</v>
      </c>
      <c r="H136" s="241" t="n">
        <v>0.310473891680222</v>
      </c>
      <c r="I136" s="241" t="n">
        <v>0</v>
      </c>
      <c r="J136" s="241" t="n">
        <v>0</v>
      </c>
      <c r="K136" s="241" t="n">
        <v>0.0440622071164847</v>
      </c>
      <c r="L136" s="241" t="n">
        <v>0</v>
      </c>
      <c r="M136" s="241" t="n">
        <v>0</v>
      </c>
      <c r="N136" s="241" t="n">
        <v>0</v>
      </c>
      <c r="O136" s="241" t="n">
        <v>0</v>
      </c>
      <c r="P136" s="241" t="n">
        <v>0</v>
      </c>
      <c r="Q136" s="241" t="n">
        <v>0.479602068819928</v>
      </c>
      <c r="R136" s="241" t="n">
        <v>0.0235046397377512</v>
      </c>
      <c r="S136" s="241" t="n">
        <v>0</v>
      </c>
      <c r="T136" s="241" t="n">
        <f aca="false">SUM(E136:S136)</f>
        <v>1</v>
      </c>
      <c r="U136" s="242"/>
      <c r="W136" s="189" t="s">
        <v>31</v>
      </c>
      <c r="X136" s="189"/>
      <c r="Y136" s="249" t="n">
        <f aca="false">'Mix éner %'!Y202</f>
        <v>0</v>
      </c>
      <c r="Z136" s="249" t="n">
        <f aca="false">'Mix éner %'!Z202</f>
        <v>0</v>
      </c>
      <c r="AA136" s="249" t="n">
        <f aca="false">'Mix éner %'!AA202</f>
        <v>0.605486610058785</v>
      </c>
      <c r="AB136" s="249" t="n">
        <f aca="false">'Mix éner %'!AB202</f>
        <v>0.124951012410189</v>
      </c>
      <c r="AC136" s="249" t="n">
        <f aca="false">'Mix éner %'!AC202</f>
        <v>0.0374265186152841</v>
      </c>
      <c r="AD136" s="249" t="n">
        <f aca="false">'Mix éner %'!AD202</f>
        <v>0</v>
      </c>
      <c r="AE136" s="249" t="n">
        <f aca="false">'Mix éner %'!AE202</f>
        <v>0</v>
      </c>
      <c r="AF136" s="249" t="n">
        <f aca="false">'Mix éner %'!AF202</f>
        <v>0</v>
      </c>
      <c r="AG136" s="249" t="n">
        <f aca="false">'Mix éner %'!AG202</f>
        <v>0</v>
      </c>
      <c r="AH136" s="249" t="n">
        <f aca="false">'Mix éner %'!AH202</f>
        <v>0</v>
      </c>
      <c r="AI136" s="249" t="n">
        <f aca="false">'Mix éner %'!AI202</f>
        <v>0.232135858915741</v>
      </c>
      <c r="AJ136" s="249" t="n">
        <f aca="false">'Mix éner %'!AJ202</f>
        <v>0</v>
      </c>
      <c r="AK136" s="249" t="n">
        <f aca="false">'Mix éner %'!AK202</f>
        <v>0</v>
      </c>
      <c r="AL136" s="249" t="n">
        <f aca="false">'Mix éner %'!AL202</f>
        <v>0</v>
      </c>
      <c r="AM136" s="249" t="n">
        <f aca="false">'Mix éner %'!AM202</f>
        <v>0.999999999999999</v>
      </c>
    </row>
    <row r="137" customFormat="false" ht="14.5" hidden="false" customHeight="false" outlineLevel="0" collapsed="false">
      <c r="W137" s="189" t="s">
        <v>488</v>
      </c>
      <c r="X137" s="189"/>
      <c r="Y137" s="243"/>
      <c r="Z137" s="243"/>
      <c r="AA137" s="243"/>
      <c r="AB137" s="243"/>
      <c r="AC137" s="243"/>
      <c r="AD137" s="243"/>
      <c r="AE137" s="243"/>
      <c r="AF137" s="243"/>
      <c r="AG137" s="243"/>
      <c r="AH137" s="243"/>
      <c r="AI137" s="243"/>
      <c r="AJ137" s="243"/>
      <c r="AK137" s="243"/>
      <c r="AL137" s="243"/>
      <c r="AM137" s="243"/>
    </row>
    <row r="138" customFormat="false" ht="14.5" hidden="false" customHeight="false" outlineLevel="0" collapsed="false">
      <c r="W138" s="192" t="s">
        <v>489</v>
      </c>
      <c r="X138" s="192" t="s">
        <v>498</v>
      </c>
      <c r="Y138" s="244" t="n">
        <f aca="false">'Mix éner %'!Y207</f>
        <v>0</v>
      </c>
      <c r="Z138" s="244" t="n">
        <f aca="false">'Mix éner %'!Z207</f>
        <v>0</v>
      </c>
      <c r="AA138" s="244" t="n">
        <f aca="false">'Mix éner %'!AA207</f>
        <v>0.01</v>
      </c>
      <c r="AB138" s="244" t="n">
        <f aca="false">'Mix éner %'!AB207</f>
        <v>0.3</v>
      </c>
      <c r="AC138" s="244" t="n">
        <f aca="false">'Mix éner %'!AC207</f>
        <v>0.272</v>
      </c>
      <c r="AD138" s="244" t="n">
        <f aca="false">'Mix éner %'!AD207</f>
        <v>0.025</v>
      </c>
      <c r="AE138" s="244" t="n">
        <f aca="false">'Mix éner %'!AE207</f>
        <v>0</v>
      </c>
      <c r="AF138" s="244" t="n">
        <f aca="false">'Mix éner %'!AF207</f>
        <v>0</v>
      </c>
      <c r="AG138" s="244" t="n">
        <f aca="false">'Mix éner %'!AG207</f>
        <v>0</v>
      </c>
      <c r="AH138" s="244" t="n">
        <f aca="false">'Mix éner %'!AH207</f>
        <v>0</v>
      </c>
      <c r="AI138" s="244" t="n">
        <f aca="false">'Mix éner %'!AI207</f>
        <v>0.279299831545867</v>
      </c>
      <c r="AJ138" s="244" t="n">
        <f aca="false">'Mix éner %'!AJ207</f>
        <v>0</v>
      </c>
      <c r="AK138" s="244" t="n">
        <f aca="false">'Mix éner %'!AK207</f>
        <v>0.114087060571334</v>
      </c>
      <c r="AL138" s="244" t="n">
        <f aca="false">'Mix éner %'!AL207</f>
        <v>0</v>
      </c>
      <c r="AM138" s="244" t="n">
        <f aca="false">'Mix éner %'!AM207</f>
        <v>1.0003868921172</v>
      </c>
    </row>
    <row r="139" customFormat="false" ht="14.5" hidden="false" customHeight="false" outlineLevel="0" collapsed="false">
      <c r="W139" s="192" t="s">
        <v>490</v>
      </c>
      <c r="X139" s="192" t="s">
        <v>498</v>
      </c>
      <c r="Y139" s="244" t="n">
        <f aca="false">'Mix éner %'!Y211</f>
        <v>0</v>
      </c>
      <c r="Z139" s="244" t="n">
        <f aca="false">'Mix éner %'!Z211</f>
        <v>0</v>
      </c>
      <c r="AA139" s="244" t="n">
        <f aca="false">'Mix éner %'!AA211</f>
        <v>0.142357192645614</v>
      </c>
      <c r="AB139" s="244" t="n">
        <f aca="false">'Mix éner %'!AB211</f>
        <v>0.310473891680222</v>
      </c>
      <c r="AC139" s="244" t="n">
        <f aca="false">'Mix éner %'!AC211</f>
        <v>0.0440622071164847</v>
      </c>
      <c r="AD139" s="244" t="n">
        <f aca="false">'Mix éner %'!AD211</f>
        <v>0</v>
      </c>
      <c r="AE139" s="244" t="n">
        <f aca="false">'Mix éner %'!AE211</f>
        <v>0</v>
      </c>
      <c r="AF139" s="244" t="n">
        <f aca="false">'Mix éner %'!AF211</f>
        <v>0</v>
      </c>
      <c r="AG139" s="244" t="n">
        <f aca="false">'Mix éner %'!AG211</f>
        <v>0</v>
      </c>
      <c r="AH139" s="244" t="n">
        <f aca="false">'Mix éner %'!AH211</f>
        <v>0</v>
      </c>
      <c r="AI139" s="244" t="n">
        <f aca="false">'Mix éner %'!AI211</f>
        <v>0.479602068819928</v>
      </c>
      <c r="AJ139" s="244" t="n">
        <f aca="false">'Mix éner %'!AJ211</f>
        <v>0</v>
      </c>
      <c r="AK139" s="244" t="n">
        <f aca="false">'Mix éner %'!AK211</f>
        <v>0.0235046397377512</v>
      </c>
      <c r="AL139" s="244" t="n">
        <f aca="false">'Mix éner %'!AL211</f>
        <v>0</v>
      </c>
      <c r="AM139" s="244" t="n">
        <f aca="false">'Mix éner %'!AM211</f>
        <v>1</v>
      </c>
    </row>
    <row r="141" customFormat="false" ht="14.5" hidden="false" customHeight="false" outlineLevel="0" collapsed="false">
      <c r="Y141" s="191"/>
      <c r="Z141" s="191"/>
      <c r="AA141" s="191"/>
      <c r="AB141" s="191"/>
      <c r="AC141" s="191"/>
      <c r="AD141" s="191"/>
      <c r="AE141" s="191"/>
      <c r="AF141" s="191"/>
      <c r="AG141" s="191"/>
      <c r="AH141" s="191"/>
      <c r="AI141" s="191"/>
      <c r="AJ141" s="191"/>
      <c r="AK141" s="191"/>
      <c r="AL141" s="191"/>
      <c r="AM141" s="191"/>
    </row>
    <row r="142" customFormat="false" ht="14.5" hidden="false" customHeight="false" outlineLevel="0" collapsed="false">
      <c r="C142" s="236" t="s">
        <v>542</v>
      </c>
      <c r="D142" s="236"/>
      <c r="E142" s="236"/>
      <c r="F142" s="236"/>
      <c r="G142" s="236"/>
      <c r="H142" s="236"/>
      <c r="I142" s="236"/>
      <c r="J142" s="236"/>
      <c r="K142" s="236"/>
      <c r="L142" s="236"/>
      <c r="M142" s="236"/>
      <c r="N142" s="236"/>
      <c r="O142" s="236"/>
      <c r="P142" s="236"/>
      <c r="Q142" s="236"/>
      <c r="R142" s="236"/>
      <c r="S142" s="236"/>
      <c r="T142" s="236"/>
      <c r="U142" s="237"/>
    </row>
    <row r="143" customFormat="false" ht="14.5" hidden="false" customHeight="true" outlineLevel="0" collapsed="false">
      <c r="C143" s="238" t="s">
        <v>495</v>
      </c>
      <c r="D143" s="238"/>
      <c r="E143" s="203" t="s">
        <v>439</v>
      </c>
      <c r="F143" s="203" t="s">
        <v>440</v>
      </c>
      <c r="G143" s="203" t="s">
        <v>441</v>
      </c>
      <c r="H143" s="203" t="s">
        <v>442</v>
      </c>
      <c r="I143" s="203" t="s">
        <v>537</v>
      </c>
      <c r="J143" s="203" t="s">
        <v>538</v>
      </c>
      <c r="K143" s="203" t="s">
        <v>443</v>
      </c>
      <c r="L143" s="203"/>
      <c r="M143" s="203"/>
      <c r="N143" s="203"/>
      <c r="O143" s="203"/>
      <c r="P143" s="203"/>
      <c r="Q143" s="203" t="s">
        <v>446</v>
      </c>
      <c r="R143" s="203" t="s">
        <v>447</v>
      </c>
      <c r="S143" s="203" t="s">
        <v>448</v>
      </c>
      <c r="T143" s="203" t="s">
        <v>52</v>
      </c>
      <c r="U143" s="239"/>
      <c r="W143" s="183" t="n">
        <v>2050</v>
      </c>
      <c r="X143" s="183"/>
      <c r="Y143" s="183"/>
      <c r="Z143" s="183"/>
      <c r="AA143" s="183"/>
      <c r="AB143" s="183"/>
      <c r="AC143" s="183"/>
      <c r="AD143" s="183"/>
      <c r="AE143" s="183"/>
      <c r="AF143" s="183"/>
      <c r="AG143" s="183"/>
      <c r="AH143" s="183"/>
      <c r="AI143" s="183"/>
      <c r="AJ143" s="183"/>
      <c r="AK143" s="183"/>
      <c r="AL143" s="183"/>
      <c r="AM143" s="183"/>
    </row>
    <row r="144" customFormat="false" ht="70.5" hidden="false" customHeight="true" outlineLevel="0" collapsed="false">
      <c r="C144" s="209" t="s">
        <v>24</v>
      </c>
      <c r="D144" s="209"/>
      <c r="E144" s="203"/>
      <c r="F144" s="203"/>
      <c r="G144" s="203"/>
      <c r="H144" s="203"/>
      <c r="I144" s="203"/>
      <c r="J144" s="203"/>
      <c r="K144" s="203" t="s">
        <v>451</v>
      </c>
      <c r="L144" s="203" t="s">
        <v>452</v>
      </c>
      <c r="M144" s="203" t="s">
        <v>453</v>
      </c>
      <c r="N144" s="203" t="s">
        <v>454</v>
      </c>
      <c r="O144" s="203" t="s">
        <v>444</v>
      </c>
      <c r="P144" s="203" t="s">
        <v>445</v>
      </c>
      <c r="Q144" s="203"/>
      <c r="R144" s="203"/>
      <c r="S144" s="203" t="s">
        <v>448</v>
      </c>
      <c r="T144" s="203"/>
      <c r="U144" s="239"/>
      <c r="W144" s="184" t="s">
        <v>539</v>
      </c>
      <c r="X144" s="184"/>
      <c r="Y144" s="185" t="s">
        <v>439</v>
      </c>
      <c r="Z144" s="185"/>
      <c r="AA144" s="185" t="s">
        <v>441</v>
      </c>
      <c r="AB144" s="185" t="s">
        <v>442</v>
      </c>
      <c r="AC144" s="185" t="s">
        <v>443</v>
      </c>
      <c r="AD144" s="185"/>
      <c r="AE144" s="185"/>
      <c r="AF144" s="185"/>
      <c r="AG144" s="185" t="s">
        <v>444</v>
      </c>
      <c r="AH144" s="185" t="s">
        <v>445</v>
      </c>
      <c r="AI144" s="185" t="s">
        <v>446</v>
      </c>
      <c r="AJ144" s="187"/>
      <c r="AK144" s="185" t="s">
        <v>447</v>
      </c>
      <c r="AL144" s="186" t="s">
        <v>448</v>
      </c>
      <c r="AM144" s="185" t="s">
        <v>52</v>
      </c>
    </row>
    <row r="145" customFormat="false" ht="43.5" hidden="false" customHeight="false" outlineLevel="0" collapsed="false">
      <c r="C145" s="211" t="s">
        <v>461</v>
      </c>
      <c r="D145" s="212" t="s">
        <v>498</v>
      </c>
      <c r="E145" s="240" t="n">
        <v>0.29818412658464</v>
      </c>
      <c r="F145" s="240" t="n">
        <v>0</v>
      </c>
      <c r="G145" s="240" t="n">
        <v>0</v>
      </c>
      <c r="H145" s="240" t="n">
        <v>0.32</v>
      </c>
      <c r="I145" s="240" t="n">
        <v>0</v>
      </c>
      <c r="J145" s="240" t="n">
        <v>0</v>
      </c>
      <c r="K145" s="240" t="n">
        <v>0</v>
      </c>
      <c r="L145" s="240" t="n">
        <v>0</v>
      </c>
      <c r="M145" s="240" t="n">
        <v>0</v>
      </c>
      <c r="N145" s="240" t="n">
        <v>0</v>
      </c>
      <c r="O145" s="240" t="n">
        <v>0</v>
      </c>
      <c r="P145" s="240" t="n">
        <v>0</v>
      </c>
      <c r="Q145" s="240" t="n">
        <v>0.276845961035822</v>
      </c>
      <c r="R145" s="240" t="n">
        <v>0</v>
      </c>
      <c r="S145" s="240" t="n">
        <v>0.104969912379538</v>
      </c>
      <c r="T145" s="241" t="n">
        <f aca="false">SUM(E145:S145)</f>
        <v>1</v>
      </c>
      <c r="U145" s="242"/>
      <c r="W145" s="184"/>
      <c r="X145" s="184"/>
      <c r="Y145" s="185"/>
      <c r="Z145" s="185" t="s">
        <v>455</v>
      </c>
      <c r="AA145" s="185"/>
      <c r="AB145" s="185"/>
      <c r="AC145" s="186" t="s">
        <v>451</v>
      </c>
      <c r="AD145" s="186" t="s">
        <v>452</v>
      </c>
      <c r="AE145" s="186" t="s">
        <v>453</v>
      </c>
      <c r="AF145" s="186" t="s">
        <v>454</v>
      </c>
      <c r="AG145" s="185"/>
      <c r="AH145" s="185"/>
      <c r="AI145" s="185"/>
      <c r="AJ145" s="188" t="s">
        <v>456</v>
      </c>
      <c r="AK145" s="185"/>
      <c r="AL145" s="186" t="s">
        <v>448</v>
      </c>
      <c r="AM145" s="185"/>
    </row>
    <row r="146" customFormat="false" ht="14.5" hidden="false" customHeight="false" outlineLevel="0" collapsed="false">
      <c r="C146" s="211" t="s">
        <v>464</v>
      </c>
      <c r="D146" s="212" t="s">
        <v>498</v>
      </c>
      <c r="E146" s="240" t="n">
        <v>0.015</v>
      </c>
      <c r="F146" s="240" t="n">
        <v>0</v>
      </c>
      <c r="G146" s="240" t="n">
        <v>0.02</v>
      </c>
      <c r="H146" s="240" t="n">
        <v>0.211</v>
      </c>
      <c r="I146" s="240" t="n">
        <v>0</v>
      </c>
      <c r="J146" s="240" t="n">
        <v>0</v>
      </c>
      <c r="K146" s="240" t="n">
        <v>0.029</v>
      </c>
      <c r="L146" s="240" t="n">
        <v>0</v>
      </c>
      <c r="M146" s="240" t="n">
        <v>0</v>
      </c>
      <c r="N146" s="240" t="n">
        <v>0</v>
      </c>
      <c r="O146" s="240" t="n">
        <v>0</v>
      </c>
      <c r="P146" s="240" t="n">
        <v>0</v>
      </c>
      <c r="Q146" s="240" t="n">
        <v>0.725</v>
      </c>
      <c r="R146" s="240" t="n">
        <v>0</v>
      </c>
      <c r="S146" s="240" t="n">
        <v>0</v>
      </c>
      <c r="T146" s="241" t="n">
        <f aca="false">SUM(E146:S146)</f>
        <v>1</v>
      </c>
      <c r="U146" s="242"/>
      <c r="W146" s="189" t="s">
        <v>24</v>
      </c>
      <c r="X146" s="189"/>
      <c r="Y146" s="243"/>
      <c r="Z146" s="243"/>
      <c r="AA146" s="243"/>
      <c r="AB146" s="243"/>
      <c r="AC146" s="243"/>
      <c r="AD146" s="243"/>
      <c r="AE146" s="243"/>
      <c r="AF146" s="243"/>
      <c r="AG146" s="243"/>
      <c r="AH146" s="243"/>
      <c r="AI146" s="243"/>
      <c r="AJ146" s="243"/>
      <c r="AK146" s="243"/>
      <c r="AL146" s="243"/>
      <c r="AM146" s="243"/>
    </row>
    <row r="147" customFormat="false" ht="14.5" hidden="false" customHeight="false" outlineLevel="0" collapsed="false">
      <c r="C147" s="211" t="s">
        <v>466</v>
      </c>
      <c r="D147" s="212" t="s">
        <v>498</v>
      </c>
      <c r="E147" s="240" t="n">
        <v>0</v>
      </c>
      <c r="F147" s="240" t="n">
        <v>0</v>
      </c>
      <c r="G147" s="240" t="n">
        <v>0</v>
      </c>
      <c r="H147" s="240" t="n">
        <v>0.15207756232687</v>
      </c>
      <c r="I147" s="240" t="n">
        <v>0</v>
      </c>
      <c r="J147" s="240" t="n">
        <v>0</v>
      </c>
      <c r="K147" s="240" t="n">
        <v>0</v>
      </c>
      <c r="L147" s="240" t="n">
        <v>0</v>
      </c>
      <c r="M147" s="240" t="n">
        <v>0</v>
      </c>
      <c r="N147" s="240" t="n">
        <v>0</v>
      </c>
      <c r="O147" s="240" t="n">
        <v>0</v>
      </c>
      <c r="P147" s="240" t="n">
        <v>0</v>
      </c>
      <c r="Q147" s="240" t="n">
        <v>0.137673130193906</v>
      </c>
      <c r="R147" s="240" t="n">
        <v>0</v>
      </c>
      <c r="S147" s="240" t="n">
        <v>0.710249307479224</v>
      </c>
      <c r="T147" s="241" t="n">
        <f aca="false">SUM(E147:S147)</f>
        <v>1</v>
      </c>
      <c r="U147" s="242"/>
      <c r="W147" s="192" t="s">
        <v>461</v>
      </c>
      <c r="X147" s="192" t="s">
        <v>498</v>
      </c>
      <c r="Y147" s="244" t="n">
        <f aca="false">'Mix éner %'!Y136</f>
        <v>0.403618437555975</v>
      </c>
      <c r="Z147" s="244" t="n">
        <f aca="false">'Mix éner %'!Z136</f>
        <v>0.596381562444025</v>
      </c>
      <c r="AA147" s="244" t="n">
        <f aca="false">'Mix éner %'!AA136</f>
        <v>0</v>
      </c>
      <c r="AB147" s="244" t="n">
        <f aca="false">'Mix éner %'!AB136</f>
        <v>0</v>
      </c>
      <c r="AC147" s="244" t="n">
        <f aca="false">'Mix éner %'!AC136</f>
        <v>0</v>
      </c>
      <c r="AD147" s="244" t="n">
        <f aca="false">'Mix éner %'!AD136</f>
        <v>0</v>
      </c>
      <c r="AE147" s="244" t="n">
        <f aca="false">'Mix éner %'!AE136</f>
        <v>0</v>
      </c>
      <c r="AF147" s="244" t="n">
        <f aca="false">'Mix éner %'!AF136</f>
        <v>0</v>
      </c>
      <c r="AG147" s="244" t="n">
        <f aca="false">'Mix éner %'!AG136</f>
        <v>0</v>
      </c>
      <c r="AH147" s="244" t="n">
        <f aca="false">'Mix éner %'!AH136</f>
        <v>0</v>
      </c>
      <c r="AI147" s="244" t="n">
        <f aca="false">'Mix éner %'!AI136</f>
        <v>0</v>
      </c>
      <c r="AJ147" s="244" t="n">
        <f aca="false">'Mix éner %'!AJ136</f>
        <v>0</v>
      </c>
      <c r="AK147" s="244" t="n">
        <f aca="false">'Mix éner %'!AK136</f>
        <v>0</v>
      </c>
      <c r="AL147" s="244" t="n">
        <f aca="false">'Mix éner %'!AL136</f>
        <v>0</v>
      </c>
      <c r="AM147" s="244" t="n">
        <f aca="false">'Mix éner %'!AM136</f>
        <v>1</v>
      </c>
    </row>
    <row r="148" customFormat="false" ht="14.5" hidden="false" customHeight="false" outlineLevel="0" collapsed="false">
      <c r="C148" s="211" t="s">
        <v>469</v>
      </c>
      <c r="D148" s="212" t="s">
        <v>498</v>
      </c>
      <c r="E148" s="250" t="n">
        <v>0.004</v>
      </c>
      <c r="F148" s="241" t="n">
        <v>0</v>
      </c>
      <c r="G148" s="250" t="n">
        <v>0.028</v>
      </c>
      <c r="H148" s="250" t="n">
        <v>0.25</v>
      </c>
      <c r="I148" s="240" t="n">
        <v>0</v>
      </c>
      <c r="J148" s="240" t="n">
        <v>0</v>
      </c>
      <c r="K148" s="240" t="n">
        <v>0</v>
      </c>
      <c r="L148" s="240" t="n">
        <v>0</v>
      </c>
      <c r="M148" s="240" t="n">
        <v>0</v>
      </c>
      <c r="N148" s="240" t="n">
        <v>0</v>
      </c>
      <c r="O148" s="240" t="n">
        <v>0</v>
      </c>
      <c r="P148" s="240" t="n">
        <v>0</v>
      </c>
      <c r="Q148" s="250" t="n">
        <v>0.71</v>
      </c>
      <c r="R148" s="250" t="n">
        <v>0.008</v>
      </c>
      <c r="S148" s="241" t="n">
        <v>0</v>
      </c>
      <c r="T148" s="241" t="n">
        <f aca="false">SUM(E148:S148)</f>
        <v>1</v>
      </c>
      <c r="U148" s="242"/>
      <c r="W148" s="192" t="s">
        <v>464</v>
      </c>
      <c r="X148" s="192" t="s">
        <v>498</v>
      </c>
      <c r="Y148" s="244" t="n">
        <f aca="false">'Mix éner %'!Y140</f>
        <v>0</v>
      </c>
      <c r="Z148" s="244" t="n">
        <f aca="false">'Mix éner %'!Z140</f>
        <v>0</v>
      </c>
      <c r="AA148" s="244" t="n">
        <f aca="false">'Mix éner %'!AA140</f>
        <v>0.02</v>
      </c>
      <c r="AB148" s="244" t="n">
        <f aca="false">'Mix éner %'!AB140</f>
        <v>0.23</v>
      </c>
      <c r="AC148" s="244" t="n">
        <f aca="false">'Mix éner %'!AC140</f>
        <v>0.02</v>
      </c>
      <c r="AD148" s="244" t="n">
        <f aca="false">'Mix éner %'!AD140</f>
        <v>0</v>
      </c>
      <c r="AE148" s="244" t="n">
        <f aca="false">'Mix éner %'!AE140</f>
        <v>0</v>
      </c>
      <c r="AF148" s="244" t="n">
        <f aca="false">'Mix éner %'!AF140</f>
        <v>0</v>
      </c>
      <c r="AG148" s="244" t="n">
        <f aca="false">'Mix éner %'!AG140</f>
        <v>0</v>
      </c>
      <c r="AH148" s="244" t="n">
        <f aca="false">'Mix éner %'!AH140</f>
        <v>0</v>
      </c>
      <c r="AI148" s="244" t="n">
        <f aca="false">'Mix éner %'!AI140</f>
        <v>0.73</v>
      </c>
      <c r="AJ148" s="244" t="n">
        <f aca="false">'Mix éner %'!AJ140</f>
        <v>0</v>
      </c>
      <c r="AK148" s="244" t="n">
        <f aca="false">'Mix éner %'!AK140</f>
        <v>0</v>
      </c>
      <c r="AL148" s="244" t="n">
        <f aca="false">'Mix éner %'!AL140</f>
        <v>0</v>
      </c>
      <c r="AM148" s="244" t="n">
        <f aca="false">'Mix éner %'!AM140</f>
        <v>1</v>
      </c>
    </row>
    <row r="149" customFormat="false" ht="14.5" hidden="false" customHeight="false" outlineLevel="0" collapsed="false">
      <c r="C149" s="211" t="s">
        <v>471</v>
      </c>
      <c r="D149" s="212" t="s">
        <v>498</v>
      </c>
      <c r="E149" s="241" t="n">
        <v>0</v>
      </c>
      <c r="F149" s="241" t="n">
        <v>0</v>
      </c>
      <c r="G149" s="241" t="n">
        <v>0</v>
      </c>
      <c r="H149" s="241" t="n">
        <v>0.8</v>
      </c>
      <c r="I149" s="240" t="n">
        <v>0</v>
      </c>
      <c r="J149" s="240" t="n">
        <v>0</v>
      </c>
      <c r="K149" s="240" t="n">
        <v>0</v>
      </c>
      <c r="L149" s="240" t="n">
        <v>0</v>
      </c>
      <c r="M149" s="240" t="n">
        <v>0</v>
      </c>
      <c r="N149" s="240" t="n">
        <v>0</v>
      </c>
      <c r="O149" s="240" t="n">
        <v>0</v>
      </c>
      <c r="P149" s="240" t="n">
        <v>0</v>
      </c>
      <c r="Q149" s="241" t="n">
        <v>0.2</v>
      </c>
      <c r="R149" s="241" t="n">
        <v>0</v>
      </c>
      <c r="S149" s="241" t="n">
        <v>0</v>
      </c>
      <c r="T149" s="241" t="n">
        <f aca="false">SUM(E149:S149)</f>
        <v>1</v>
      </c>
      <c r="U149" s="242"/>
      <c r="W149" s="192" t="s">
        <v>466</v>
      </c>
      <c r="X149" s="192" t="s">
        <v>498</v>
      </c>
      <c r="Y149" s="244" t="n">
        <f aca="false">'Mix éner %'!Y144</f>
        <v>0</v>
      </c>
      <c r="Z149" s="244" t="n">
        <f aca="false">'Mix éner %'!Z144</f>
        <v>0</v>
      </c>
      <c r="AA149" s="244" t="n">
        <f aca="false">'Mix éner %'!AA144</f>
        <v>0</v>
      </c>
      <c r="AB149" s="244" t="n">
        <f aca="false">'Mix éner %'!AB144</f>
        <v>0</v>
      </c>
      <c r="AC149" s="244" t="n">
        <f aca="false">'Mix éner %'!AC144</f>
        <v>0</v>
      </c>
      <c r="AD149" s="244" t="n">
        <f aca="false">'Mix éner %'!AD144</f>
        <v>0</v>
      </c>
      <c r="AE149" s="244" t="n">
        <f aca="false">'Mix éner %'!AE144</f>
        <v>0</v>
      </c>
      <c r="AF149" s="244" t="n">
        <f aca="false">'Mix éner %'!AF144</f>
        <v>0</v>
      </c>
      <c r="AG149" s="244" t="n">
        <f aca="false">'Mix éner %'!AG144</f>
        <v>0</v>
      </c>
      <c r="AH149" s="244" t="n">
        <f aca="false">'Mix éner %'!AH144</f>
        <v>0</v>
      </c>
      <c r="AI149" s="244" t="n">
        <f aca="false">'Mix éner %'!AI144</f>
        <v>0</v>
      </c>
      <c r="AJ149" s="244" t="n">
        <f aca="false">'Mix éner %'!AJ144</f>
        <v>0</v>
      </c>
      <c r="AK149" s="244" t="n">
        <f aca="false">'Mix éner %'!AK144</f>
        <v>0</v>
      </c>
      <c r="AL149" s="244" t="n">
        <f aca="false">'Mix éner %'!AL144</f>
        <v>0</v>
      </c>
      <c r="AM149" s="244" t="n">
        <f aca="false">'Mix éner %'!AM144</f>
        <v>0</v>
      </c>
    </row>
    <row r="150" customFormat="false" ht="14.5" hidden="false" customHeight="false" outlineLevel="0" collapsed="false">
      <c r="C150" s="211" t="s">
        <v>473</v>
      </c>
      <c r="D150" s="212" t="s">
        <v>498</v>
      </c>
      <c r="E150" s="241" t="n">
        <v>0.000218316716171187</v>
      </c>
      <c r="F150" s="241" t="n">
        <v>0.000218316716171187</v>
      </c>
      <c r="G150" s="241" t="n">
        <v>0.152259671871665</v>
      </c>
      <c r="H150" s="241" t="n">
        <v>0.157128528851314</v>
      </c>
      <c r="I150" s="241" t="n">
        <v>0.000218316716171187</v>
      </c>
      <c r="J150" s="241" t="n">
        <v>0.000218316716171187</v>
      </c>
      <c r="K150" s="241" t="n">
        <v>0.000218316716171187</v>
      </c>
      <c r="L150" s="241" t="n">
        <v>0.000218316716171187</v>
      </c>
      <c r="M150" s="241" t="n">
        <v>0.000218316716171187</v>
      </c>
      <c r="N150" s="241" t="n">
        <v>0.000218316716171187</v>
      </c>
      <c r="O150" s="241" t="n">
        <v>0.000218316716171187</v>
      </c>
      <c r="P150" s="241" t="n">
        <v>0.000218316716171187</v>
      </c>
      <c r="Q150" s="241" t="n">
        <v>0.675599380753927</v>
      </c>
      <c r="R150" s="241" t="n">
        <v>0.0145757850907516</v>
      </c>
      <c r="S150" s="241" t="n">
        <v>0.000218316716171187</v>
      </c>
      <c r="T150" s="241" t="n">
        <f aca="false">SUM(E150:S150)</f>
        <v>1.00196485044554</v>
      </c>
      <c r="U150" s="242"/>
      <c r="W150" s="198" t="s">
        <v>467</v>
      </c>
      <c r="X150" s="192" t="s">
        <v>498</v>
      </c>
      <c r="Y150" s="244" t="n">
        <f aca="false">'Mix éner %'!Y148</f>
        <v>0.0558449092555247</v>
      </c>
      <c r="Z150" s="244" t="n">
        <f aca="false">'Mix éner %'!Z148</f>
        <v>0.0324236893802455</v>
      </c>
      <c r="AA150" s="244" t="n">
        <f aca="false">'Mix éner %'!AA148</f>
        <v>0.0113704022297733</v>
      </c>
      <c r="AB150" s="244" t="n">
        <f aca="false">'Mix éner %'!AB148</f>
        <v>0.311435998294995</v>
      </c>
      <c r="AC150" s="244" t="n">
        <f aca="false">'Mix éner %'!AC148</f>
        <v>0.000298560675692869</v>
      </c>
      <c r="AD150" s="244" t="n">
        <f aca="false">'Mix éner %'!AD148</f>
        <v>0</v>
      </c>
      <c r="AE150" s="244" t="n">
        <f aca="false">'Mix éner %'!AE148</f>
        <v>0</v>
      </c>
      <c r="AF150" s="244" t="n">
        <f aca="false">'Mix éner %'!AF148</f>
        <v>0</v>
      </c>
      <c r="AG150" s="244" t="n">
        <f aca="false">'Mix éner %'!AG148</f>
        <v>0</v>
      </c>
      <c r="AH150" s="244" t="n">
        <f aca="false">'Mix éner %'!AH148</f>
        <v>0</v>
      </c>
      <c r="AI150" s="244" t="n">
        <f aca="false">'Mix éner %'!AI148</f>
        <v>0.582595514514773</v>
      </c>
      <c r="AJ150" s="244" t="n">
        <f aca="false">'Mix éner %'!AJ148</f>
        <v>0</v>
      </c>
      <c r="AK150" s="244" t="n">
        <f aca="false">'Mix éner %'!AK148</f>
        <v>0.00603092564899595</v>
      </c>
      <c r="AL150" s="244" t="n">
        <f aca="false">'Mix éner %'!AL148</f>
        <v>0</v>
      </c>
      <c r="AM150" s="244" t="n">
        <f aca="false">'Mix éner %'!AM148</f>
        <v>1</v>
      </c>
    </row>
    <row r="151" customFormat="false" ht="14.5" hidden="false" customHeight="false" outlineLevel="0" collapsed="false">
      <c r="C151" s="209" t="s">
        <v>25</v>
      </c>
      <c r="D151" s="209"/>
      <c r="E151" s="246"/>
      <c r="F151" s="246"/>
      <c r="G151" s="246"/>
      <c r="H151" s="246"/>
      <c r="I151" s="246"/>
      <c r="J151" s="246"/>
      <c r="K151" s="246"/>
      <c r="L151" s="246"/>
      <c r="M151" s="246"/>
      <c r="N151" s="246"/>
      <c r="O151" s="246"/>
      <c r="P151" s="246"/>
      <c r="Q151" s="246"/>
      <c r="R151" s="246"/>
      <c r="S151" s="246"/>
      <c r="T151" s="246"/>
      <c r="U151" s="247"/>
      <c r="W151" s="192" t="s">
        <v>469</v>
      </c>
      <c r="X151" s="192" t="s">
        <v>498</v>
      </c>
      <c r="Y151" s="244" t="n">
        <f aca="false">'Mix éner %'!Y152</f>
        <v>0.004</v>
      </c>
      <c r="Z151" s="244" t="n">
        <f aca="false">'Mix éner %'!Z152</f>
        <v>0</v>
      </c>
      <c r="AA151" s="244" t="n">
        <f aca="false">'Mix éner %'!AA152</f>
        <v>0.028</v>
      </c>
      <c r="AB151" s="244" t="n">
        <f aca="false">'Mix éner %'!AB152</f>
        <v>0.25</v>
      </c>
      <c r="AC151" s="244" t="n">
        <f aca="false">'Mix éner %'!AC152</f>
        <v>0</v>
      </c>
      <c r="AD151" s="244" t="n">
        <f aca="false">'Mix éner %'!AD152</f>
        <v>0</v>
      </c>
      <c r="AE151" s="244" t="n">
        <f aca="false">'Mix éner %'!AE152</f>
        <v>0</v>
      </c>
      <c r="AF151" s="244" t="n">
        <f aca="false">'Mix éner %'!AF152</f>
        <v>0</v>
      </c>
      <c r="AG151" s="244" t="n">
        <f aca="false">'Mix éner %'!AG152</f>
        <v>0</v>
      </c>
      <c r="AH151" s="244" t="n">
        <f aca="false">'Mix éner %'!AH152</f>
        <v>0</v>
      </c>
      <c r="AI151" s="244" t="n">
        <f aca="false">'Mix éner %'!AI152</f>
        <v>0.71</v>
      </c>
      <c r="AJ151" s="244" t="n">
        <f aca="false">'Mix éner %'!AJ152</f>
        <v>0</v>
      </c>
      <c r="AK151" s="244" t="n">
        <f aca="false">'Mix éner %'!AK152</f>
        <v>0.008</v>
      </c>
      <c r="AL151" s="244" t="n">
        <f aca="false">'Mix éner %'!AL152</f>
        <v>0</v>
      </c>
      <c r="AM151" s="244" t="n">
        <f aca="false">'Mix éner %'!AM152</f>
        <v>1</v>
      </c>
    </row>
    <row r="152" customFormat="false" ht="14.5" hidden="false" customHeight="false" outlineLevel="0" collapsed="false">
      <c r="C152" s="211" t="s">
        <v>475</v>
      </c>
      <c r="D152" s="212" t="s">
        <v>498</v>
      </c>
      <c r="E152" s="241" t="n">
        <v>0</v>
      </c>
      <c r="F152" s="241" t="n">
        <v>0</v>
      </c>
      <c r="G152" s="241" t="n">
        <v>0.005</v>
      </c>
      <c r="H152" s="241" t="n">
        <v>0.23</v>
      </c>
      <c r="I152" s="241" t="n">
        <v>0</v>
      </c>
      <c r="J152" s="241" t="n">
        <v>0</v>
      </c>
      <c r="K152" s="241" t="n">
        <v>0.005</v>
      </c>
      <c r="L152" s="241" t="n">
        <v>0</v>
      </c>
      <c r="M152" s="241" t="n">
        <v>0</v>
      </c>
      <c r="N152" s="241" t="n">
        <v>0</v>
      </c>
      <c r="O152" s="241" t="n">
        <v>0</v>
      </c>
      <c r="P152" s="241" t="n">
        <v>0</v>
      </c>
      <c r="Q152" s="241" t="n">
        <v>0.76</v>
      </c>
      <c r="R152" s="241" t="n">
        <v>0</v>
      </c>
      <c r="S152" s="241" t="n">
        <v>0</v>
      </c>
      <c r="T152" s="241" t="n">
        <f aca="false">SUM(E152:S152)</f>
        <v>1</v>
      </c>
      <c r="U152" s="242"/>
      <c r="W152" s="192" t="s">
        <v>471</v>
      </c>
      <c r="X152" s="192" t="s">
        <v>498</v>
      </c>
      <c r="Y152" s="244" t="n">
        <f aca="false">'Mix éner %'!Y156</f>
        <v>0</v>
      </c>
      <c r="Z152" s="244" t="n">
        <f aca="false">'Mix éner %'!Z156</f>
        <v>0</v>
      </c>
      <c r="AA152" s="244" t="n">
        <f aca="false">'Mix éner %'!AA156</f>
        <v>0.0246193395293652</v>
      </c>
      <c r="AB152" s="244" t="n">
        <f aca="false">'Mix éner %'!AB156</f>
        <v>0.639905082064465</v>
      </c>
      <c r="AC152" s="244" t="n">
        <f aca="false">'Mix éner %'!AC156</f>
        <v>0</v>
      </c>
      <c r="AD152" s="244" t="n">
        <f aca="false">'Mix éner %'!AD156</f>
        <v>0</v>
      </c>
      <c r="AE152" s="244" t="n">
        <f aca="false">'Mix éner %'!AE156</f>
        <v>0</v>
      </c>
      <c r="AF152" s="244" t="n">
        <f aca="false">'Mix éner %'!AF156</f>
        <v>0</v>
      </c>
      <c r="AG152" s="244" t="n">
        <f aca="false">'Mix éner %'!AG156</f>
        <v>0</v>
      </c>
      <c r="AH152" s="244" t="n">
        <f aca="false">'Mix éner %'!AH156</f>
        <v>0</v>
      </c>
      <c r="AI152" s="244" t="n">
        <f aca="false">'Mix éner %'!AI156</f>
        <v>0.33547557840617</v>
      </c>
      <c r="AJ152" s="244" t="n">
        <f aca="false">'Mix éner %'!AJ156</f>
        <v>0</v>
      </c>
      <c r="AK152" s="244" t="n">
        <f aca="false">'Mix éner %'!AK156</f>
        <v>0</v>
      </c>
      <c r="AL152" s="244" t="n">
        <f aca="false">'Mix éner %'!AL156</f>
        <v>0</v>
      </c>
      <c r="AM152" s="244" t="n">
        <f aca="false">'Mix éner %'!AM156</f>
        <v>1</v>
      </c>
    </row>
    <row r="153" customFormat="false" ht="14.5" hidden="false" customHeight="false" outlineLevel="0" collapsed="false">
      <c r="C153" s="211" t="s">
        <v>476</v>
      </c>
      <c r="D153" s="212" t="s">
        <v>498</v>
      </c>
      <c r="E153" s="241" t="n">
        <v>0</v>
      </c>
      <c r="F153" s="241" t="n">
        <v>0</v>
      </c>
      <c r="G153" s="241" t="n">
        <v>0.01</v>
      </c>
      <c r="H153" s="241" t="n">
        <v>0.521498997886724</v>
      </c>
      <c r="I153" s="241" t="n">
        <v>0</v>
      </c>
      <c r="J153" s="241" t="n">
        <v>0</v>
      </c>
      <c r="K153" s="241" t="n">
        <v>0.030411115934224</v>
      </c>
      <c r="L153" s="241" t="n">
        <v>0</v>
      </c>
      <c r="M153" s="241" t="n">
        <v>0</v>
      </c>
      <c r="N153" s="241" t="n">
        <v>0</v>
      </c>
      <c r="O153" s="241" t="n">
        <v>0</v>
      </c>
      <c r="P153" s="241" t="n">
        <v>0</v>
      </c>
      <c r="Q153" s="241" t="n">
        <v>0.298219525480862</v>
      </c>
      <c r="R153" s="241" t="n">
        <v>0.128122250471884</v>
      </c>
      <c r="S153" s="241" t="n">
        <v>0.0117481102263071</v>
      </c>
      <c r="T153" s="241" t="n">
        <f aca="false">SUM(E153:S153)</f>
        <v>1</v>
      </c>
      <c r="U153" s="242"/>
      <c r="W153" s="192" t="s">
        <v>473</v>
      </c>
      <c r="X153" s="192" t="s">
        <v>498</v>
      </c>
      <c r="Y153" s="244" t="n">
        <f aca="false">'Mix éner %'!Y160</f>
        <v>0.000218316716171187</v>
      </c>
      <c r="Z153" s="244" t="n">
        <f aca="false">'Mix éner %'!Z160</f>
        <v>0</v>
      </c>
      <c r="AA153" s="244" t="n">
        <f aca="false">'Mix éner %'!AA160</f>
        <v>0.17</v>
      </c>
      <c r="AB153" s="244" t="n">
        <f aca="false">'Mix éner %'!AB160</f>
        <v>0.085</v>
      </c>
      <c r="AC153" s="244" t="n">
        <f aca="false">'Mix éner %'!AC160</f>
        <v>0.000218316716171187</v>
      </c>
      <c r="AD153" s="244" t="n">
        <f aca="false">'Mix éner %'!AD160</f>
        <v>0.000218316716171187</v>
      </c>
      <c r="AE153" s="244" t="n">
        <f aca="false">'Mix éner %'!AE160</f>
        <v>0.000218316716171187</v>
      </c>
      <c r="AF153" s="244" t="n">
        <f aca="false">'Mix éner %'!AF160</f>
        <v>0.000218316716171187</v>
      </c>
      <c r="AG153" s="244" t="n">
        <f aca="false">'Mix éner %'!AG160</f>
        <v>0.000218316716171187</v>
      </c>
      <c r="AH153" s="244" t="n">
        <f aca="false">'Mix éner %'!AH160</f>
        <v>0.000218316716171187</v>
      </c>
      <c r="AI153" s="244" t="n">
        <f aca="false">'Mix éner %'!AI160</f>
        <v>0.728566484469445</v>
      </c>
      <c r="AJ153" s="244" t="n">
        <f aca="false">'Mix éner %'!AJ160</f>
        <v>0</v>
      </c>
      <c r="AK153" s="244" t="n">
        <f aca="false">'Mix éner %'!AK160</f>
        <v>0.0145757850907516</v>
      </c>
      <c r="AL153" s="244" t="n">
        <f aca="false">'Mix éner %'!AL160</f>
        <v>0.000218316716171187</v>
      </c>
      <c r="AM153" s="244" t="n">
        <f aca="false">'Mix éner %'!AM160</f>
        <v>0.999888803289566</v>
      </c>
    </row>
    <row r="154" customFormat="false" ht="14.5" hidden="false" customHeight="false" outlineLevel="0" collapsed="false">
      <c r="C154" s="211" t="s">
        <v>479</v>
      </c>
      <c r="D154" s="212" t="s">
        <v>498</v>
      </c>
      <c r="E154" s="241" t="n">
        <v>0</v>
      </c>
      <c r="F154" s="241" t="n">
        <v>0</v>
      </c>
      <c r="G154" s="241" t="n">
        <v>0.0585958942995415</v>
      </c>
      <c r="H154" s="241" t="n">
        <v>0.39124178724877</v>
      </c>
      <c r="I154" s="241" t="n">
        <v>0</v>
      </c>
      <c r="J154" s="241" t="n">
        <v>0</v>
      </c>
      <c r="K154" s="241" t="n">
        <v>0.0173870977130318</v>
      </c>
      <c r="L154" s="241" t="n">
        <v>0</v>
      </c>
      <c r="M154" s="241" t="n">
        <v>0</v>
      </c>
      <c r="N154" s="241" t="n">
        <v>0</v>
      </c>
      <c r="O154" s="241" t="n">
        <v>0</v>
      </c>
      <c r="P154" s="241" t="n">
        <v>0</v>
      </c>
      <c r="Q154" s="241" t="n">
        <v>0.32482105840412</v>
      </c>
      <c r="R154" s="241" t="n">
        <v>0.207954162334536</v>
      </c>
      <c r="S154" s="241" t="n">
        <v>0</v>
      </c>
      <c r="T154" s="241" t="n">
        <f aca="false">SUM(E154:S154)</f>
        <v>0.999999999999999</v>
      </c>
      <c r="U154" s="242"/>
      <c r="W154" s="189" t="s">
        <v>25</v>
      </c>
      <c r="X154" s="189"/>
      <c r="Y154" s="243"/>
      <c r="Z154" s="243"/>
      <c r="AA154" s="243"/>
      <c r="AB154" s="243"/>
      <c r="AC154" s="243"/>
      <c r="AD154" s="243"/>
      <c r="AE154" s="243"/>
      <c r="AF154" s="243"/>
      <c r="AG154" s="243"/>
      <c r="AH154" s="243"/>
      <c r="AI154" s="243"/>
      <c r="AJ154" s="243"/>
      <c r="AK154" s="243"/>
      <c r="AL154" s="243"/>
      <c r="AM154" s="243"/>
    </row>
    <row r="155" customFormat="false" ht="14.5" hidden="false" customHeight="false" outlineLevel="0" collapsed="false">
      <c r="C155" s="209" t="s">
        <v>480</v>
      </c>
      <c r="D155" s="209"/>
      <c r="E155" s="246"/>
      <c r="F155" s="246"/>
      <c r="G155" s="246"/>
      <c r="H155" s="246"/>
      <c r="I155" s="246"/>
      <c r="J155" s="246"/>
      <c r="K155" s="246"/>
      <c r="L155" s="246"/>
      <c r="M155" s="246"/>
      <c r="N155" s="246"/>
      <c r="O155" s="246"/>
      <c r="P155" s="246"/>
      <c r="Q155" s="246"/>
      <c r="R155" s="246"/>
      <c r="S155" s="246"/>
      <c r="T155" s="246"/>
      <c r="U155" s="247"/>
      <c r="W155" s="192" t="s">
        <v>475</v>
      </c>
      <c r="X155" s="192" t="s">
        <v>498</v>
      </c>
      <c r="Y155" s="244" t="n">
        <f aca="false">'Mix éner %'!Y165</f>
        <v>0</v>
      </c>
      <c r="Z155" s="244" t="n">
        <f aca="false">'Mix éner %'!Z165</f>
        <v>0</v>
      </c>
      <c r="AA155" s="244" t="n">
        <f aca="false">'Mix éner %'!AA165</f>
        <v>0.005</v>
      </c>
      <c r="AB155" s="244" t="n">
        <f aca="false">'Mix éner %'!AB165</f>
        <v>0.93</v>
      </c>
      <c r="AC155" s="244" t="n">
        <f aca="false">'Mix éner %'!AC165</f>
        <v>0.005</v>
      </c>
      <c r="AD155" s="244" t="n">
        <f aca="false">'Mix éner %'!AD165</f>
        <v>0</v>
      </c>
      <c r="AE155" s="244" t="n">
        <f aca="false">'Mix éner %'!AE165</f>
        <v>0</v>
      </c>
      <c r="AF155" s="244" t="n">
        <f aca="false">'Mix éner %'!AF165</f>
        <v>0</v>
      </c>
      <c r="AG155" s="244" t="n">
        <f aca="false">'Mix éner %'!AG165</f>
        <v>0</v>
      </c>
      <c r="AH155" s="244" t="n">
        <f aca="false">'Mix éner %'!AH165</f>
        <v>0</v>
      </c>
      <c r="AI155" s="244" t="n">
        <f aca="false">'Mix éner %'!AI165</f>
        <v>0.06</v>
      </c>
      <c r="AJ155" s="244" t="n">
        <f aca="false">'Mix éner %'!AJ165</f>
        <v>0</v>
      </c>
      <c r="AK155" s="244" t="n">
        <f aca="false">'Mix éner %'!AK165</f>
        <v>0</v>
      </c>
      <c r="AL155" s="244" t="n">
        <f aca="false">'Mix éner %'!AL165</f>
        <v>0</v>
      </c>
      <c r="AM155" s="244" t="n">
        <f aca="false">'Mix éner %'!AM165</f>
        <v>1</v>
      </c>
    </row>
    <row r="156" customFormat="false" ht="14.5" hidden="false" customHeight="false" outlineLevel="0" collapsed="false">
      <c r="C156" s="211" t="s">
        <v>481</v>
      </c>
      <c r="D156" s="212" t="s">
        <v>498</v>
      </c>
      <c r="E156" s="241" t="n">
        <v>0.0880675120855511</v>
      </c>
      <c r="F156" s="241" t="n">
        <v>0</v>
      </c>
      <c r="G156" s="241" t="n">
        <v>0.335</v>
      </c>
      <c r="H156" s="241" t="n">
        <v>0</v>
      </c>
      <c r="I156" s="241" t="n">
        <v>0</v>
      </c>
      <c r="J156" s="241" t="n">
        <v>0</v>
      </c>
      <c r="K156" s="241" t="n">
        <v>0.526932487914449</v>
      </c>
      <c r="L156" s="241" t="n">
        <v>0</v>
      </c>
      <c r="M156" s="241" t="n">
        <v>0</v>
      </c>
      <c r="N156" s="241" t="n">
        <v>0</v>
      </c>
      <c r="O156" s="241" t="n">
        <v>0</v>
      </c>
      <c r="P156" s="241" t="n">
        <v>0</v>
      </c>
      <c r="Q156" s="241" t="n">
        <v>0.03</v>
      </c>
      <c r="R156" s="241" t="n">
        <v>0</v>
      </c>
      <c r="S156" s="241" t="n">
        <v>0</v>
      </c>
      <c r="T156" s="241" t="n">
        <f aca="false">SUM(E156:S156)</f>
        <v>0.98</v>
      </c>
      <c r="U156" s="242"/>
      <c r="W156" s="192" t="s">
        <v>476</v>
      </c>
      <c r="X156" s="192" t="s">
        <v>498</v>
      </c>
      <c r="Y156" s="244" t="n">
        <f aca="false">'Mix éner %'!Y169</f>
        <v>0</v>
      </c>
      <c r="Z156" s="244" t="n">
        <f aca="false">'Mix éner %'!Z169</f>
        <v>0</v>
      </c>
      <c r="AA156" s="244" t="n">
        <f aca="false">'Mix éner %'!AA169</f>
        <v>0.01</v>
      </c>
      <c r="AB156" s="244" t="n">
        <f aca="false">'Mix éner %'!AB169</f>
        <v>0.64</v>
      </c>
      <c r="AC156" s="244" t="n">
        <f aca="false">'Mix éner %'!AC169</f>
        <v>0.05</v>
      </c>
      <c r="AD156" s="244" t="n">
        <f aca="false">'Mix éner %'!AD169</f>
        <v>0</v>
      </c>
      <c r="AE156" s="244" t="n">
        <f aca="false">'Mix éner %'!AE169</f>
        <v>0</v>
      </c>
      <c r="AF156" s="244" t="n">
        <f aca="false">'Mix éner %'!AF169</f>
        <v>0</v>
      </c>
      <c r="AG156" s="244" t="n">
        <f aca="false">'Mix éner %'!AG169</f>
        <v>0</v>
      </c>
      <c r="AH156" s="244" t="n">
        <f aca="false">'Mix éner %'!AH169</f>
        <v>0</v>
      </c>
      <c r="AI156" s="244" t="n">
        <f aca="false">'Mix éner %'!AI169</f>
        <v>0.2</v>
      </c>
      <c r="AJ156" s="244" t="n">
        <f aca="false">'Mix éner %'!AJ169</f>
        <v>0</v>
      </c>
      <c r="AK156" s="244" t="n">
        <f aca="false">'Mix éner %'!AK169</f>
        <v>0.09</v>
      </c>
      <c r="AL156" s="244" t="n">
        <f aca="false">'Mix éner %'!AL169</f>
        <v>0.01</v>
      </c>
      <c r="AM156" s="244" t="n">
        <f aca="false">'Mix éner %'!AM169</f>
        <v>1</v>
      </c>
    </row>
    <row r="157" customFormat="false" ht="14.5" hidden="false" customHeight="false" outlineLevel="0" collapsed="false">
      <c r="C157" s="211" t="s">
        <v>482</v>
      </c>
      <c r="D157" s="212" t="s">
        <v>498</v>
      </c>
      <c r="E157" s="241" t="n">
        <v>0</v>
      </c>
      <c r="F157" s="241" t="n">
        <v>0</v>
      </c>
      <c r="G157" s="252" t="n">
        <v>0.02</v>
      </c>
      <c r="H157" s="252" t="n">
        <v>0.67</v>
      </c>
      <c r="I157" s="241" t="n">
        <v>0</v>
      </c>
      <c r="J157" s="241" t="n">
        <v>0</v>
      </c>
      <c r="K157" s="241" t="n">
        <v>0</v>
      </c>
      <c r="L157" s="241" t="n">
        <v>0</v>
      </c>
      <c r="M157" s="241" t="n">
        <v>0</v>
      </c>
      <c r="N157" s="241" t="n">
        <v>0</v>
      </c>
      <c r="O157" s="241" t="n">
        <v>0</v>
      </c>
      <c r="P157" s="241" t="n">
        <v>0</v>
      </c>
      <c r="Q157" s="252" t="n">
        <v>0.31</v>
      </c>
      <c r="R157" s="241" t="n">
        <v>0</v>
      </c>
      <c r="S157" s="241" t="n">
        <v>0</v>
      </c>
      <c r="T157" s="241" t="n">
        <f aca="false">SUM(E157:S157)</f>
        <v>1</v>
      </c>
      <c r="U157" s="242"/>
      <c r="W157" s="192" t="s">
        <v>479</v>
      </c>
      <c r="X157" s="192" t="s">
        <v>498</v>
      </c>
      <c r="Y157" s="244" t="n">
        <f aca="false">'Mix éner %'!Y173</f>
        <v>0</v>
      </c>
      <c r="Z157" s="244" t="n">
        <f aca="false">'Mix éner %'!Z173</f>
        <v>0</v>
      </c>
      <c r="AA157" s="244" t="n">
        <f aca="false">'Mix éner %'!AA173</f>
        <v>0.09</v>
      </c>
      <c r="AB157" s="244" t="n">
        <f aca="false">'Mix éner %'!AB173</f>
        <v>0.0683431690234113</v>
      </c>
      <c r="AC157" s="244" t="n">
        <f aca="false">'Mix éner %'!AC173</f>
        <v>0.0473870977130318</v>
      </c>
      <c r="AD157" s="244" t="n">
        <f aca="false">'Mix éner %'!AD173</f>
        <v>0</v>
      </c>
      <c r="AE157" s="244" t="n">
        <f aca="false">'Mix éner %'!AE173</f>
        <v>0</v>
      </c>
      <c r="AF157" s="244" t="n">
        <f aca="false">'Mix éner %'!AF173</f>
        <v>0</v>
      </c>
      <c r="AG157" s="244" t="n">
        <f aca="false">'Mix éner %'!AG173</f>
        <v>0</v>
      </c>
      <c r="AH157" s="244" t="n">
        <f aca="false">'Mix éner %'!AH173</f>
        <v>0</v>
      </c>
      <c r="AI157" s="244" t="n">
        <f aca="false">'Mix éner %'!AI173</f>
        <v>0.544166112685694</v>
      </c>
      <c r="AJ157" s="244" t="n">
        <f aca="false">'Mix éner %'!AJ173</f>
        <v>0</v>
      </c>
      <c r="AK157" s="244" t="n">
        <f aca="false">'Mix éner %'!AK173</f>
        <v>0.250103620577863</v>
      </c>
      <c r="AL157" s="244" t="n">
        <f aca="false">'Mix éner %'!AL173</f>
        <v>0</v>
      </c>
      <c r="AM157" s="244" t="n">
        <f aca="false">'Mix éner %'!AM173</f>
        <v>1</v>
      </c>
    </row>
    <row r="158" customFormat="false" ht="14.5" hidden="false" customHeight="false" outlineLevel="0" collapsed="false">
      <c r="C158" s="211" t="s">
        <v>483</v>
      </c>
      <c r="D158" s="212" t="s">
        <v>498</v>
      </c>
      <c r="E158" s="241" t="n">
        <f aca="false">4.58828948153757%+2.6%</f>
        <v>0.0718828948153757</v>
      </c>
      <c r="F158" s="241" t="n">
        <v>0</v>
      </c>
      <c r="G158" s="241" t="n">
        <v>0.0201689588256188</v>
      </c>
      <c r="H158" s="241" t="n">
        <v>0.589079019115123</v>
      </c>
      <c r="I158" s="241" t="n">
        <v>0</v>
      </c>
      <c r="J158" s="241" t="n">
        <v>0</v>
      </c>
      <c r="K158" s="241" t="n">
        <v>0</v>
      </c>
      <c r="L158" s="241" t="n">
        <v>0</v>
      </c>
      <c r="M158" s="241" t="n">
        <v>0</v>
      </c>
      <c r="N158" s="241" t="n">
        <v>0</v>
      </c>
      <c r="O158" s="241" t="n">
        <v>0</v>
      </c>
      <c r="P158" s="241" t="n">
        <v>0</v>
      </c>
      <c r="Q158" s="241" t="n">
        <v>0.318835432404667</v>
      </c>
      <c r="R158" s="241" t="n">
        <v>0</v>
      </c>
      <c r="S158" s="241" t="n">
        <v>0</v>
      </c>
      <c r="T158" s="241" t="n">
        <f aca="false">SUM(E158:S158)</f>
        <v>0.999966305160784</v>
      </c>
      <c r="U158" s="242"/>
      <c r="W158" s="189" t="s">
        <v>480</v>
      </c>
      <c r="X158" s="189"/>
      <c r="Y158" s="243"/>
      <c r="Z158" s="243"/>
      <c r="AA158" s="243"/>
      <c r="AB158" s="243"/>
      <c r="AC158" s="243"/>
      <c r="AD158" s="243"/>
      <c r="AE158" s="243"/>
      <c r="AF158" s="243"/>
      <c r="AG158" s="243"/>
      <c r="AH158" s="243"/>
      <c r="AI158" s="243"/>
      <c r="AJ158" s="243"/>
      <c r="AK158" s="243"/>
      <c r="AL158" s="243"/>
      <c r="AM158" s="243"/>
    </row>
    <row r="159" customFormat="false" ht="14.5" hidden="false" customHeight="false" outlineLevel="0" collapsed="false">
      <c r="C159" s="209" t="s">
        <v>484</v>
      </c>
      <c r="D159" s="209"/>
      <c r="E159" s="246"/>
      <c r="F159" s="246"/>
      <c r="G159" s="246"/>
      <c r="H159" s="246"/>
      <c r="I159" s="246"/>
      <c r="J159" s="246"/>
      <c r="K159" s="246"/>
      <c r="L159" s="246"/>
      <c r="M159" s="246"/>
      <c r="N159" s="246"/>
      <c r="O159" s="246"/>
      <c r="P159" s="246"/>
      <c r="Q159" s="246"/>
      <c r="R159" s="246"/>
      <c r="S159" s="246"/>
      <c r="T159" s="246"/>
      <c r="U159" s="247"/>
      <c r="W159" s="192" t="s">
        <v>481</v>
      </c>
      <c r="X159" s="192" t="s">
        <v>498</v>
      </c>
      <c r="Y159" s="244" t="n">
        <f aca="false">'Mix éner %'!Y178</f>
        <v>0.0880675120855511</v>
      </c>
      <c r="Z159" s="244" t="n">
        <f aca="false">'Mix éner %'!Z178</f>
        <v>0</v>
      </c>
      <c r="AA159" s="244" t="n">
        <f aca="false">'Mix éner %'!AA178</f>
        <v>0.296949695875296</v>
      </c>
      <c r="AB159" s="244" t="n">
        <f aca="false">'Mix éner %'!AB178</f>
        <v>0</v>
      </c>
      <c r="AC159" s="244" t="n">
        <f aca="false">'Mix éner %'!AC178</f>
        <v>0.21</v>
      </c>
      <c r="AD159" s="244" t="n">
        <f aca="false">'Mix éner %'!AD178</f>
        <v>0.27</v>
      </c>
      <c r="AE159" s="244" t="n">
        <f aca="false">'Mix éner %'!AE178</f>
        <v>0</v>
      </c>
      <c r="AF159" s="244" t="n">
        <f aca="false">'Mix éner %'!AF178</f>
        <v>0</v>
      </c>
      <c r="AG159" s="244" t="n">
        <f aca="false">'Mix éner %'!AG178</f>
        <v>0</v>
      </c>
      <c r="AH159" s="244" t="n">
        <f aca="false">'Mix éner %'!AH178</f>
        <v>0</v>
      </c>
      <c r="AI159" s="244" t="n">
        <f aca="false">'Mix éner %'!AI178</f>
        <v>0.134982792039153</v>
      </c>
      <c r="AJ159" s="244" t="n">
        <f aca="false">'Mix éner %'!AJ178</f>
        <v>0</v>
      </c>
      <c r="AK159" s="244" t="n">
        <f aca="false">'Mix éner %'!AK178</f>
        <v>0</v>
      </c>
      <c r="AL159" s="244" t="n">
        <f aca="false">'Mix éner %'!AL178</f>
        <v>0</v>
      </c>
      <c r="AM159" s="244" t="n">
        <f aca="false">'Mix éner %'!AM178</f>
        <v>1</v>
      </c>
    </row>
    <row r="160" customFormat="false" ht="14.5" hidden="false" customHeight="false" outlineLevel="0" collapsed="false">
      <c r="C160" s="211" t="s">
        <v>485</v>
      </c>
      <c r="D160" s="212" t="s">
        <v>498</v>
      </c>
      <c r="E160" s="241" t="n">
        <v>0</v>
      </c>
      <c r="F160" s="241" t="n">
        <v>0</v>
      </c>
      <c r="G160" s="241" t="n">
        <v>0.045</v>
      </c>
      <c r="H160" s="241" t="n">
        <v>0.766758764368625</v>
      </c>
      <c r="I160" s="241" t="n">
        <v>0</v>
      </c>
      <c r="J160" s="241" t="n">
        <v>0</v>
      </c>
      <c r="K160" s="241" t="n">
        <v>0</v>
      </c>
      <c r="L160" s="241" t="n">
        <v>0</v>
      </c>
      <c r="M160" s="241" t="n">
        <v>0</v>
      </c>
      <c r="N160" s="241" t="n">
        <v>0</v>
      </c>
      <c r="O160" s="241" t="n">
        <v>0</v>
      </c>
      <c r="P160" s="241" t="n">
        <v>0</v>
      </c>
      <c r="Q160" s="241" t="n">
        <v>0.17477855797826</v>
      </c>
      <c r="R160" s="241" t="n">
        <v>0.00946267765311507</v>
      </c>
      <c r="S160" s="241" t="n">
        <v>0</v>
      </c>
      <c r="T160" s="241" t="n">
        <f aca="false">SUM(E160:S160)</f>
        <v>0.996</v>
      </c>
      <c r="U160" s="242"/>
      <c r="W160" s="192" t="s">
        <v>482</v>
      </c>
      <c r="X160" s="192" t="s">
        <v>498</v>
      </c>
      <c r="Y160" s="244" t="n">
        <f aca="false">'Mix éner %'!Y182</f>
        <v>0</v>
      </c>
      <c r="Z160" s="244" t="n">
        <f aca="false">'Mix éner %'!Z182</f>
        <v>0</v>
      </c>
      <c r="AA160" s="244" t="n">
        <f aca="false">'Mix éner %'!AA182</f>
        <v>0.02</v>
      </c>
      <c r="AB160" s="244" t="n">
        <f aca="false">'Mix éner %'!AB182</f>
        <v>0.67</v>
      </c>
      <c r="AC160" s="244" t="n">
        <f aca="false">'Mix éner %'!AC182</f>
        <v>0</v>
      </c>
      <c r="AD160" s="244" t="n">
        <f aca="false">'Mix éner %'!AD182</f>
        <v>0</v>
      </c>
      <c r="AE160" s="244" t="n">
        <f aca="false">'Mix éner %'!AE182</f>
        <v>0</v>
      </c>
      <c r="AF160" s="244" t="n">
        <f aca="false">'Mix éner %'!AF182</f>
        <v>0</v>
      </c>
      <c r="AG160" s="244" t="n">
        <f aca="false">'Mix éner %'!AG182</f>
        <v>0</v>
      </c>
      <c r="AH160" s="244" t="n">
        <f aca="false">'Mix éner %'!AH182</f>
        <v>0</v>
      </c>
      <c r="AI160" s="244" t="n">
        <f aca="false">'Mix éner %'!AI182</f>
        <v>0.31</v>
      </c>
      <c r="AJ160" s="244" t="n">
        <f aca="false">'Mix éner %'!AJ182</f>
        <v>0</v>
      </c>
      <c r="AK160" s="244" t="n">
        <f aca="false">'Mix éner %'!AK182</f>
        <v>0</v>
      </c>
      <c r="AL160" s="244" t="n">
        <f aca="false">'Mix éner %'!AL182</f>
        <v>0</v>
      </c>
      <c r="AM160" s="244" t="n">
        <f aca="false">'Mix éner %'!AM182</f>
        <v>1</v>
      </c>
    </row>
    <row r="161" customFormat="false" ht="14.5" hidden="false" customHeight="false" outlineLevel="0" collapsed="false">
      <c r="C161" s="211" t="s">
        <v>486</v>
      </c>
      <c r="D161" s="212" t="s">
        <v>498</v>
      </c>
      <c r="E161" s="241" t="n">
        <v>0</v>
      </c>
      <c r="F161" s="241" t="n">
        <v>0</v>
      </c>
      <c r="G161" s="241" t="n">
        <v>0</v>
      </c>
      <c r="H161" s="241" t="n">
        <v>0.38</v>
      </c>
      <c r="I161" s="241" t="n">
        <v>0</v>
      </c>
      <c r="J161" s="241" t="n">
        <v>0</v>
      </c>
      <c r="K161" s="241" t="n">
        <v>0.1</v>
      </c>
      <c r="L161" s="241" t="n">
        <v>0</v>
      </c>
      <c r="M161" s="241" t="n">
        <v>0</v>
      </c>
      <c r="N161" s="241" t="n">
        <v>0</v>
      </c>
      <c r="O161" s="241" t="n">
        <v>0</v>
      </c>
      <c r="P161" s="241" t="n">
        <v>0</v>
      </c>
      <c r="Q161" s="241" t="n">
        <v>0.464176900319556</v>
      </c>
      <c r="R161" s="241" t="n">
        <v>0.0558230996804446</v>
      </c>
      <c r="S161" s="241" t="n">
        <v>0</v>
      </c>
      <c r="T161" s="241" t="n">
        <f aca="false">SUM(E161:S161)</f>
        <v>1</v>
      </c>
      <c r="U161" s="242"/>
      <c r="W161" s="192" t="s">
        <v>483</v>
      </c>
      <c r="X161" s="192" t="s">
        <v>498</v>
      </c>
      <c r="Y161" s="244" t="n">
        <f aca="false">'Mix éner %'!Y186</f>
        <v>0</v>
      </c>
      <c r="Z161" s="244" t="n">
        <f aca="false">'Mix éner %'!Z186</f>
        <v>0</v>
      </c>
      <c r="AA161" s="244" t="n">
        <f aca="false">'Mix éner %'!AA186</f>
        <v>0.01</v>
      </c>
      <c r="AB161" s="244" t="n">
        <f aca="false">'Mix éner %'!AB186</f>
        <v>0.59</v>
      </c>
      <c r="AC161" s="244" t="n">
        <f aca="false">'Mix éner %'!AC186</f>
        <v>0.05</v>
      </c>
      <c r="AD161" s="244" t="n">
        <f aca="false">'Mix éner %'!AD186</f>
        <v>0</v>
      </c>
      <c r="AE161" s="244" t="n">
        <f aca="false">'Mix éner %'!AE186</f>
        <v>0</v>
      </c>
      <c r="AF161" s="244" t="n">
        <f aca="false">'Mix éner %'!AF186</f>
        <v>0</v>
      </c>
      <c r="AG161" s="244" t="n">
        <f aca="false">'Mix éner %'!AG186</f>
        <v>0</v>
      </c>
      <c r="AH161" s="244" t="n">
        <f aca="false">'Mix éner %'!AH186</f>
        <v>0</v>
      </c>
      <c r="AI161" s="244" t="n">
        <f aca="false">'Mix éner %'!AI186</f>
        <v>0.35</v>
      </c>
      <c r="AJ161" s="244" t="n">
        <f aca="false">'Mix éner %'!AJ186</f>
        <v>0</v>
      </c>
      <c r="AK161" s="244" t="n">
        <f aca="false">'Mix éner %'!AK186</f>
        <v>0</v>
      </c>
      <c r="AL161" s="244" t="n">
        <f aca="false">'Mix éner %'!AL186</f>
        <v>0</v>
      </c>
      <c r="AM161" s="244" t="n">
        <f aca="false">'Mix éner %'!AM186</f>
        <v>1</v>
      </c>
    </row>
    <row r="162" customFormat="false" ht="14.5" hidden="false" customHeight="false" outlineLevel="0" collapsed="false">
      <c r="C162" s="209" t="s">
        <v>487</v>
      </c>
      <c r="D162" s="209"/>
      <c r="E162" s="241" t="n">
        <v>0.00931456200227532</v>
      </c>
      <c r="F162" s="241" t="n">
        <v>0</v>
      </c>
      <c r="G162" s="241" t="n">
        <v>0.0134147056032757</v>
      </c>
      <c r="H162" s="241" t="n">
        <v>0.321811793672361</v>
      </c>
      <c r="I162" s="241" t="n">
        <v>0</v>
      </c>
      <c r="J162" s="241" t="n">
        <v>0</v>
      </c>
      <c r="K162" s="255" t="n">
        <v>0.03</v>
      </c>
      <c r="L162" s="241" t="n">
        <v>0</v>
      </c>
      <c r="M162" s="241" t="n">
        <v>0</v>
      </c>
      <c r="N162" s="241" t="n">
        <v>0</v>
      </c>
      <c r="O162" s="241" t="n">
        <v>0</v>
      </c>
      <c r="P162" s="241" t="n">
        <v>0</v>
      </c>
      <c r="Q162" s="255" t="n">
        <v>0.624199220221134</v>
      </c>
      <c r="R162" s="241" t="n">
        <v>0</v>
      </c>
      <c r="S162" s="241" t="n">
        <v>0</v>
      </c>
      <c r="T162" s="241" t="n">
        <f aca="false">SUM(E162:S162)</f>
        <v>0.998740281499046</v>
      </c>
      <c r="U162" s="242"/>
      <c r="W162" s="189" t="s">
        <v>484</v>
      </c>
      <c r="X162" s="189"/>
      <c r="Y162" s="243"/>
      <c r="Z162" s="243"/>
      <c r="AA162" s="243"/>
      <c r="AB162" s="243"/>
      <c r="AC162" s="243"/>
      <c r="AD162" s="243"/>
      <c r="AE162" s="243"/>
      <c r="AF162" s="243"/>
      <c r="AG162" s="243"/>
      <c r="AH162" s="243"/>
      <c r="AI162" s="243"/>
      <c r="AJ162" s="243"/>
      <c r="AK162" s="243"/>
      <c r="AL162" s="243"/>
      <c r="AM162" s="243"/>
    </row>
    <row r="163" customFormat="false" ht="14.5" hidden="false" customHeight="false" outlineLevel="0" collapsed="false">
      <c r="C163" s="248" t="s">
        <v>31</v>
      </c>
      <c r="D163" s="248"/>
      <c r="E163" s="253" t="n">
        <v>0</v>
      </c>
      <c r="F163" s="253" t="n">
        <v>0</v>
      </c>
      <c r="G163" s="241" t="n">
        <v>0.605486610058785</v>
      </c>
      <c r="H163" s="241" t="n">
        <v>0.124951012410189</v>
      </c>
      <c r="I163" s="241" t="n">
        <v>0.0002663172506082</v>
      </c>
      <c r="J163" s="241" t="n">
        <v>0.0002663172506082</v>
      </c>
      <c r="K163" s="241" t="n">
        <v>0.0374265186152841</v>
      </c>
      <c r="L163" s="241" t="n">
        <v>0</v>
      </c>
      <c r="M163" s="241" t="n">
        <v>0</v>
      </c>
      <c r="N163" s="241" t="n">
        <v>0</v>
      </c>
      <c r="O163" s="241" t="n">
        <v>0</v>
      </c>
      <c r="P163" s="241" t="n">
        <v>0</v>
      </c>
      <c r="Q163" s="241" t="n">
        <v>0.232135858915741</v>
      </c>
      <c r="R163" s="241" t="n">
        <v>0.00125971850095424</v>
      </c>
      <c r="S163" s="241" t="n">
        <v>0</v>
      </c>
      <c r="T163" s="241" t="n">
        <f aca="false">SUM(E163:S163)</f>
        <v>1.00179235300217</v>
      </c>
      <c r="U163" s="242"/>
      <c r="W163" s="192" t="s">
        <v>485</v>
      </c>
      <c r="X163" s="192" t="s">
        <v>498</v>
      </c>
      <c r="Y163" s="244" t="n">
        <f aca="false">'Mix éner %'!Y191</f>
        <v>0</v>
      </c>
      <c r="Z163" s="244" t="n">
        <f aca="false">'Mix éner %'!Z191</f>
        <v>0</v>
      </c>
      <c r="AA163" s="244" t="n">
        <f aca="false">'Mix éner %'!AA191</f>
        <v>0.02</v>
      </c>
      <c r="AB163" s="244" t="n">
        <f aca="false">'Mix éner %'!AB191</f>
        <v>0.746</v>
      </c>
      <c r="AC163" s="244" t="n">
        <f aca="false">'Mix éner %'!AC191</f>
        <v>0.05</v>
      </c>
      <c r="AD163" s="244" t="n">
        <f aca="false">'Mix éner %'!AD191</f>
        <v>0</v>
      </c>
      <c r="AE163" s="244" t="n">
        <f aca="false">'Mix éner %'!AE191</f>
        <v>0</v>
      </c>
      <c r="AF163" s="244" t="n">
        <f aca="false">'Mix éner %'!AF191</f>
        <v>0</v>
      </c>
      <c r="AG163" s="244" t="n">
        <f aca="false">'Mix éner %'!AG191</f>
        <v>0</v>
      </c>
      <c r="AH163" s="244" t="n">
        <f aca="false">'Mix éner %'!AH191</f>
        <v>0</v>
      </c>
      <c r="AI163" s="244" t="n">
        <f aca="false">'Mix éner %'!AI191</f>
        <v>0.17477855797826</v>
      </c>
      <c r="AJ163" s="244" t="n">
        <f aca="false">'Mix éner %'!AJ191</f>
        <v>0</v>
      </c>
      <c r="AK163" s="244" t="n">
        <f aca="false">'Mix éner %'!AK191</f>
        <v>0.00946267765311507</v>
      </c>
      <c r="AL163" s="244" t="n">
        <f aca="false">'Mix éner %'!AL191</f>
        <v>0</v>
      </c>
      <c r="AM163" s="244" t="n">
        <f aca="false">'Mix éner %'!AM191</f>
        <v>1.00024123563138</v>
      </c>
    </row>
    <row r="164" customFormat="false" ht="14.5" hidden="false" customHeight="false" outlineLevel="0" collapsed="false">
      <c r="C164" s="209" t="s">
        <v>488</v>
      </c>
      <c r="D164" s="209"/>
      <c r="E164" s="254"/>
      <c r="F164" s="254"/>
      <c r="G164" s="254"/>
      <c r="H164" s="254"/>
      <c r="I164" s="254"/>
      <c r="J164" s="254"/>
      <c r="K164" s="254"/>
      <c r="L164" s="254"/>
      <c r="M164" s="254"/>
      <c r="N164" s="254"/>
      <c r="O164" s="254"/>
      <c r="P164" s="254"/>
      <c r="Q164" s="254"/>
      <c r="R164" s="254"/>
      <c r="S164" s="254"/>
      <c r="T164" s="254"/>
      <c r="U164" s="242"/>
      <c r="W164" s="192" t="s">
        <v>486</v>
      </c>
      <c r="X164" s="192" t="s">
        <v>498</v>
      </c>
      <c r="Y164" s="244" t="n">
        <f aca="false">'Mix éner %'!Y195</f>
        <v>0</v>
      </c>
      <c r="Z164" s="244" t="n">
        <f aca="false">'Mix éner %'!Z195</f>
        <v>0</v>
      </c>
      <c r="AA164" s="244" t="n">
        <f aca="false">'Mix éner %'!AA195</f>
        <v>0</v>
      </c>
      <c r="AB164" s="244" t="n">
        <f aca="false">'Mix éner %'!AB195</f>
        <v>0.38</v>
      </c>
      <c r="AC164" s="244" t="n">
        <f aca="false">'Mix éner %'!AC195</f>
        <v>0.08</v>
      </c>
      <c r="AD164" s="244" t="n">
        <f aca="false">'Mix éner %'!AD195</f>
        <v>0</v>
      </c>
      <c r="AE164" s="244" t="n">
        <f aca="false">'Mix éner %'!AE195</f>
        <v>0</v>
      </c>
      <c r="AF164" s="244" t="n">
        <f aca="false">'Mix éner %'!AF195</f>
        <v>0</v>
      </c>
      <c r="AG164" s="244" t="n">
        <f aca="false">'Mix éner %'!AG195</f>
        <v>0</v>
      </c>
      <c r="AH164" s="244" t="n">
        <f aca="false">'Mix éner %'!AH195</f>
        <v>0</v>
      </c>
      <c r="AI164" s="244" t="n">
        <f aca="false">'Mix éner %'!AI195</f>
        <v>0.484</v>
      </c>
      <c r="AJ164" s="244" t="n">
        <f aca="false">'Mix éner %'!AJ195</f>
        <v>0</v>
      </c>
      <c r="AK164" s="244" t="n">
        <f aca="false">'Mix éner %'!AK195</f>
        <v>0.0558230996804446</v>
      </c>
      <c r="AL164" s="244" t="n">
        <f aca="false">'Mix éner %'!AL195</f>
        <v>0</v>
      </c>
      <c r="AM164" s="244" t="n">
        <f aca="false">'Mix éner %'!AM195</f>
        <v>0.999823099680445</v>
      </c>
    </row>
    <row r="165" customFormat="false" ht="14.5" hidden="false" customHeight="false" outlineLevel="0" collapsed="false">
      <c r="C165" s="211" t="s">
        <v>489</v>
      </c>
      <c r="D165" s="212" t="s">
        <v>498</v>
      </c>
      <c r="E165" s="241" t="n">
        <v>0.000544801762527428</v>
      </c>
      <c r="F165" s="241" t="n">
        <v>0</v>
      </c>
      <c r="G165" s="241" t="n">
        <v>0</v>
      </c>
      <c r="H165" s="241" t="n">
        <v>0.246896529767495</v>
      </c>
      <c r="I165" s="241" t="n">
        <v>0</v>
      </c>
      <c r="J165" s="241" t="n">
        <v>0</v>
      </c>
      <c r="K165" s="241" t="n">
        <v>0.209171776352777</v>
      </c>
      <c r="L165" s="241" t="n">
        <v>0</v>
      </c>
      <c r="M165" s="241" t="n">
        <v>0</v>
      </c>
      <c r="N165" s="241" t="n">
        <v>0</v>
      </c>
      <c r="O165" s="241" t="n">
        <v>0</v>
      </c>
      <c r="P165" s="241" t="n">
        <v>0</v>
      </c>
      <c r="Q165" s="241" t="n">
        <v>0.379299831545867</v>
      </c>
      <c r="R165" s="241" t="n">
        <v>0.164087060571334</v>
      </c>
      <c r="S165" s="241" t="n">
        <v>0</v>
      </c>
      <c r="T165" s="241" t="n">
        <f aca="false">SUM(E165:S165)</f>
        <v>1</v>
      </c>
      <c r="U165" s="242"/>
      <c r="W165" s="189" t="s">
        <v>487</v>
      </c>
      <c r="X165" s="189"/>
      <c r="Y165" s="249" t="n">
        <f aca="false">'Mix éner %'!Y199</f>
        <v>0</v>
      </c>
      <c r="Z165" s="249" t="n">
        <f aca="false">'Mix éner %'!Z199</f>
        <v>0</v>
      </c>
      <c r="AA165" s="249" t="n">
        <f aca="false">'Mix éner %'!AA199</f>
        <v>0.0134147056032757</v>
      </c>
      <c r="AB165" s="249" t="n">
        <f aca="false">'Mix éner %'!AB199</f>
        <v>0.331811793672361</v>
      </c>
      <c r="AC165" s="249" t="n">
        <f aca="false">'Mix éner %'!AC199</f>
        <v>0.03</v>
      </c>
      <c r="AD165" s="249" t="n">
        <f aca="false">'Mix éner %'!AD199</f>
        <v>0</v>
      </c>
      <c r="AE165" s="249" t="n">
        <f aca="false">'Mix éner %'!AE199</f>
        <v>0</v>
      </c>
      <c r="AF165" s="249" t="n">
        <f aca="false">'Mix éner %'!AF199</f>
        <v>0</v>
      </c>
      <c r="AG165" s="249" t="n">
        <f aca="false">'Mix éner %'!AG199</f>
        <v>0</v>
      </c>
      <c r="AH165" s="249" t="n">
        <f aca="false">'Mix éner %'!AH199</f>
        <v>0</v>
      </c>
      <c r="AI165" s="249" t="n">
        <f aca="false">'Mix éner %'!AI199</f>
        <v>0.624199220221134</v>
      </c>
      <c r="AJ165" s="249" t="n">
        <f aca="false">'Mix éner %'!AJ199</f>
        <v>0</v>
      </c>
      <c r="AK165" s="249" t="n">
        <f aca="false">'Mix éner %'!AK199</f>
        <v>0.001</v>
      </c>
      <c r="AL165" s="249" t="n">
        <f aca="false">'Mix éner %'!AL199</f>
        <v>0</v>
      </c>
      <c r="AM165" s="249" t="n">
        <f aca="false">'Mix éner %'!AM199</f>
        <v>1.00042571949677</v>
      </c>
    </row>
    <row r="166" customFormat="false" ht="14.5" hidden="false" customHeight="false" outlineLevel="0" collapsed="false">
      <c r="C166" s="211" t="s">
        <v>490</v>
      </c>
      <c r="D166" s="212" t="s">
        <v>498</v>
      </c>
      <c r="E166" s="241" t="n">
        <v>0</v>
      </c>
      <c r="F166" s="241" t="n">
        <v>0</v>
      </c>
      <c r="G166" s="241" t="n">
        <v>0.04</v>
      </c>
      <c r="H166" s="241" t="n">
        <v>0.310473891680222</v>
      </c>
      <c r="I166" s="241" t="n">
        <v>0</v>
      </c>
      <c r="J166" s="241" t="n">
        <v>0</v>
      </c>
      <c r="K166" s="241" t="n">
        <v>0.06</v>
      </c>
      <c r="L166" s="241" t="n">
        <v>0</v>
      </c>
      <c r="M166" s="241" t="n">
        <v>0</v>
      </c>
      <c r="N166" s="241" t="n">
        <v>0</v>
      </c>
      <c r="O166" s="241" t="n">
        <v>0</v>
      </c>
      <c r="P166" s="241" t="n">
        <v>0</v>
      </c>
      <c r="Q166" s="241" t="n">
        <v>0.57</v>
      </c>
      <c r="R166" s="241" t="n">
        <v>0.0235046397377512</v>
      </c>
      <c r="S166" s="241" t="n">
        <v>0</v>
      </c>
      <c r="T166" s="241" t="n">
        <f aca="false">SUM(E166:S166)</f>
        <v>1.00397853141797</v>
      </c>
      <c r="U166" s="242"/>
      <c r="W166" s="189" t="s">
        <v>31</v>
      </c>
      <c r="X166" s="189"/>
      <c r="Y166" s="249" t="n">
        <f aca="false">'Mix éner %'!Y203</f>
        <v>0</v>
      </c>
      <c r="Z166" s="249" t="n">
        <f aca="false">'Mix éner %'!Z203</f>
        <v>0</v>
      </c>
      <c r="AA166" s="249" t="n">
        <f aca="false">'Mix éner %'!AA203</f>
        <v>0.605486610058785</v>
      </c>
      <c r="AB166" s="249" t="n">
        <f aca="false">'Mix éner %'!AB203</f>
        <v>0.124951012410189</v>
      </c>
      <c r="AC166" s="249" t="n">
        <f aca="false">'Mix éner %'!AC203</f>
        <v>0.0374265186152841</v>
      </c>
      <c r="AD166" s="249" t="n">
        <f aca="false">'Mix éner %'!AD203</f>
        <v>0</v>
      </c>
      <c r="AE166" s="249" t="n">
        <f aca="false">'Mix éner %'!AE203</f>
        <v>0</v>
      </c>
      <c r="AF166" s="249" t="n">
        <f aca="false">'Mix éner %'!AF203</f>
        <v>0</v>
      </c>
      <c r="AG166" s="249" t="n">
        <f aca="false">'Mix éner %'!AG203</f>
        <v>0</v>
      </c>
      <c r="AH166" s="249" t="n">
        <f aca="false">'Mix éner %'!AH203</f>
        <v>0</v>
      </c>
      <c r="AI166" s="249" t="n">
        <f aca="false">'Mix éner %'!AI203</f>
        <v>0.232135858915741</v>
      </c>
      <c r="AJ166" s="249" t="n">
        <f aca="false">'Mix éner %'!AJ203</f>
        <v>0</v>
      </c>
      <c r="AK166" s="249" t="n">
        <f aca="false">'Mix éner %'!AK203</f>
        <v>0</v>
      </c>
      <c r="AL166" s="249" t="n">
        <f aca="false">'Mix éner %'!AL203</f>
        <v>0</v>
      </c>
      <c r="AM166" s="249" t="n">
        <f aca="false">'Mix éner %'!AM203</f>
        <v>0.999999999999999</v>
      </c>
    </row>
    <row r="167" customFormat="false" ht="14.5" hidden="false" customHeight="false" outlineLevel="0" collapsed="false">
      <c r="W167" s="189" t="s">
        <v>488</v>
      </c>
      <c r="X167" s="189"/>
      <c r="Y167" s="243"/>
      <c r="Z167" s="243"/>
      <c r="AA167" s="243"/>
      <c r="AB167" s="243"/>
      <c r="AC167" s="243"/>
      <c r="AD167" s="243"/>
      <c r="AE167" s="243"/>
      <c r="AF167" s="243"/>
      <c r="AG167" s="243"/>
      <c r="AH167" s="243"/>
      <c r="AI167" s="243"/>
      <c r="AJ167" s="243"/>
      <c r="AK167" s="243"/>
      <c r="AL167" s="243"/>
      <c r="AM167" s="243"/>
    </row>
    <row r="168" customFormat="false" ht="14.5" hidden="false" customHeight="false" outlineLevel="0" collapsed="false">
      <c r="W168" s="192" t="s">
        <v>489</v>
      </c>
      <c r="X168" s="192" t="s">
        <v>498</v>
      </c>
      <c r="Y168" s="244" t="n">
        <f aca="false">'Mix éner %'!Y208</f>
        <v>0</v>
      </c>
      <c r="Z168" s="244" t="n">
        <f aca="false">'Mix éner %'!Z208</f>
        <v>0</v>
      </c>
      <c r="AA168" s="244" t="n">
        <f aca="false">'Mix éner %'!AA208</f>
        <v>0</v>
      </c>
      <c r="AB168" s="244" t="n">
        <f aca="false">'Mix éner %'!AB208</f>
        <v>0.25</v>
      </c>
      <c r="AC168" s="244" t="n">
        <f aca="false">'Mix éner %'!AC208</f>
        <v>0.29</v>
      </c>
      <c r="AD168" s="244" t="n">
        <f aca="false">'Mix éner %'!AD208</f>
        <v>0.04</v>
      </c>
      <c r="AE168" s="244" t="n">
        <f aca="false">'Mix éner %'!AE208</f>
        <v>0</v>
      </c>
      <c r="AF168" s="244" t="n">
        <f aca="false">'Mix éner %'!AF208</f>
        <v>0</v>
      </c>
      <c r="AG168" s="244" t="n">
        <f aca="false">'Mix éner %'!AG208</f>
        <v>0</v>
      </c>
      <c r="AH168" s="244" t="n">
        <f aca="false">'Mix éner %'!AH208</f>
        <v>0</v>
      </c>
      <c r="AI168" s="244" t="n">
        <f aca="false">'Mix éner %'!AI208</f>
        <v>0.29</v>
      </c>
      <c r="AJ168" s="244" t="n">
        <f aca="false">'Mix éner %'!AJ208</f>
        <v>0</v>
      </c>
      <c r="AK168" s="244" t="n">
        <f aca="false">'Mix éner %'!AK208</f>
        <v>0.13</v>
      </c>
      <c r="AL168" s="244" t="n">
        <f aca="false">'Mix éner %'!AL208</f>
        <v>0</v>
      </c>
      <c r="AM168" s="244" t="n">
        <f aca="false">'Mix éner %'!AM208</f>
        <v>1</v>
      </c>
    </row>
    <row r="169" customFormat="false" ht="14.5" hidden="false" customHeight="false" outlineLevel="0" collapsed="false">
      <c r="W169" s="192" t="s">
        <v>490</v>
      </c>
      <c r="X169" s="192" t="s">
        <v>498</v>
      </c>
      <c r="Y169" s="244" t="n">
        <f aca="false">'Mix éner %'!Y212</f>
        <v>0</v>
      </c>
      <c r="Z169" s="244" t="n">
        <f aca="false">'Mix éner %'!Z212</f>
        <v>0</v>
      </c>
      <c r="AA169" s="244" t="n">
        <f aca="false">'Mix éner %'!AA212</f>
        <v>0.036</v>
      </c>
      <c r="AB169" s="244" t="n">
        <f aca="false">'Mix éner %'!AB212</f>
        <v>0.310473891680222</v>
      </c>
      <c r="AC169" s="244" t="n">
        <f aca="false">'Mix éner %'!AC212</f>
        <v>0.06</v>
      </c>
      <c r="AD169" s="244" t="n">
        <f aca="false">'Mix éner %'!AD212</f>
        <v>0</v>
      </c>
      <c r="AE169" s="244" t="n">
        <f aca="false">'Mix éner %'!AE212</f>
        <v>0</v>
      </c>
      <c r="AF169" s="244" t="n">
        <f aca="false">'Mix éner %'!AF212</f>
        <v>0</v>
      </c>
      <c r="AG169" s="244" t="n">
        <f aca="false">'Mix éner %'!AG212</f>
        <v>0</v>
      </c>
      <c r="AH169" s="244" t="n">
        <f aca="false">'Mix éner %'!AH212</f>
        <v>0</v>
      </c>
      <c r="AI169" s="244" t="n">
        <f aca="false">'Mix éner %'!AI212</f>
        <v>0.57</v>
      </c>
      <c r="AJ169" s="244" t="n">
        <f aca="false">'Mix éner %'!AJ212</f>
        <v>0</v>
      </c>
      <c r="AK169" s="244" t="n">
        <f aca="false">'Mix éner %'!AK212</f>
        <v>0.0235046397377512</v>
      </c>
      <c r="AL169" s="244" t="n">
        <f aca="false">'Mix éner %'!AL212</f>
        <v>0</v>
      </c>
      <c r="AM169" s="244" t="n">
        <f aca="false">'Mix éner %'!AM212</f>
        <v>0.999978531417973</v>
      </c>
    </row>
  </sheetData>
  <mergeCells count="225">
    <mergeCell ref="C2:J2"/>
    <mergeCell ref="C4:AN4"/>
    <mergeCell ref="C10:R10"/>
    <mergeCell ref="W10:AM10"/>
    <mergeCell ref="C11:D12"/>
    <mergeCell ref="E11:E12"/>
    <mergeCell ref="F11:F12"/>
    <mergeCell ref="G11:G12"/>
    <mergeCell ref="H11:H12"/>
    <mergeCell ref="I11:L11"/>
    <mergeCell ref="M11:M12"/>
    <mergeCell ref="N11:N12"/>
    <mergeCell ref="O11:O12"/>
    <mergeCell ref="P11:P12"/>
    <mergeCell ref="R11:R12"/>
    <mergeCell ref="W11:X12"/>
    <mergeCell ref="Y11:Y12"/>
    <mergeCell ref="AA11:AA12"/>
    <mergeCell ref="AB11:AB12"/>
    <mergeCell ref="AC11:AF11"/>
    <mergeCell ref="AG11:AG12"/>
    <mergeCell ref="AH11:AH12"/>
    <mergeCell ref="AI11:AI12"/>
    <mergeCell ref="AK11:AK12"/>
    <mergeCell ref="AM11:AM12"/>
    <mergeCell ref="AS11:AT11"/>
    <mergeCell ref="AU11:AV11"/>
    <mergeCell ref="C13:D13"/>
    <mergeCell ref="W13:X13"/>
    <mergeCell ref="AQ13:AR13"/>
    <mergeCell ref="C21:D21"/>
    <mergeCell ref="W21:X21"/>
    <mergeCell ref="AQ21:AR21"/>
    <mergeCell ref="C25:D25"/>
    <mergeCell ref="W25:X25"/>
    <mergeCell ref="AQ25:AR25"/>
    <mergeCell ref="C29:D29"/>
    <mergeCell ref="W29:X29"/>
    <mergeCell ref="AQ29:AR29"/>
    <mergeCell ref="C32:D32"/>
    <mergeCell ref="W32:X32"/>
    <mergeCell ref="AQ32:AR32"/>
    <mergeCell ref="C33:D33"/>
    <mergeCell ref="W33:X33"/>
    <mergeCell ref="AQ33:AR33"/>
    <mergeCell ref="C34:D34"/>
    <mergeCell ref="W34:X34"/>
    <mergeCell ref="AQ34:AR34"/>
    <mergeCell ref="C37:D37"/>
    <mergeCell ref="W37:X37"/>
    <mergeCell ref="AQ37:AR37"/>
    <mergeCell ref="C41:AN41"/>
    <mergeCell ref="C45:T45"/>
    <mergeCell ref="W45:AM45"/>
    <mergeCell ref="C46:D46"/>
    <mergeCell ref="E46:E47"/>
    <mergeCell ref="F46:F47"/>
    <mergeCell ref="G46:G47"/>
    <mergeCell ref="H46:H47"/>
    <mergeCell ref="I46:I47"/>
    <mergeCell ref="J46:J47"/>
    <mergeCell ref="K46:P46"/>
    <mergeCell ref="Q46:Q47"/>
    <mergeCell ref="R46:R47"/>
    <mergeCell ref="S46:S47"/>
    <mergeCell ref="T46:T47"/>
    <mergeCell ref="W46:X47"/>
    <mergeCell ref="Y46:Y47"/>
    <mergeCell ref="AA46:AA47"/>
    <mergeCell ref="AB46:AB47"/>
    <mergeCell ref="AC46:AF46"/>
    <mergeCell ref="AG46:AG47"/>
    <mergeCell ref="AH46:AH47"/>
    <mergeCell ref="AI46:AI47"/>
    <mergeCell ref="AK46:AK47"/>
    <mergeCell ref="AM46:AM47"/>
    <mergeCell ref="C47:D47"/>
    <mergeCell ref="W48:X48"/>
    <mergeCell ref="Y48:AM48"/>
    <mergeCell ref="C54:D54"/>
    <mergeCell ref="W56:X56"/>
    <mergeCell ref="Y56:AM56"/>
    <mergeCell ref="C58:D58"/>
    <mergeCell ref="W60:X60"/>
    <mergeCell ref="Y60:AM60"/>
    <mergeCell ref="C62:D62"/>
    <mergeCell ref="W64:X64"/>
    <mergeCell ref="Y64:AM64"/>
    <mergeCell ref="C65:D65"/>
    <mergeCell ref="C66:D66"/>
    <mergeCell ref="C67:D67"/>
    <mergeCell ref="W67:X67"/>
    <mergeCell ref="W68:X68"/>
    <mergeCell ref="W69:X69"/>
    <mergeCell ref="Y69:AM69"/>
    <mergeCell ref="C75:T75"/>
    <mergeCell ref="W75:AM75"/>
    <mergeCell ref="C76:D76"/>
    <mergeCell ref="E76:E77"/>
    <mergeCell ref="F76:F77"/>
    <mergeCell ref="G76:G77"/>
    <mergeCell ref="H76:H77"/>
    <mergeCell ref="I76:I77"/>
    <mergeCell ref="J76:J77"/>
    <mergeCell ref="K76:P76"/>
    <mergeCell ref="Q76:Q77"/>
    <mergeCell ref="R76:R77"/>
    <mergeCell ref="S76:S77"/>
    <mergeCell ref="T76:T77"/>
    <mergeCell ref="W76:X77"/>
    <mergeCell ref="Y76:Y77"/>
    <mergeCell ref="AA76:AA77"/>
    <mergeCell ref="AB76:AB77"/>
    <mergeCell ref="AC76:AF76"/>
    <mergeCell ref="AG76:AG77"/>
    <mergeCell ref="AH76:AH77"/>
    <mergeCell ref="AI76:AI77"/>
    <mergeCell ref="AK76:AK77"/>
    <mergeCell ref="AM76:AM77"/>
    <mergeCell ref="C77:D77"/>
    <mergeCell ref="W78:X78"/>
    <mergeCell ref="Y78:AM78"/>
    <mergeCell ref="C84:D84"/>
    <mergeCell ref="W86:X86"/>
    <mergeCell ref="Y86:AM86"/>
    <mergeCell ref="C88:D88"/>
    <mergeCell ref="W90:X90"/>
    <mergeCell ref="Y90:AM90"/>
    <mergeCell ref="C92:D92"/>
    <mergeCell ref="W94:X94"/>
    <mergeCell ref="Y94:AM94"/>
    <mergeCell ref="C95:D95"/>
    <mergeCell ref="C96:D96"/>
    <mergeCell ref="C97:D97"/>
    <mergeCell ref="W97:X97"/>
    <mergeCell ref="W98:X98"/>
    <mergeCell ref="W99:X99"/>
    <mergeCell ref="Y99:AM99"/>
    <mergeCell ref="C108:AN108"/>
    <mergeCell ref="C112:T112"/>
    <mergeCell ref="C113:D113"/>
    <mergeCell ref="E113:E114"/>
    <mergeCell ref="F113:F114"/>
    <mergeCell ref="G113:G114"/>
    <mergeCell ref="H113:H114"/>
    <mergeCell ref="I113:I114"/>
    <mergeCell ref="J113:J114"/>
    <mergeCell ref="K113:P113"/>
    <mergeCell ref="Q113:Q114"/>
    <mergeCell ref="R113:R114"/>
    <mergeCell ref="S113:S114"/>
    <mergeCell ref="T113:T114"/>
    <mergeCell ref="W113:AM113"/>
    <mergeCell ref="C114:D114"/>
    <mergeCell ref="W114:X115"/>
    <mergeCell ref="Y114:Y115"/>
    <mergeCell ref="AA114:AA115"/>
    <mergeCell ref="AB114:AB115"/>
    <mergeCell ref="AC114:AF114"/>
    <mergeCell ref="AG114:AG115"/>
    <mergeCell ref="AH114:AH115"/>
    <mergeCell ref="AI114:AI115"/>
    <mergeCell ref="AK114:AK115"/>
    <mergeCell ref="AM114:AM115"/>
    <mergeCell ref="W116:X116"/>
    <mergeCell ref="Y116:AM116"/>
    <mergeCell ref="C121:D121"/>
    <mergeCell ref="W124:X124"/>
    <mergeCell ref="Y124:AM124"/>
    <mergeCell ref="C125:D125"/>
    <mergeCell ref="W128:X128"/>
    <mergeCell ref="Y128:AM128"/>
    <mergeCell ref="C129:D129"/>
    <mergeCell ref="C132:D132"/>
    <mergeCell ref="W132:X132"/>
    <mergeCell ref="Y132:AM132"/>
    <mergeCell ref="C133:D133"/>
    <mergeCell ref="C134:D134"/>
    <mergeCell ref="W135:X135"/>
    <mergeCell ref="W136:X136"/>
    <mergeCell ref="W137:X137"/>
    <mergeCell ref="Y137:AM137"/>
    <mergeCell ref="C142:T142"/>
    <mergeCell ref="C143:D143"/>
    <mergeCell ref="E143:E144"/>
    <mergeCell ref="F143:F144"/>
    <mergeCell ref="G143:G144"/>
    <mergeCell ref="H143:H144"/>
    <mergeCell ref="I143:I144"/>
    <mergeCell ref="J143:J144"/>
    <mergeCell ref="K143:P143"/>
    <mergeCell ref="Q143:Q144"/>
    <mergeCell ref="R143:R144"/>
    <mergeCell ref="S143:S144"/>
    <mergeCell ref="T143:T144"/>
    <mergeCell ref="W143:AM143"/>
    <mergeCell ref="C144:D144"/>
    <mergeCell ref="W144:X145"/>
    <mergeCell ref="Y144:Y145"/>
    <mergeCell ref="AA144:AA145"/>
    <mergeCell ref="AB144:AB145"/>
    <mergeCell ref="AC144:AF144"/>
    <mergeCell ref="AG144:AG145"/>
    <mergeCell ref="AH144:AH145"/>
    <mergeCell ref="AI144:AI145"/>
    <mergeCell ref="AK144:AK145"/>
    <mergeCell ref="AM144:AM145"/>
    <mergeCell ref="W146:X146"/>
    <mergeCell ref="Y146:AM146"/>
    <mergeCell ref="C151:D151"/>
    <mergeCell ref="W154:X154"/>
    <mergeCell ref="Y154:AM154"/>
    <mergeCell ref="C155:D155"/>
    <mergeCell ref="W158:X158"/>
    <mergeCell ref="Y158:AM158"/>
    <mergeCell ref="C159:D159"/>
    <mergeCell ref="C162:D162"/>
    <mergeCell ref="W162:X162"/>
    <mergeCell ref="Y162:AM162"/>
    <mergeCell ref="C163:D163"/>
    <mergeCell ref="C164:D164"/>
    <mergeCell ref="W165:X165"/>
    <mergeCell ref="W166:X166"/>
    <mergeCell ref="W167:X167"/>
    <mergeCell ref="Y167:AM167"/>
  </mergeCells>
  <hyperlinks>
    <hyperlink ref="AN15" r:id="rId1" display="https://www.mdpi.com/1996-1073/14/16/515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2A6099"/>
    <pageSetUpPr fitToPage="false"/>
  </sheetPr>
  <dimension ref="B7:AE129"/>
  <sheetViews>
    <sheetView showFormulas="false" showGridLines="true" showRowColHeaders="true" showZeros="true" rightToLeft="false" tabSelected="false" showOutlineSymbols="true" defaultGridColor="true" view="normal" topLeftCell="A106" colorId="64" zoomScale="81" zoomScaleNormal="81" zoomScalePageLayoutView="100" workbookViewId="0">
      <selection pane="topLeft" activeCell="D112" activeCellId="0" sqref="D112"/>
    </sheetView>
  </sheetViews>
  <sheetFormatPr defaultRowHeight="14.5" zeroHeight="false" outlineLevelRow="0" outlineLevelCol="0"/>
  <cols>
    <col collapsed="false" customWidth="true" hidden="false" outlineLevel="0" max="1" min="1" style="1" width="8.45"/>
    <col collapsed="false" customWidth="true" hidden="false" outlineLevel="0" max="2" min="2" style="1" width="41.45"/>
    <col collapsed="false" customWidth="true" hidden="false" outlineLevel="0" max="4" min="3" style="1" width="11.18"/>
    <col collapsed="false" customWidth="true" hidden="false" outlineLevel="0" max="5" min="5" style="1" width="12.27"/>
    <col collapsed="false" customWidth="true" hidden="false" outlineLevel="0" max="6" min="6" style="1" width="13.55"/>
    <col collapsed="false" customWidth="true" hidden="false" outlineLevel="0" max="7" min="7" style="1" width="13.17"/>
    <col collapsed="false" customWidth="true" hidden="false" outlineLevel="0" max="9" min="8" style="1" width="11.72"/>
    <col collapsed="false" customWidth="true" hidden="false" outlineLevel="0" max="10" min="10" style="1" width="16.18"/>
    <col collapsed="false" customWidth="true" hidden="false" outlineLevel="0" max="11" min="11" style="1" width="11.72"/>
    <col collapsed="false" customWidth="true" hidden="false" outlineLevel="0" max="12" min="12" style="1" width="11.84"/>
    <col collapsed="false" customWidth="true" hidden="false" outlineLevel="0" max="13" min="13" style="1" width="24.18"/>
    <col collapsed="false" customWidth="true" hidden="false" outlineLevel="0" max="15" min="14" style="1" width="11.27"/>
    <col collapsed="false" customWidth="true" hidden="false" outlineLevel="0" max="17" min="16" style="1" width="8.45"/>
    <col collapsed="false" customWidth="true" hidden="false" outlineLevel="0" max="18" min="18" style="1" width="19.46"/>
    <col collapsed="false" customWidth="true" hidden="false" outlineLevel="0" max="23" min="19" style="1" width="8.45"/>
    <col collapsed="false" customWidth="true" hidden="false" outlineLevel="0" max="24" min="24" style="1" width="12.44"/>
    <col collapsed="false" customWidth="true" hidden="false" outlineLevel="0" max="1025" min="25" style="1" width="8.45"/>
  </cols>
  <sheetData>
    <row r="7" customFormat="false" ht="14.5" hidden="false" customHeight="false" outlineLevel="0" collapsed="false">
      <c r="B7" s="256" t="s">
        <v>543</v>
      </c>
    </row>
    <row r="8" customFormat="false" ht="13.9" hidden="false" customHeight="true" outlineLevel="0" collapsed="false"/>
    <row r="9" customFormat="false" ht="31.9" hidden="false" customHeight="true" outlineLevel="0" collapsed="false">
      <c r="B9" s="257" t="s">
        <v>458</v>
      </c>
      <c r="C9" s="257"/>
      <c r="D9" s="258" t="s">
        <v>3</v>
      </c>
      <c r="E9" s="258"/>
      <c r="F9" s="258"/>
      <c r="G9" s="258"/>
      <c r="H9" s="259" t="s">
        <v>4</v>
      </c>
      <c r="I9" s="259"/>
      <c r="J9" s="259"/>
      <c r="K9" s="259"/>
    </row>
    <row r="10" customFormat="false" ht="14.5" hidden="false" customHeight="false" outlineLevel="0" collapsed="false">
      <c r="B10" s="257"/>
      <c r="C10" s="257"/>
      <c r="D10" s="205" t="n">
        <v>2025</v>
      </c>
      <c r="E10" s="205" t="n">
        <v>2030</v>
      </c>
      <c r="F10" s="205" t="n">
        <v>2040</v>
      </c>
      <c r="G10" s="205" t="n">
        <v>2050</v>
      </c>
      <c r="H10" s="205" t="n">
        <v>2025</v>
      </c>
      <c r="I10" s="205" t="n">
        <v>2030</v>
      </c>
      <c r="J10" s="205" t="n">
        <v>2040</v>
      </c>
      <c r="K10" s="205" t="n">
        <v>2050</v>
      </c>
      <c r="L10" s="1" t="s">
        <v>544</v>
      </c>
    </row>
    <row r="11" customFormat="false" ht="14.5" hidden="false" customHeight="false" outlineLevel="0" collapsed="false">
      <c r="B11" s="248" t="s">
        <v>24</v>
      </c>
      <c r="C11" s="248"/>
      <c r="D11" s="260"/>
      <c r="E11" s="260"/>
      <c r="F11" s="260"/>
      <c r="G11" s="260"/>
      <c r="H11" s="260"/>
      <c r="I11" s="260"/>
      <c r="J11" s="260"/>
      <c r="K11" s="260"/>
      <c r="L11" s="1" t="s">
        <v>545</v>
      </c>
    </row>
    <row r="12" customFormat="false" ht="14.5" hidden="false" customHeight="false" outlineLevel="0" collapsed="false">
      <c r="B12" s="261" t="s">
        <v>461</v>
      </c>
      <c r="C12" s="261"/>
      <c r="D12" s="262" t="n">
        <v>0.956987799375305</v>
      </c>
      <c r="E12" s="262" t="n">
        <v>0.917113307734668</v>
      </c>
      <c r="F12" s="262"/>
      <c r="G12" s="262" t="n">
        <v>0.887207439004189</v>
      </c>
      <c r="H12" s="262"/>
      <c r="I12" s="262"/>
      <c r="J12" s="262"/>
      <c r="K12" s="262" t="n">
        <v>0.7</v>
      </c>
      <c r="L12" s="1" t="s">
        <v>546</v>
      </c>
    </row>
    <row r="13" customFormat="false" ht="14.5" hidden="false" customHeight="false" outlineLevel="0" collapsed="false">
      <c r="B13" s="261" t="s">
        <v>464</v>
      </c>
      <c r="C13" s="261"/>
      <c r="D13" s="262" t="n">
        <v>0.961290322580645</v>
      </c>
      <c r="E13" s="262" t="n">
        <v>0.929032258064516</v>
      </c>
      <c r="F13" s="262"/>
      <c r="G13" s="262" t="n">
        <v>0.8</v>
      </c>
      <c r="H13" s="262"/>
      <c r="I13" s="262"/>
      <c r="J13" s="262"/>
      <c r="K13" s="262" t="n">
        <v>0.8</v>
      </c>
    </row>
    <row r="14" customFormat="false" ht="14.5" hidden="false" customHeight="false" outlineLevel="0" collapsed="false">
      <c r="B14" s="261" t="s">
        <v>466</v>
      </c>
      <c r="C14" s="261"/>
      <c r="D14" s="262" t="n">
        <v>1</v>
      </c>
      <c r="E14" s="262" t="n">
        <v>1</v>
      </c>
      <c r="F14" s="262"/>
      <c r="G14" s="262" t="n">
        <v>1</v>
      </c>
      <c r="H14" s="262" t="n">
        <v>1</v>
      </c>
      <c r="I14" s="262" t="n">
        <v>1</v>
      </c>
      <c r="J14" s="262"/>
      <c r="K14" s="262" t="n">
        <v>1</v>
      </c>
    </row>
    <row r="15" customFormat="false" ht="14.5" hidden="false" customHeight="false" outlineLevel="0" collapsed="false">
      <c r="B15" s="261" t="s">
        <v>547</v>
      </c>
      <c r="C15" s="261"/>
      <c r="D15" s="262" t="n">
        <v>0.986451612903226</v>
      </c>
      <c r="E15" s="262" t="n">
        <v>0.975161290322581</v>
      </c>
      <c r="F15" s="262"/>
      <c r="G15" s="262" t="n">
        <v>0.93</v>
      </c>
      <c r="H15" s="262"/>
      <c r="I15" s="262" t="n">
        <v>0.89</v>
      </c>
      <c r="J15" s="262"/>
      <c r="K15" s="262" t="n">
        <v>0.82</v>
      </c>
    </row>
    <row r="16" customFormat="false" ht="14.5" hidden="false" customHeight="false" outlineLevel="0" collapsed="false">
      <c r="B16" s="261" t="s">
        <v>548</v>
      </c>
      <c r="C16" s="261"/>
      <c r="D16" s="262" t="n">
        <v>1</v>
      </c>
      <c r="E16" s="262" t="n">
        <v>1</v>
      </c>
      <c r="F16" s="262"/>
      <c r="G16" s="262" t="n">
        <v>1</v>
      </c>
      <c r="H16" s="262"/>
      <c r="I16" s="262" t="n">
        <v>0.89</v>
      </c>
      <c r="J16" s="262"/>
      <c r="K16" s="262" t="n">
        <v>0.82</v>
      </c>
      <c r="L16" s="1" t="s">
        <v>549</v>
      </c>
    </row>
    <row r="17" customFormat="false" ht="14.5" hidden="false" customHeight="false" outlineLevel="0" collapsed="false">
      <c r="B17" s="261" t="s">
        <v>473</v>
      </c>
      <c r="C17" s="261"/>
      <c r="D17" s="262" t="n">
        <v>0.973919515280575</v>
      </c>
      <c r="E17" s="262" t="n">
        <v>0.964081944419154</v>
      </c>
      <c r="F17" s="262"/>
      <c r="G17" s="262" t="n">
        <v>0.954244373557735</v>
      </c>
      <c r="H17" s="262" t="n">
        <v>0.965</v>
      </c>
      <c r="I17" s="262" t="n">
        <v>0.93</v>
      </c>
      <c r="J17" s="262"/>
      <c r="K17" s="262" t="n">
        <v>0.85</v>
      </c>
    </row>
    <row r="18" customFormat="false" ht="14.5" hidden="false" customHeight="false" outlineLevel="0" collapsed="false">
      <c r="B18" s="248" t="s">
        <v>25</v>
      </c>
      <c r="C18" s="248"/>
      <c r="D18" s="260"/>
      <c r="E18" s="260"/>
      <c r="F18" s="260"/>
      <c r="G18" s="260"/>
      <c r="H18" s="260"/>
      <c r="I18" s="260"/>
      <c r="J18" s="260"/>
      <c r="K18" s="260"/>
    </row>
    <row r="19" customFormat="false" ht="14.5" hidden="false" customHeight="false" outlineLevel="0" collapsed="false">
      <c r="B19" s="261" t="s">
        <v>475</v>
      </c>
      <c r="C19" s="261"/>
      <c r="D19" s="262" t="n">
        <v>0.96</v>
      </c>
      <c r="E19" s="262" t="n">
        <v>0.92</v>
      </c>
      <c r="F19" s="262"/>
      <c r="G19" s="262" t="n">
        <v>0.9</v>
      </c>
      <c r="H19" s="262"/>
      <c r="I19" s="262" t="n">
        <v>0.91</v>
      </c>
      <c r="J19" s="262"/>
      <c r="K19" s="262" t="n">
        <v>0.8</v>
      </c>
    </row>
    <row r="20" customFormat="false" ht="14.5" hidden="false" customHeight="false" outlineLevel="0" collapsed="false">
      <c r="B20" s="261" t="s">
        <v>476</v>
      </c>
      <c r="C20" s="261"/>
      <c r="D20" s="262" t="n">
        <v>0.90956065615246</v>
      </c>
      <c r="E20" s="262" t="n">
        <v>0.832814624214718</v>
      </c>
      <c r="F20" s="262"/>
      <c r="G20" s="262" t="n">
        <v>0.824228906439308</v>
      </c>
      <c r="H20" s="262" t="n">
        <v>0.901685520361991</v>
      </c>
      <c r="I20" s="262" t="n">
        <v>0.807963800904977</v>
      </c>
      <c r="J20" s="262"/>
      <c r="K20" s="262" t="n">
        <v>0.738461538461539</v>
      </c>
      <c r="L20" s="1" t="s">
        <v>550</v>
      </c>
    </row>
    <row r="21" customFormat="false" ht="14.5" hidden="false" customHeight="false" outlineLevel="0" collapsed="false">
      <c r="B21" s="261" t="s">
        <v>479</v>
      </c>
      <c r="C21" s="261"/>
      <c r="D21" s="262" t="n">
        <v>0.955065466069058</v>
      </c>
      <c r="E21" s="262" t="n">
        <v>0.930576607964723</v>
      </c>
      <c r="F21" s="262"/>
      <c r="G21" s="262" t="n">
        <v>0.92078106472299</v>
      </c>
      <c r="H21" s="262" t="n">
        <v>0.92</v>
      </c>
      <c r="I21" s="262" t="n">
        <v>0.84</v>
      </c>
      <c r="J21" s="262"/>
      <c r="K21" s="262" t="n">
        <v>0.67</v>
      </c>
    </row>
    <row r="22" customFormat="false" ht="14.5" hidden="false" customHeight="false" outlineLevel="0" collapsed="false">
      <c r="B22" s="248" t="s">
        <v>480</v>
      </c>
      <c r="C22" s="248"/>
      <c r="D22" s="260"/>
      <c r="E22" s="260"/>
      <c r="F22" s="260"/>
      <c r="G22" s="260"/>
      <c r="H22" s="260"/>
      <c r="I22" s="260"/>
      <c r="J22" s="260"/>
      <c r="K22" s="260"/>
    </row>
    <row r="23" customFormat="false" ht="14.5" hidden="false" customHeight="false" outlineLevel="0" collapsed="false">
      <c r="B23" s="261" t="s">
        <v>551</v>
      </c>
      <c r="C23" s="261"/>
      <c r="D23" s="262"/>
      <c r="E23" s="262" t="n">
        <v>0.96</v>
      </c>
      <c r="F23" s="262"/>
      <c r="G23" s="262" t="n">
        <v>0.96</v>
      </c>
      <c r="H23" s="262"/>
      <c r="I23" s="262"/>
      <c r="J23" s="262"/>
      <c r="K23" s="262" t="n">
        <v>0.92</v>
      </c>
      <c r="L23" s="1" t="s">
        <v>552</v>
      </c>
    </row>
    <row r="24" customFormat="false" ht="14.5" hidden="false" customHeight="false" outlineLevel="0" collapsed="false">
      <c r="B24" s="261" t="s">
        <v>482</v>
      </c>
      <c r="C24" s="261"/>
      <c r="D24" s="262" t="n">
        <v>0.950939217087698</v>
      </c>
      <c r="E24" s="262" t="n">
        <v>0.906130562879377</v>
      </c>
      <c r="F24" s="262"/>
      <c r="G24" s="262" t="n">
        <v>0.856343169314576</v>
      </c>
      <c r="H24" s="262"/>
      <c r="I24" s="262" t="n">
        <v>0.865416523297491</v>
      </c>
      <c r="J24" s="262"/>
      <c r="K24" s="262" t="n">
        <v>0.741605734767025</v>
      </c>
      <c r="L24" s="1" t="s">
        <v>553</v>
      </c>
    </row>
    <row r="25" customFormat="false" ht="14.5" hidden="false" customHeight="false" outlineLevel="0" collapsed="false">
      <c r="B25" s="261" t="s">
        <v>483</v>
      </c>
      <c r="C25" s="261"/>
      <c r="D25" s="262" t="n">
        <v>0.966243550225978</v>
      </c>
      <c r="E25" s="262" t="n">
        <v>0.941468074579157</v>
      </c>
      <c r="F25" s="262"/>
      <c r="G25" s="262" t="n">
        <v>0.931557884320429</v>
      </c>
      <c r="H25" s="262" t="n">
        <v>0.955</v>
      </c>
      <c r="I25" s="262" t="n">
        <v>0.91</v>
      </c>
      <c r="J25" s="262"/>
      <c r="K25" s="262" t="n">
        <v>0.8</v>
      </c>
    </row>
    <row r="26" customFormat="false" ht="14.5" hidden="false" customHeight="false" outlineLevel="0" collapsed="false">
      <c r="B26" s="248" t="s">
        <v>554</v>
      </c>
      <c r="C26" s="248"/>
      <c r="D26" s="263"/>
      <c r="E26" s="260"/>
      <c r="F26" s="260"/>
      <c r="G26" s="260"/>
      <c r="H26" s="260"/>
      <c r="I26" s="260"/>
      <c r="J26" s="260"/>
      <c r="K26" s="260"/>
    </row>
    <row r="27" customFormat="false" ht="14.5" hidden="false" customHeight="false" outlineLevel="0" collapsed="false">
      <c r="B27" s="261" t="s">
        <v>555</v>
      </c>
      <c r="C27" s="261"/>
      <c r="D27" s="262" t="n">
        <v>0.925092234572599</v>
      </c>
      <c r="E27" s="262" t="n">
        <v>0.860781009709263</v>
      </c>
      <c r="F27" s="262"/>
      <c r="G27" s="262" t="n">
        <v>0.831098905926186</v>
      </c>
      <c r="H27" s="262"/>
      <c r="I27" s="262" t="n">
        <v>0.88</v>
      </c>
      <c r="J27" s="262"/>
      <c r="K27" s="262" t="n">
        <v>0.74</v>
      </c>
    </row>
    <row r="28" customFormat="false" ht="14.5" hidden="false" customHeight="false" outlineLevel="0" collapsed="false">
      <c r="B28" s="261" t="s">
        <v>556</v>
      </c>
      <c r="C28" s="261"/>
      <c r="D28" s="262" t="n">
        <v>0.944058695642925</v>
      </c>
      <c r="E28" s="262" t="n">
        <v>0.889113480552596</v>
      </c>
      <c r="F28" s="262"/>
      <c r="G28" s="262" t="n">
        <v>0.859143363230598</v>
      </c>
      <c r="H28" s="262" t="n">
        <v>0.93</v>
      </c>
      <c r="I28" s="262" t="n">
        <v>0.86</v>
      </c>
      <c r="J28" s="262"/>
      <c r="K28" s="262" t="n">
        <v>0.69</v>
      </c>
    </row>
    <row r="29" customFormat="false" ht="14.5" hidden="false" customHeight="false" outlineLevel="0" collapsed="false">
      <c r="B29" s="248" t="s">
        <v>487</v>
      </c>
      <c r="C29" s="248"/>
      <c r="D29" s="262" t="n">
        <v>0.944344151731869</v>
      </c>
      <c r="E29" s="262" t="n">
        <v>0.889382322795094</v>
      </c>
      <c r="F29" s="262"/>
      <c r="G29" s="262" t="n">
        <v>0.829423963954975</v>
      </c>
      <c r="H29" s="262" t="n">
        <v>0.875</v>
      </c>
      <c r="I29" s="262" t="n">
        <v>0.75</v>
      </c>
      <c r="J29" s="262"/>
      <c r="K29" s="262" t="n">
        <v>0.59</v>
      </c>
    </row>
    <row r="30" customFormat="false" ht="14.5" hidden="false" customHeight="false" outlineLevel="0" collapsed="false">
      <c r="B30" s="248" t="s">
        <v>31</v>
      </c>
      <c r="C30" s="248"/>
      <c r="D30" s="262"/>
      <c r="E30" s="262" t="n">
        <v>0.989</v>
      </c>
      <c r="F30" s="262"/>
      <c r="G30" s="262" t="n">
        <v>0.969</v>
      </c>
      <c r="H30" s="262" t="n">
        <v>0.9835</v>
      </c>
      <c r="I30" s="262" t="n">
        <v>0.967</v>
      </c>
      <c r="J30" s="262"/>
      <c r="K30" s="262" t="n">
        <v>0.907</v>
      </c>
      <c r="L30" s="1" t="s">
        <v>546</v>
      </c>
    </row>
    <row r="31" customFormat="false" ht="14.5" hidden="false" customHeight="false" outlineLevel="0" collapsed="false">
      <c r="B31" s="248" t="s">
        <v>488</v>
      </c>
      <c r="C31" s="248"/>
      <c r="D31" s="263"/>
      <c r="E31" s="260"/>
      <c r="F31" s="260"/>
      <c r="G31" s="260"/>
      <c r="H31" s="260"/>
      <c r="I31" s="260"/>
      <c r="J31" s="260"/>
      <c r="K31" s="260"/>
    </row>
    <row r="32" customFormat="false" ht="14.5" hidden="false" customHeight="false" outlineLevel="0" collapsed="false">
      <c r="B32" s="261" t="s">
        <v>489</v>
      </c>
      <c r="C32" s="261"/>
      <c r="D32" s="262" t="n">
        <v>0.925508020793593</v>
      </c>
      <c r="E32" s="262" t="n">
        <v>0.863060657360902</v>
      </c>
      <c r="F32" s="262"/>
      <c r="G32" s="262" t="n">
        <v>0.863060657360902</v>
      </c>
      <c r="H32" s="262" t="n">
        <v>0.909953830091533</v>
      </c>
      <c r="I32" s="262" t="n">
        <v>0.824152848970252</v>
      </c>
      <c r="J32" s="262"/>
      <c r="K32" s="262" t="n">
        <v>0.639589210526316</v>
      </c>
      <c r="L32" s="1" t="s">
        <v>557</v>
      </c>
    </row>
    <row r="33" customFormat="false" ht="14.5" hidden="false" customHeight="false" outlineLevel="0" collapsed="false">
      <c r="B33" s="261" t="s">
        <v>490</v>
      </c>
      <c r="C33" s="261"/>
      <c r="D33" s="262" t="n">
        <v>0.954063591341147</v>
      </c>
      <c r="E33" s="262" t="n">
        <v>0.909107715309366</v>
      </c>
      <c r="F33" s="262"/>
      <c r="G33" s="262" t="n">
        <v>0.879137131288178</v>
      </c>
      <c r="H33" s="262" t="n">
        <v>0.925</v>
      </c>
      <c r="I33" s="262" t="n">
        <v>0.85</v>
      </c>
      <c r="J33" s="262"/>
      <c r="K33" s="262" t="n">
        <v>0.69</v>
      </c>
    </row>
    <row r="37" customFormat="false" ht="14.5" hidden="false" customHeight="false" outlineLevel="0" collapsed="false">
      <c r="B37" s="256" t="s">
        <v>558</v>
      </c>
    </row>
    <row r="39" customFormat="false" ht="13.9" hidden="false" customHeight="true" outlineLevel="0" collapsed="false">
      <c r="B39" s="257" t="s">
        <v>559</v>
      </c>
      <c r="C39" s="264" t="s">
        <v>560</v>
      </c>
      <c r="D39" s="264"/>
      <c r="E39" s="264"/>
      <c r="F39" s="264"/>
      <c r="H39" s="257" t="s">
        <v>561</v>
      </c>
      <c r="I39" s="264" t="s">
        <v>560</v>
      </c>
      <c r="J39" s="264"/>
      <c r="K39" s="264"/>
      <c r="L39" s="264"/>
      <c r="O39" s="265" t="s">
        <v>562</v>
      </c>
      <c r="P39" s="264" t="s">
        <v>560</v>
      </c>
      <c r="Q39" s="264"/>
      <c r="R39" s="264"/>
      <c r="S39" s="264"/>
      <c r="U39" s="265" t="s">
        <v>563</v>
      </c>
      <c r="V39" s="264" t="s">
        <v>560</v>
      </c>
      <c r="W39" s="264"/>
      <c r="X39" s="264"/>
      <c r="Y39" s="264"/>
      <c r="AA39" s="266" t="s">
        <v>564</v>
      </c>
      <c r="AB39" s="266"/>
      <c r="AC39" s="266"/>
      <c r="AD39" s="266"/>
      <c r="AE39" s="266"/>
    </row>
    <row r="40" customFormat="false" ht="27" hidden="false" customHeight="true" outlineLevel="0" collapsed="false">
      <c r="B40" s="257"/>
      <c r="C40" s="205" t="s">
        <v>565</v>
      </c>
      <c r="D40" s="205"/>
      <c r="E40" s="205" t="s">
        <v>566</v>
      </c>
      <c r="F40" s="205"/>
      <c r="H40" s="257"/>
      <c r="I40" s="205" t="s">
        <v>565</v>
      </c>
      <c r="J40" s="205"/>
      <c r="K40" s="205" t="s">
        <v>566</v>
      </c>
      <c r="L40" s="205"/>
      <c r="O40" s="265"/>
      <c r="P40" s="205" t="s">
        <v>565</v>
      </c>
      <c r="Q40" s="205"/>
      <c r="R40" s="205" t="s">
        <v>566</v>
      </c>
      <c r="S40" s="205"/>
      <c r="U40" s="265"/>
      <c r="V40" s="205" t="s">
        <v>565</v>
      </c>
      <c r="W40" s="205"/>
      <c r="X40" s="205" t="s">
        <v>566</v>
      </c>
      <c r="Y40" s="205"/>
      <c r="AA40" s="266" t="s">
        <v>567</v>
      </c>
      <c r="AB40" s="266"/>
      <c r="AC40" s="266"/>
      <c r="AD40" s="266"/>
      <c r="AE40" s="266"/>
    </row>
    <row r="41" customFormat="false" ht="14.5" hidden="false" customHeight="false" outlineLevel="0" collapsed="false">
      <c r="B41" s="257"/>
      <c r="C41" s="267" t="s">
        <v>568</v>
      </c>
      <c r="D41" s="267" t="s">
        <v>569</v>
      </c>
      <c r="E41" s="267" t="s">
        <v>568</v>
      </c>
      <c r="F41" s="267" t="s">
        <v>569</v>
      </c>
      <c r="H41" s="257"/>
      <c r="I41" s="267" t="s">
        <v>570</v>
      </c>
      <c r="J41" s="267" t="s">
        <v>571</v>
      </c>
      <c r="K41" s="267" t="s">
        <v>570</v>
      </c>
      <c r="L41" s="267" t="s">
        <v>571</v>
      </c>
      <c r="O41" s="265"/>
      <c r="P41" s="267" t="s">
        <v>570</v>
      </c>
      <c r="Q41" s="267" t="s">
        <v>571</v>
      </c>
      <c r="R41" s="267" t="s">
        <v>570</v>
      </c>
      <c r="S41" s="267" t="s">
        <v>571</v>
      </c>
      <c r="U41" s="265"/>
      <c r="V41" s="267" t="s">
        <v>570</v>
      </c>
      <c r="W41" s="267" t="s">
        <v>571</v>
      </c>
      <c r="X41" s="267" t="s">
        <v>570</v>
      </c>
      <c r="Y41" s="267" t="s">
        <v>571</v>
      </c>
      <c r="AA41" s="266"/>
      <c r="AB41" s="266"/>
      <c r="AC41" s="266"/>
      <c r="AD41" s="266"/>
      <c r="AE41" s="266"/>
    </row>
    <row r="42" customFormat="false" ht="14.5" hidden="false" customHeight="false" outlineLevel="0" collapsed="false">
      <c r="B42" s="209" t="s">
        <v>24</v>
      </c>
      <c r="C42" s="268" t="n">
        <v>0</v>
      </c>
      <c r="D42" s="268"/>
      <c r="E42" s="268" t="n">
        <v>0</v>
      </c>
      <c r="F42" s="268"/>
      <c r="H42" s="209" t="s">
        <v>24</v>
      </c>
      <c r="I42" s="268" t="n">
        <v>0</v>
      </c>
      <c r="J42" s="268"/>
      <c r="K42" s="268" t="n">
        <v>0</v>
      </c>
      <c r="L42" s="268"/>
      <c r="O42" s="209" t="s">
        <v>24</v>
      </c>
      <c r="P42" s="268" t="n">
        <v>0</v>
      </c>
      <c r="Q42" s="268"/>
      <c r="R42" s="268" t="n">
        <v>0</v>
      </c>
      <c r="S42" s="268"/>
      <c r="U42" s="209" t="s">
        <v>24</v>
      </c>
      <c r="V42" s="268" t="n">
        <v>0</v>
      </c>
      <c r="W42" s="268"/>
      <c r="X42" s="268" t="n">
        <v>0</v>
      </c>
      <c r="Y42" s="268"/>
      <c r="AA42" s="266"/>
      <c r="AB42" s="269" t="s">
        <v>572</v>
      </c>
      <c r="AC42" s="269"/>
      <c r="AD42" s="269" t="s">
        <v>573</v>
      </c>
      <c r="AE42" s="269"/>
    </row>
    <row r="43" customFormat="false" ht="14.5" hidden="false" customHeight="false" outlineLevel="0" collapsed="false">
      <c r="B43" s="211" t="s">
        <v>574</v>
      </c>
      <c r="C43" s="262" t="n">
        <v>0.09</v>
      </c>
      <c r="D43" s="262" t="n">
        <v>0.083970606060606</v>
      </c>
      <c r="E43" s="262" t="n">
        <v>0.23</v>
      </c>
      <c r="F43" s="262" t="n">
        <v>0.109836342371079</v>
      </c>
      <c r="H43" s="211" t="s">
        <v>574</v>
      </c>
      <c r="I43" s="262"/>
      <c r="J43" s="262"/>
      <c r="K43" s="262"/>
      <c r="L43" s="262"/>
      <c r="M43" s="1" t="s">
        <v>575</v>
      </c>
      <c r="O43" s="211" t="s">
        <v>574</v>
      </c>
      <c r="P43" s="262" t="n">
        <v>-0.26</v>
      </c>
      <c r="Q43" s="262" t="n">
        <v>0.4</v>
      </c>
      <c r="R43" s="262" t="n">
        <v>-0.66</v>
      </c>
      <c r="S43" s="262" t="n">
        <v>0.66</v>
      </c>
      <c r="U43" s="211" t="s">
        <v>574</v>
      </c>
      <c r="V43" s="262" t="n">
        <v>-0.26</v>
      </c>
      <c r="W43" s="262" t="n">
        <v>0.4</v>
      </c>
      <c r="X43" s="262" t="n">
        <v>-0.66</v>
      </c>
      <c r="Y43" s="262" t="n">
        <v>0.66</v>
      </c>
      <c r="AA43" s="270"/>
      <c r="AB43" s="271" t="n">
        <v>2030</v>
      </c>
      <c r="AC43" s="271" t="n">
        <v>2050</v>
      </c>
      <c r="AD43" s="271" t="n">
        <v>2030</v>
      </c>
      <c r="AE43" s="271" t="n">
        <v>2050</v>
      </c>
    </row>
    <row r="44" customFormat="false" ht="14.5" hidden="false" customHeight="false" outlineLevel="0" collapsed="false">
      <c r="B44" s="211" t="s">
        <v>576</v>
      </c>
      <c r="C44" s="262" t="n">
        <v>0.09</v>
      </c>
      <c r="D44" s="262" t="n">
        <v>0</v>
      </c>
      <c r="E44" s="262" t="n">
        <v>0.23</v>
      </c>
      <c r="F44" s="262" t="n">
        <v>0</v>
      </c>
      <c r="H44" s="211" t="s">
        <v>576</v>
      </c>
      <c r="I44" s="262" t="n">
        <v>0.11</v>
      </c>
      <c r="J44" s="262" t="n">
        <v>0.11</v>
      </c>
      <c r="K44" s="262" t="n">
        <v>0.18</v>
      </c>
      <c r="L44" s="262" t="n">
        <v>0.18</v>
      </c>
      <c r="O44" s="211" t="s">
        <v>576</v>
      </c>
      <c r="P44" s="262" t="n">
        <v>0.12</v>
      </c>
      <c r="Q44" s="262" t="n">
        <v>0.25</v>
      </c>
      <c r="R44" s="262" t="n">
        <v>0.31</v>
      </c>
      <c r="S44" s="262" t="n">
        <v>0.55</v>
      </c>
      <c r="T44" s="1" t="s">
        <v>577</v>
      </c>
      <c r="U44" s="211" t="s">
        <v>576</v>
      </c>
      <c r="V44" s="262" t="n">
        <v>0.12</v>
      </c>
      <c r="W44" s="262" t="n">
        <v>0.25</v>
      </c>
      <c r="X44" s="262" t="n">
        <v>0.31</v>
      </c>
      <c r="Y44" s="262" t="n">
        <v>0.55</v>
      </c>
      <c r="AA44" s="272" t="s">
        <v>578</v>
      </c>
      <c r="AB44" s="273" t="n">
        <v>0.131638896827018</v>
      </c>
      <c r="AC44" s="273" t="n">
        <v>0.291194917923418</v>
      </c>
      <c r="AD44" s="273" t="n">
        <v>0.166116474742447</v>
      </c>
      <c r="AE44" s="273" t="n">
        <v>0.426013501524555</v>
      </c>
    </row>
    <row r="45" customFormat="false" ht="14.5" hidden="false" customHeight="false" outlineLevel="0" collapsed="false">
      <c r="B45" s="211" t="s">
        <v>473</v>
      </c>
      <c r="C45" s="262" t="n">
        <v>0.09</v>
      </c>
      <c r="D45" s="262" t="n">
        <v>0.0244331983805669</v>
      </c>
      <c r="E45" s="262" t="n">
        <v>0.23</v>
      </c>
      <c r="F45" s="262" t="n">
        <v>0.033755060728745</v>
      </c>
      <c r="H45" s="211" t="s">
        <v>473</v>
      </c>
      <c r="I45" s="262" t="n">
        <v>0.07</v>
      </c>
      <c r="J45" s="262" t="n">
        <v>0.07</v>
      </c>
      <c r="K45" s="262" t="n">
        <v>0.15</v>
      </c>
      <c r="L45" s="262" t="n">
        <v>0.15</v>
      </c>
      <c r="O45" s="211" t="s">
        <v>473</v>
      </c>
      <c r="P45" s="262"/>
      <c r="Q45" s="262"/>
      <c r="R45" s="262"/>
      <c r="S45" s="262"/>
      <c r="U45" s="211" t="s">
        <v>473</v>
      </c>
      <c r="V45" s="262"/>
      <c r="W45" s="262"/>
      <c r="X45" s="262"/>
      <c r="Y45" s="262"/>
      <c r="AA45" s="272" t="s">
        <v>579</v>
      </c>
      <c r="AB45" s="273" t="n">
        <v>0.134445752159849</v>
      </c>
      <c r="AC45" s="273" t="n">
        <v>0.314234341503186</v>
      </c>
      <c r="AD45" s="273" t="n">
        <v>0.237966819223311</v>
      </c>
      <c r="AE45" s="273" t="n">
        <v>0.649157466440817</v>
      </c>
    </row>
    <row r="46" customFormat="false" ht="14.5" hidden="false" customHeight="false" outlineLevel="0" collapsed="false">
      <c r="B46" s="209" t="s">
        <v>25</v>
      </c>
      <c r="C46" s="268" t="n">
        <v>0</v>
      </c>
      <c r="D46" s="268"/>
      <c r="E46" s="268" t="n">
        <v>0</v>
      </c>
      <c r="F46" s="268"/>
      <c r="H46" s="209" t="s">
        <v>25</v>
      </c>
      <c r="I46" s="268" t="n">
        <v>0</v>
      </c>
      <c r="J46" s="268" t="n">
        <v>0</v>
      </c>
      <c r="K46" s="268" t="n">
        <v>0</v>
      </c>
      <c r="L46" s="268" t="n">
        <v>0</v>
      </c>
      <c r="O46" s="209" t="s">
        <v>25</v>
      </c>
      <c r="P46" s="268"/>
      <c r="Q46" s="268"/>
      <c r="R46" s="268"/>
      <c r="S46" s="268"/>
      <c r="U46" s="209" t="s">
        <v>25</v>
      </c>
      <c r="V46" s="268"/>
      <c r="W46" s="268"/>
      <c r="X46" s="268"/>
      <c r="Y46" s="268"/>
      <c r="AA46" s="272" t="s">
        <v>580</v>
      </c>
      <c r="AB46" s="273" t="n">
        <v>0.120690694161745</v>
      </c>
      <c r="AC46" s="273" t="n">
        <v>0.270967539101381</v>
      </c>
      <c r="AD46" s="273" t="n">
        <v>0.108127850954112</v>
      </c>
      <c r="AE46" s="273" t="n">
        <v>0.384346199345927</v>
      </c>
    </row>
    <row r="47" customFormat="false" ht="14.5" hidden="false" customHeight="false" outlineLevel="0" collapsed="false">
      <c r="B47" s="211" t="s">
        <v>475</v>
      </c>
      <c r="C47" s="262" t="n">
        <v>0.18</v>
      </c>
      <c r="D47" s="262" t="n">
        <v>0.0823076923076922</v>
      </c>
      <c r="E47" s="262" t="n">
        <v>0.21</v>
      </c>
      <c r="F47" s="262" t="n">
        <v>0.0990404858299596</v>
      </c>
      <c r="H47" s="211" t="s">
        <v>475</v>
      </c>
      <c r="I47" s="262" t="n">
        <v>0.09</v>
      </c>
      <c r="J47" s="262" t="n">
        <v>0.09</v>
      </c>
      <c r="K47" s="262" t="n">
        <v>0.19</v>
      </c>
      <c r="L47" s="262" t="n">
        <v>0.2</v>
      </c>
      <c r="O47" s="211" t="s">
        <v>475</v>
      </c>
      <c r="P47" s="262"/>
      <c r="Q47" s="262"/>
      <c r="R47" s="262"/>
      <c r="S47" s="262"/>
      <c r="U47" s="211" t="s">
        <v>475</v>
      </c>
      <c r="V47" s="262"/>
      <c r="W47" s="262"/>
      <c r="X47" s="262"/>
      <c r="Y47" s="262"/>
      <c r="AA47" s="272" t="s">
        <v>581</v>
      </c>
      <c r="AB47" s="273" t="n">
        <v>0.0516726678330576</v>
      </c>
      <c r="AC47" s="273" t="n">
        <v>0.134482199611566</v>
      </c>
      <c r="AD47" s="273" t="n">
        <v>0.040205505641205</v>
      </c>
      <c r="AE47" s="273" t="n">
        <v>0.127602050362495</v>
      </c>
    </row>
    <row r="48" customFormat="false" ht="14.5" hidden="false" customHeight="false" outlineLevel="0" collapsed="false">
      <c r="B48" s="211" t="s">
        <v>476</v>
      </c>
      <c r="C48" s="262" t="n">
        <v>0</v>
      </c>
      <c r="D48" s="262" t="n">
        <v>0.0303030303030303</v>
      </c>
      <c r="E48" s="262" t="n">
        <v>0</v>
      </c>
      <c r="F48" s="262" t="n">
        <v>0.0404040404040404</v>
      </c>
      <c r="H48" s="211" t="s">
        <v>476</v>
      </c>
      <c r="I48" s="262" t="n">
        <v>0.0543</v>
      </c>
      <c r="J48" s="262" t="n">
        <v>0.07</v>
      </c>
      <c r="K48" s="262" t="n">
        <v>0.12</v>
      </c>
      <c r="L48" s="262" t="n">
        <v>0.15</v>
      </c>
      <c r="M48" s="1" t="s">
        <v>582</v>
      </c>
      <c r="O48" s="211" t="s">
        <v>476</v>
      </c>
      <c r="P48" s="262"/>
      <c r="Q48" s="262"/>
      <c r="R48" s="262"/>
      <c r="S48" s="262"/>
      <c r="U48" s="211" t="s">
        <v>476</v>
      </c>
      <c r="V48" s="262"/>
      <c r="W48" s="262"/>
      <c r="X48" s="262"/>
      <c r="Y48" s="262"/>
      <c r="AA48" s="272" t="s">
        <v>583</v>
      </c>
      <c r="AB48" s="273" t="n">
        <v>0.0209073692539727</v>
      </c>
      <c r="AC48" s="273" t="n">
        <v>0.0551759852227075</v>
      </c>
      <c r="AD48" s="273" t="n">
        <v>0.0932417028094273</v>
      </c>
      <c r="AE48" s="273" t="n">
        <v>0.128644085717529</v>
      </c>
    </row>
    <row r="49" customFormat="false" ht="14.5" hidden="false" customHeight="false" outlineLevel="0" collapsed="false">
      <c r="B49" s="211" t="s">
        <v>584</v>
      </c>
      <c r="C49" s="262" t="n">
        <v>0.18</v>
      </c>
      <c r="D49" s="262" t="n">
        <v>0.125</v>
      </c>
      <c r="E49" s="262" t="n">
        <v>0.21</v>
      </c>
      <c r="F49" s="262" t="n">
        <v>0.166666666666667</v>
      </c>
      <c r="H49" s="211" t="s">
        <v>584</v>
      </c>
      <c r="I49" s="262" t="n">
        <v>0.09</v>
      </c>
      <c r="J49" s="262"/>
      <c r="K49" s="262" t="n">
        <v>0.21</v>
      </c>
      <c r="L49" s="262"/>
      <c r="O49" s="211" t="s">
        <v>584</v>
      </c>
      <c r="P49" s="262"/>
      <c r="Q49" s="262"/>
      <c r="R49" s="262"/>
      <c r="S49" s="262"/>
      <c r="U49" s="211" t="s">
        <v>584</v>
      </c>
      <c r="V49" s="262"/>
      <c r="W49" s="262"/>
      <c r="X49" s="262"/>
      <c r="Y49" s="262"/>
      <c r="AA49" s="272" t="s">
        <v>585</v>
      </c>
      <c r="AB49" s="273" t="n">
        <v>0.0929118099402077</v>
      </c>
      <c r="AC49" s="273" t="n">
        <v>0.231383203996305</v>
      </c>
      <c r="AD49" s="273" t="n">
        <v>0.161925382730954</v>
      </c>
      <c r="AE49" s="273" t="n">
        <v>0.350630208671419</v>
      </c>
    </row>
    <row r="50" customFormat="false" ht="14.5" hidden="false" customHeight="false" outlineLevel="0" collapsed="false">
      <c r="B50" s="211" t="s">
        <v>479</v>
      </c>
      <c r="C50" s="262" t="n">
        <v>0.18</v>
      </c>
      <c r="D50" s="262" t="n">
        <v>0.0481537471059441</v>
      </c>
      <c r="E50" s="262" t="n">
        <v>0.21</v>
      </c>
      <c r="F50" s="262" t="n">
        <v>0.0640246980070738</v>
      </c>
      <c r="H50" s="211" t="s">
        <v>479</v>
      </c>
      <c r="I50" s="262" t="n">
        <v>0.16</v>
      </c>
      <c r="J50" s="262" t="n">
        <v>0.16</v>
      </c>
      <c r="K50" s="262" t="n">
        <v>0.33</v>
      </c>
      <c r="L50" s="262" t="n">
        <v>0.33</v>
      </c>
      <c r="O50" s="211" t="s">
        <v>479</v>
      </c>
      <c r="P50" s="262" t="n">
        <v>0.01</v>
      </c>
      <c r="Q50" s="262" t="n">
        <v>0.2</v>
      </c>
      <c r="R50" s="262" t="n">
        <v>-0.23</v>
      </c>
      <c r="S50" s="262" t="n">
        <v>0.58</v>
      </c>
      <c r="U50" s="211" t="s">
        <v>479</v>
      </c>
      <c r="V50" s="262" t="n">
        <v>0.01</v>
      </c>
      <c r="W50" s="262" t="n">
        <v>0.2</v>
      </c>
      <c r="X50" s="262" t="n">
        <v>0.23</v>
      </c>
      <c r="Y50" s="262" t="n">
        <v>0.58</v>
      </c>
      <c r="AA50" s="272" t="s">
        <v>586</v>
      </c>
      <c r="AB50" s="273" t="n">
        <v>0.0875495257989273</v>
      </c>
      <c r="AC50" s="273" t="n">
        <v>0.261270777059665</v>
      </c>
      <c r="AD50" s="273" t="n">
        <v>0.321241285060936</v>
      </c>
      <c r="AE50" s="273" t="n">
        <v>0.518743281610805</v>
      </c>
    </row>
    <row r="51" customFormat="false" ht="14.5" hidden="false" customHeight="false" outlineLevel="0" collapsed="false">
      <c r="B51" s="209" t="s">
        <v>480</v>
      </c>
      <c r="C51" s="268" t="n">
        <v>0</v>
      </c>
      <c r="D51" s="268"/>
      <c r="E51" s="268" t="n">
        <v>0</v>
      </c>
      <c r="F51" s="268"/>
      <c r="H51" s="209" t="s">
        <v>480</v>
      </c>
      <c r="I51" s="268" t="n">
        <v>0</v>
      </c>
      <c r="J51" s="268" t="n">
        <v>0</v>
      </c>
      <c r="K51" s="268" t="n">
        <v>0</v>
      </c>
      <c r="L51" s="268" t="n">
        <v>0</v>
      </c>
      <c r="O51" s="209" t="s">
        <v>480</v>
      </c>
      <c r="P51" s="268"/>
      <c r="Q51" s="268"/>
      <c r="R51" s="268"/>
      <c r="S51" s="268"/>
      <c r="U51" s="209" t="s">
        <v>480</v>
      </c>
      <c r="V51" s="268"/>
      <c r="W51" s="268"/>
      <c r="X51" s="268"/>
      <c r="Y51" s="268"/>
      <c r="AA51" s="272" t="s">
        <v>587</v>
      </c>
      <c r="AB51" s="273" t="n">
        <v>0.0769108536799765</v>
      </c>
      <c r="AC51" s="273" t="n">
        <v>0.185807122353957</v>
      </c>
      <c r="AD51" s="273" t="n">
        <v>0.0847870168615773</v>
      </c>
      <c r="AE51" s="273" t="n">
        <v>0.161535237495509</v>
      </c>
    </row>
    <row r="52" customFormat="false" ht="14.5" hidden="false" customHeight="false" outlineLevel="0" collapsed="false">
      <c r="B52" s="211" t="s">
        <v>481</v>
      </c>
      <c r="C52" s="262" t="n">
        <v>0.07</v>
      </c>
      <c r="D52" s="262" t="n">
        <v>0.039235378539811</v>
      </c>
      <c r="E52" s="262" t="n">
        <v>0.13</v>
      </c>
      <c r="F52" s="262" t="n">
        <v>0.0391006437611178</v>
      </c>
      <c r="H52" s="211" t="s">
        <v>481</v>
      </c>
      <c r="I52" s="262"/>
      <c r="J52" s="262"/>
      <c r="K52" s="262"/>
      <c r="L52" s="262"/>
      <c r="O52" s="211" t="s">
        <v>481</v>
      </c>
      <c r="P52" s="262"/>
      <c r="Q52" s="262"/>
      <c r="R52" s="262"/>
      <c r="S52" s="262"/>
      <c r="U52" s="211" t="s">
        <v>481</v>
      </c>
      <c r="V52" s="262"/>
      <c r="W52" s="262"/>
      <c r="X52" s="262"/>
      <c r="Y52" s="262"/>
      <c r="AA52" s="272" t="s">
        <v>588</v>
      </c>
      <c r="AB52" s="273" t="n">
        <v>0.0901667472527726</v>
      </c>
      <c r="AC52" s="273" t="n">
        <v>0.20376415567573</v>
      </c>
      <c r="AD52" s="273" t="n">
        <v>0.0777209427008935</v>
      </c>
      <c r="AE52" s="273" t="n">
        <v>0.359829158785895</v>
      </c>
    </row>
    <row r="53" customFormat="false" ht="14.5" hidden="false" customHeight="false" outlineLevel="0" collapsed="false">
      <c r="B53" s="211" t="s">
        <v>482</v>
      </c>
      <c r="C53" s="262" t="n">
        <v>0.07</v>
      </c>
      <c r="D53" s="262" t="n">
        <v>0.087378640776699</v>
      </c>
      <c r="E53" s="262" t="n">
        <v>0.13</v>
      </c>
      <c r="F53" s="262" t="n">
        <v>0.140776699029126</v>
      </c>
      <c r="H53" s="211" t="s">
        <v>482</v>
      </c>
      <c r="I53" s="262" t="n">
        <v>0.07</v>
      </c>
      <c r="J53" s="262" t="n">
        <v>0.09</v>
      </c>
      <c r="K53" s="262" t="n">
        <v>0.15</v>
      </c>
      <c r="L53" s="262" t="n">
        <v>0.2</v>
      </c>
      <c r="O53" s="211" t="s">
        <v>482</v>
      </c>
      <c r="P53" s="262"/>
      <c r="Q53" s="262"/>
      <c r="R53" s="262"/>
      <c r="S53" s="262"/>
      <c r="U53" s="211" t="s">
        <v>482</v>
      </c>
      <c r="V53" s="262"/>
      <c r="W53" s="262"/>
      <c r="X53" s="262"/>
      <c r="Y53" s="262"/>
      <c r="AA53" s="272" t="s">
        <v>589</v>
      </c>
      <c r="AB53" s="273" t="n">
        <v>0.116946463478158</v>
      </c>
      <c r="AC53" s="273" t="n">
        <v>0.295049944406151</v>
      </c>
      <c r="AD53" s="273" t="n">
        <v>0.0820331650551899</v>
      </c>
      <c r="AE53" s="273" t="n">
        <v>0.186593736734665</v>
      </c>
    </row>
    <row r="54" customFormat="false" ht="14.5" hidden="false" customHeight="false" outlineLevel="0" collapsed="false">
      <c r="B54" s="211" t="s">
        <v>483</v>
      </c>
      <c r="C54" s="262" t="n">
        <v>0.07</v>
      </c>
      <c r="D54" s="262" t="n">
        <v>0.0452994923857868</v>
      </c>
      <c r="E54" s="262" t="n">
        <v>0.13</v>
      </c>
      <c r="F54" s="262" t="n">
        <v>0.0605126903553299</v>
      </c>
      <c r="H54" s="211" t="s">
        <v>483</v>
      </c>
      <c r="I54" s="262" t="n">
        <v>0.09</v>
      </c>
      <c r="J54" s="262" t="n">
        <v>0.09</v>
      </c>
      <c r="K54" s="262" t="n">
        <v>0.195</v>
      </c>
      <c r="L54" s="262" t="n">
        <v>0.2</v>
      </c>
      <c r="O54" s="211" t="s">
        <v>483</v>
      </c>
      <c r="P54" s="262"/>
      <c r="Q54" s="262"/>
      <c r="R54" s="262"/>
      <c r="S54" s="262"/>
      <c r="U54" s="211" t="s">
        <v>483</v>
      </c>
      <c r="V54" s="262"/>
      <c r="W54" s="262"/>
      <c r="X54" s="262"/>
      <c r="Y54" s="262"/>
      <c r="AA54" s="272" t="s">
        <v>590</v>
      </c>
      <c r="AB54" s="273" t="n">
        <v>0.0799783367918273</v>
      </c>
      <c r="AC54" s="273" t="n">
        <v>0.251910768000335</v>
      </c>
      <c r="AD54" s="273" t="n">
        <v>0.0914579178329909</v>
      </c>
      <c r="AE54" s="273" t="n">
        <v>0.233219807679192</v>
      </c>
    </row>
    <row r="55" customFormat="false" ht="14.5" hidden="false" customHeight="false" outlineLevel="0" collapsed="false">
      <c r="B55" s="209" t="s">
        <v>554</v>
      </c>
      <c r="C55" s="268" t="n">
        <v>0</v>
      </c>
      <c r="D55" s="268"/>
      <c r="E55" s="268" t="n">
        <v>0</v>
      </c>
      <c r="F55" s="268"/>
      <c r="H55" s="209" t="s">
        <v>554</v>
      </c>
      <c r="I55" s="268" t="n">
        <v>0</v>
      </c>
      <c r="J55" s="268" t="n">
        <v>0</v>
      </c>
      <c r="K55" s="268" t="n">
        <v>0</v>
      </c>
      <c r="L55" s="268" t="n">
        <v>0</v>
      </c>
      <c r="O55" s="209" t="s">
        <v>554</v>
      </c>
      <c r="P55" s="268"/>
      <c r="Q55" s="268"/>
      <c r="R55" s="268"/>
      <c r="S55" s="268"/>
      <c r="U55" s="209" t="s">
        <v>554</v>
      </c>
      <c r="V55" s="268"/>
      <c r="W55" s="268"/>
      <c r="X55" s="268"/>
      <c r="Y55" s="268"/>
      <c r="AA55" s="272" t="s">
        <v>591</v>
      </c>
      <c r="AB55" s="273" t="n">
        <v>0.11750833798906</v>
      </c>
      <c r="AC55" s="273" t="n">
        <v>0.289341599414056</v>
      </c>
      <c r="AD55" s="273" t="n">
        <v>0.306745899689742</v>
      </c>
      <c r="AE55" s="273" t="n">
        <v>0.815658659005751</v>
      </c>
    </row>
    <row r="56" customFormat="false" ht="14.5" hidden="false" customHeight="false" outlineLevel="0" collapsed="false">
      <c r="B56" s="211" t="s">
        <v>555</v>
      </c>
      <c r="C56" s="262" t="n">
        <v>0</v>
      </c>
      <c r="D56" s="262" t="n">
        <v>0.1335</v>
      </c>
      <c r="E56" s="262" t="n">
        <v>0</v>
      </c>
      <c r="F56" s="262" t="n">
        <v>0.1575</v>
      </c>
      <c r="H56" s="211" t="s">
        <v>555</v>
      </c>
      <c r="I56" s="262" t="n">
        <v>0.12</v>
      </c>
      <c r="J56" s="262" t="n">
        <v>0.12</v>
      </c>
      <c r="K56" s="262" t="n">
        <v>0.26</v>
      </c>
      <c r="L56" s="262" t="n">
        <v>0.26</v>
      </c>
      <c r="O56" s="211" t="s">
        <v>555</v>
      </c>
      <c r="P56" s="262"/>
      <c r="Q56" s="262"/>
      <c r="R56" s="262"/>
      <c r="S56" s="262"/>
      <c r="U56" s="211" t="s">
        <v>555</v>
      </c>
      <c r="V56" s="262"/>
      <c r="W56" s="262"/>
      <c r="X56" s="262"/>
      <c r="Y56" s="262"/>
      <c r="AA56" s="272" t="s">
        <v>592</v>
      </c>
      <c r="AB56" s="273" t="n">
        <v>0.111683425214235</v>
      </c>
      <c r="AC56" s="273" t="n">
        <v>0.28146328374901</v>
      </c>
      <c r="AD56" s="273" t="n">
        <v>0.0738255524047499</v>
      </c>
      <c r="AE56" s="273" t="n">
        <v>0.154698471895948</v>
      </c>
    </row>
    <row r="57" customFormat="false" ht="14.5" hidden="false" customHeight="false" outlineLevel="0" collapsed="false">
      <c r="B57" s="211" t="s">
        <v>556</v>
      </c>
      <c r="C57" s="262" t="n">
        <v>0</v>
      </c>
      <c r="D57" s="262" t="n">
        <v>0.108998970133883</v>
      </c>
      <c r="E57" s="262" t="n">
        <v>0</v>
      </c>
      <c r="F57" s="262" t="n">
        <v>0.138102729145211</v>
      </c>
      <c r="H57" s="211" t="s">
        <v>556</v>
      </c>
      <c r="I57" s="262" t="n">
        <v>0.14</v>
      </c>
      <c r="J57" s="262" t="n">
        <v>0.14</v>
      </c>
      <c r="K57" s="262" t="n">
        <v>0.3</v>
      </c>
      <c r="L57" s="262" t="n">
        <v>0.31</v>
      </c>
      <c r="O57" s="211" t="s">
        <v>556</v>
      </c>
      <c r="P57" s="262" t="n">
        <v>-0.22</v>
      </c>
      <c r="Q57" s="262" t="n">
        <v>0.32</v>
      </c>
      <c r="R57" s="262" t="n">
        <v>-0.23</v>
      </c>
      <c r="S57" s="262" t="n">
        <v>0.62</v>
      </c>
      <c r="U57" s="211" t="s">
        <v>556</v>
      </c>
      <c r="V57" s="262" t="n">
        <v>-0.22</v>
      </c>
      <c r="W57" s="262" t="n">
        <v>0.32</v>
      </c>
      <c r="X57" s="262" t="n">
        <v>-0.23</v>
      </c>
      <c r="Y57" s="262" t="n">
        <v>0.62</v>
      </c>
      <c r="AA57" s="272" t="s">
        <v>593</v>
      </c>
      <c r="AB57" s="273" t="n">
        <v>0.132436370423921</v>
      </c>
      <c r="AC57" s="273" t="n">
        <v>0.30630709892305</v>
      </c>
      <c r="AD57" s="273" t="n">
        <v>0.163037364816143</v>
      </c>
      <c r="AE57" s="273" t="n">
        <v>0.403586488112312</v>
      </c>
    </row>
    <row r="58" customFormat="false" ht="14.5" hidden="false" customHeight="false" outlineLevel="0" collapsed="false">
      <c r="B58" s="209" t="s">
        <v>487</v>
      </c>
      <c r="C58" s="274" t="n">
        <v>0.11</v>
      </c>
      <c r="D58" s="274" t="n">
        <v>0.111360327198364</v>
      </c>
      <c r="E58" s="274" t="n">
        <v>0.22</v>
      </c>
      <c r="F58" s="262" t="n">
        <v>0.172594989775051</v>
      </c>
      <c r="H58" s="209" t="s">
        <v>487</v>
      </c>
      <c r="I58" s="262" t="n">
        <v>0.18</v>
      </c>
      <c r="J58" s="262" t="n">
        <v>0.25</v>
      </c>
      <c r="K58" s="262" t="n">
        <v>0.34</v>
      </c>
      <c r="L58" s="262" t="n">
        <v>0.41</v>
      </c>
      <c r="O58" s="209" t="s">
        <v>487</v>
      </c>
      <c r="P58" s="262" t="n">
        <v>0.03</v>
      </c>
      <c r="Q58" s="262" t="n">
        <v>0.27</v>
      </c>
      <c r="R58" s="262" t="n">
        <v>0.22</v>
      </c>
      <c r="S58" s="262" t="n">
        <v>0.58</v>
      </c>
      <c r="U58" s="209" t="s">
        <v>487</v>
      </c>
      <c r="V58" s="262" t="n">
        <v>0.03</v>
      </c>
      <c r="W58" s="262" t="n">
        <v>0.27</v>
      </c>
      <c r="X58" s="262" t="n">
        <v>0.22</v>
      </c>
      <c r="Y58" s="262" t="n">
        <v>0.58</v>
      </c>
      <c r="AA58" s="272" t="s">
        <v>594</v>
      </c>
      <c r="AB58" s="273" t="n">
        <v>0.0894010954957112</v>
      </c>
      <c r="AC58" s="273" t="n">
        <v>0.193243037691927</v>
      </c>
      <c r="AD58" s="273" t="n">
        <v>0.129776988843065</v>
      </c>
      <c r="AE58" s="273" t="n">
        <v>0.274311695604498</v>
      </c>
    </row>
    <row r="59" customFormat="false" ht="14.5" hidden="false" customHeight="false" outlineLevel="0" collapsed="false">
      <c r="O59" s="209" t="s">
        <v>31</v>
      </c>
      <c r="P59" s="28" t="n">
        <v>-0.14</v>
      </c>
      <c r="Q59" s="28" t="n">
        <v>0.23</v>
      </c>
      <c r="R59" s="28" t="n">
        <v>-0.02</v>
      </c>
      <c r="S59" s="28" t="n">
        <v>0.52</v>
      </c>
      <c r="U59" s="209" t="s">
        <v>31</v>
      </c>
      <c r="V59" s="28" t="n">
        <v>-0.14</v>
      </c>
      <c r="W59" s="28" t="n">
        <v>0.23</v>
      </c>
      <c r="X59" s="28" t="n">
        <v>-0.02</v>
      </c>
      <c r="Y59" s="28" t="n">
        <v>0.52</v>
      </c>
      <c r="AA59" s="272" t="s">
        <v>595</v>
      </c>
      <c r="AB59" s="273" t="n">
        <v>0.139136994465594</v>
      </c>
      <c r="AC59" s="273" t="n">
        <v>0.275785107149312</v>
      </c>
      <c r="AD59" s="273" t="n">
        <v>0.320943766056406</v>
      </c>
      <c r="AE59" s="273" t="n">
        <v>0.649885596684757</v>
      </c>
    </row>
    <row r="60" customFormat="false" ht="14.5" hidden="false" customHeight="false" outlineLevel="0" collapsed="false">
      <c r="B60" s="209" t="s">
        <v>488</v>
      </c>
      <c r="C60" s="268" t="n">
        <v>0</v>
      </c>
      <c r="D60" s="268"/>
      <c r="E60" s="268" t="n">
        <v>0</v>
      </c>
      <c r="F60" s="268"/>
      <c r="H60" s="209" t="s">
        <v>488</v>
      </c>
      <c r="I60" s="268"/>
      <c r="J60" s="268"/>
      <c r="K60" s="268"/>
      <c r="L60" s="268"/>
      <c r="O60" s="209" t="s">
        <v>488</v>
      </c>
      <c r="P60" s="268"/>
      <c r="Q60" s="268"/>
      <c r="R60" s="268"/>
      <c r="S60" s="268"/>
      <c r="U60" s="209" t="s">
        <v>488</v>
      </c>
      <c r="V60" s="268"/>
      <c r="W60" s="268"/>
      <c r="X60" s="268"/>
      <c r="Y60" s="268"/>
      <c r="AA60" s="272" t="s">
        <v>596</v>
      </c>
      <c r="AB60" s="273" t="n">
        <v>0.100141289007779</v>
      </c>
      <c r="AC60" s="273" t="n">
        <v>0.219583202566317</v>
      </c>
      <c r="AD60" s="273" t="n">
        <v>0.2019902689829</v>
      </c>
      <c r="AE60" s="273" t="n">
        <v>0.382200918703067</v>
      </c>
    </row>
    <row r="61" customFormat="false" ht="14.5" hidden="false" customHeight="false" outlineLevel="0" collapsed="false">
      <c r="B61" s="211" t="s">
        <v>489</v>
      </c>
      <c r="C61" s="262" t="n">
        <v>0</v>
      </c>
      <c r="D61" s="262" t="n">
        <v>0.0806458797327394</v>
      </c>
      <c r="E61" s="262" t="n">
        <v>0</v>
      </c>
      <c r="F61" s="262" t="n">
        <v>0.0789420935412026</v>
      </c>
      <c r="H61" s="211" t="s">
        <v>489</v>
      </c>
      <c r="I61" s="262" t="n">
        <v>0.1</v>
      </c>
      <c r="J61" s="262" t="n">
        <v>0.09</v>
      </c>
      <c r="K61" s="262" t="n">
        <v>0.23</v>
      </c>
      <c r="L61" s="262" t="n">
        <v>0.18</v>
      </c>
      <c r="O61" s="211" t="s">
        <v>489</v>
      </c>
      <c r="P61" s="262" t="n">
        <v>-0.22</v>
      </c>
      <c r="Q61" s="262" t="n">
        <v>0.32</v>
      </c>
      <c r="R61" s="262" t="n">
        <v>-0.06</v>
      </c>
      <c r="S61" s="262" t="n">
        <v>0.68</v>
      </c>
      <c r="U61" s="211" t="s">
        <v>489</v>
      </c>
      <c r="V61" s="262" t="n">
        <v>-0.22</v>
      </c>
      <c r="W61" s="262" t="n">
        <v>0.33</v>
      </c>
      <c r="X61" s="262" t="n">
        <v>-0.06</v>
      </c>
      <c r="Y61" s="262" t="n">
        <v>0.68</v>
      </c>
      <c r="AA61" s="272" t="s">
        <v>597</v>
      </c>
      <c r="AB61" s="273" t="n">
        <v>0.112792042769062</v>
      </c>
      <c r="AC61" s="273" t="n">
        <v>0.255539521731714</v>
      </c>
      <c r="AD61" s="273" t="n">
        <v>0.192220388936811</v>
      </c>
      <c r="AE61" s="273" t="n">
        <v>0.407454030304428</v>
      </c>
    </row>
    <row r="62" customFormat="false" ht="14.5" hidden="false" customHeight="false" outlineLevel="0" collapsed="false">
      <c r="B62" s="211" t="s">
        <v>490</v>
      </c>
      <c r="C62" s="262" t="n">
        <v>0</v>
      </c>
      <c r="D62" s="262" t="n">
        <v>0.0883735926305015</v>
      </c>
      <c r="E62" s="262" t="n">
        <v>0</v>
      </c>
      <c r="F62" s="262" t="n">
        <v>0.11502164790174</v>
      </c>
      <c r="H62" s="211" t="s">
        <v>490</v>
      </c>
      <c r="I62" s="262" t="n">
        <v>0.15</v>
      </c>
      <c r="J62" s="262" t="n">
        <v>0.15</v>
      </c>
      <c r="K62" s="262" t="n">
        <v>0.31</v>
      </c>
      <c r="L62" s="262" t="n">
        <v>0.31</v>
      </c>
      <c r="O62" s="211" t="s">
        <v>490</v>
      </c>
      <c r="P62" s="262" t="n">
        <v>-0.08</v>
      </c>
      <c r="Q62" s="262" t="n">
        <v>0.25</v>
      </c>
      <c r="R62" s="262" t="n">
        <v>0.01</v>
      </c>
      <c r="S62" s="262" t="n">
        <v>0.47</v>
      </c>
      <c r="U62" s="211" t="s">
        <v>490</v>
      </c>
      <c r="V62" s="262" t="n">
        <v>-0.08</v>
      </c>
      <c r="W62" s="262" t="n">
        <v>0.25</v>
      </c>
      <c r="X62" s="262" t="n">
        <v>0.01</v>
      </c>
      <c r="Y62" s="262" t="n">
        <v>0.47</v>
      </c>
      <c r="AA62" s="272" t="s">
        <v>598</v>
      </c>
      <c r="AB62" s="273" t="n">
        <v>0.143930100629407</v>
      </c>
      <c r="AC62" s="273" t="n">
        <v>0.30917388250185</v>
      </c>
      <c r="AD62" s="273" t="n">
        <v>0.247275464591945</v>
      </c>
      <c r="AE62" s="273" t="n">
        <v>0.524026189989563</v>
      </c>
    </row>
    <row r="63" customFormat="false" ht="14.5" hidden="false" customHeight="false" outlineLevel="0" collapsed="false">
      <c r="AA63" s="272" t="s">
        <v>599</v>
      </c>
      <c r="AB63" s="273" t="n">
        <v>0.111999250154406</v>
      </c>
      <c r="AC63" s="273" t="n">
        <v>0.264372494444569</v>
      </c>
      <c r="AD63" s="273" t="n">
        <v>0.202173824263745</v>
      </c>
      <c r="AE63" s="273" t="n">
        <v>0.452878701063818</v>
      </c>
    </row>
    <row r="64" customFormat="false" ht="14.5" hidden="false" customHeight="false" outlineLevel="0" collapsed="false">
      <c r="AA64" s="272" t="s">
        <v>600</v>
      </c>
      <c r="AB64" s="273" t="n">
        <v>0.0771117064074351</v>
      </c>
      <c r="AC64" s="273" t="n">
        <v>0.185840824502263</v>
      </c>
      <c r="AD64" s="273" t="n">
        <v>0.130407808938862</v>
      </c>
      <c r="AE64" s="273" t="n">
        <v>0.393325232154103</v>
      </c>
    </row>
    <row r="65" customFormat="false" ht="14.5" hidden="false" customHeight="false" outlineLevel="0" collapsed="false">
      <c r="AA65" s="272" t="s">
        <v>601</v>
      </c>
      <c r="AB65" s="273" t="n">
        <v>0.10569420834634</v>
      </c>
      <c r="AC65" s="273" t="n">
        <v>0.233825824651888</v>
      </c>
      <c r="AD65" s="273" t="n">
        <v>0.12145168517711</v>
      </c>
      <c r="AE65" s="273" t="n">
        <v>0.284563224626755</v>
      </c>
    </row>
    <row r="66" customFormat="false" ht="14.5" hidden="false" customHeight="false" outlineLevel="0" collapsed="false">
      <c r="AA66" s="272" t="s">
        <v>602</v>
      </c>
      <c r="AB66" s="273" t="n">
        <v>0.153132148791179</v>
      </c>
      <c r="AC66" s="273" t="n">
        <v>0.281671545486971</v>
      </c>
      <c r="AD66" s="273" t="n">
        <v>0.21745661685411</v>
      </c>
      <c r="AE66" s="273" t="n">
        <v>0.447819129528322</v>
      </c>
    </row>
    <row r="67" customFormat="false" ht="14.5" hidden="false" customHeight="false" outlineLevel="0" collapsed="false">
      <c r="AA67" s="272" t="s">
        <v>603</v>
      </c>
      <c r="AB67" s="273" t="n">
        <v>0.12668044024441</v>
      </c>
      <c r="AC67" s="273" t="n">
        <v>0.286284883266848</v>
      </c>
      <c r="AD67" s="273" t="n">
        <v>0.181816763422134</v>
      </c>
      <c r="AE67" s="273" t="n">
        <v>0.347581041589848</v>
      </c>
    </row>
    <row r="68" customFormat="false" ht="14.5" hidden="false" customHeight="false" outlineLevel="0" collapsed="false">
      <c r="AA68" s="275" t="s">
        <v>604</v>
      </c>
      <c r="AB68" s="276" t="n">
        <v>0.0974710889034606</v>
      </c>
      <c r="AC68" s="276" t="n">
        <v>0.228243564189921</v>
      </c>
      <c r="AD68" s="276" t="n">
        <v>0.11557689741429</v>
      </c>
      <c r="AE68" s="276" t="n">
        <v>0.262742889802167</v>
      </c>
    </row>
    <row r="70" customFormat="false" ht="14.5" hidden="false" customHeight="false" outlineLevel="0" collapsed="false">
      <c r="B70" s="256" t="s">
        <v>605</v>
      </c>
      <c r="C70" s="277"/>
      <c r="D70" s="278" t="s">
        <v>606</v>
      </c>
      <c r="E70" s="277"/>
      <c r="F70" s="277"/>
    </row>
    <row r="71" customFormat="false" ht="13.9" hidden="false" customHeight="true" outlineLevel="0" collapsed="false">
      <c r="B71" s="277"/>
      <c r="C71" s="277"/>
      <c r="D71" s="277"/>
      <c r="E71" s="277"/>
      <c r="F71" s="277"/>
    </row>
    <row r="72" customFormat="false" ht="31.9" hidden="false" customHeight="true" outlineLevel="0" collapsed="false">
      <c r="B72" s="279" t="s">
        <v>458</v>
      </c>
      <c r="C72" s="279"/>
      <c r="D72" s="258" t="s">
        <v>3</v>
      </c>
      <c r="E72" s="258"/>
      <c r="F72" s="258"/>
      <c r="G72" s="258"/>
    </row>
    <row r="73" customFormat="false" ht="14.5" hidden="false" customHeight="false" outlineLevel="0" collapsed="false">
      <c r="B73" s="257"/>
      <c r="C73" s="257"/>
      <c r="D73" s="205" t="n">
        <v>2025</v>
      </c>
      <c r="E73" s="205" t="n">
        <v>2030</v>
      </c>
      <c r="F73" s="205" t="n">
        <v>2040</v>
      </c>
      <c r="G73" s="205" t="n">
        <v>2050</v>
      </c>
    </row>
    <row r="74" customFormat="false" ht="14.5" hidden="false" customHeight="false" outlineLevel="0" collapsed="false">
      <c r="B74" s="229" t="s">
        <v>24</v>
      </c>
      <c r="C74" s="229"/>
      <c r="D74" s="260"/>
      <c r="E74" s="260"/>
      <c r="F74" s="260"/>
      <c r="G74" s="260"/>
    </row>
    <row r="75" customFormat="false" ht="14.5" hidden="false" customHeight="false" outlineLevel="0" collapsed="false">
      <c r="B75" s="280" t="s">
        <v>461</v>
      </c>
      <c r="C75" s="280"/>
      <c r="D75" s="281" t="n">
        <v>0.96</v>
      </c>
      <c r="E75" s="281" t="n">
        <v>0.96</v>
      </c>
      <c r="F75" s="281" t="n">
        <f aca="false">(E75+G75)/2</f>
        <v>0.95</v>
      </c>
      <c r="G75" s="281" t="n">
        <v>0.94</v>
      </c>
      <c r="H75" s="59" t="s">
        <v>607</v>
      </c>
      <c r="W75" s="216"/>
      <c r="X75" s="216"/>
    </row>
    <row r="76" customFormat="false" ht="14.5" hidden="false" customHeight="false" outlineLevel="0" collapsed="false">
      <c r="B76" s="280" t="s">
        <v>464</v>
      </c>
      <c r="C76" s="280"/>
      <c r="D76" s="281" t="n">
        <v>0.99</v>
      </c>
      <c r="E76" s="281" t="n">
        <v>0.98</v>
      </c>
      <c r="F76" s="281" t="n">
        <f aca="false">(E76+G76)/2</f>
        <v>0.965</v>
      </c>
      <c r="G76" s="281" t="n">
        <v>0.95</v>
      </c>
      <c r="H76" s="59" t="s">
        <v>608</v>
      </c>
      <c r="W76" s="216"/>
      <c r="X76" s="216"/>
    </row>
    <row r="77" customFormat="false" ht="14.5" hidden="false" customHeight="false" outlineLevel="0" collapsed="false">
      <c r="B77" s="280" t="s">
        <v>466</v>
      </c>
      <c r="C77" s="280"/>
      <c r="D77" s="262" t="n">
        <v>1</v>
      </c>
      <c r="E77" s="262" t="n">
        <v>0.98</v>
      </c>
      <c r="F77" s="262" t="n">
        <f aca="false">(E77+G77)/2</f>
        <v>0.965</v>
      </c>
      <c r="G77" s="281" t="n">
        <v>0.95</v>
      </c>
      <c r="H77" s="59" t="s">
        <v>609</v>
      </c>
    </row>
    <row r="78" customFormat="false" ht="14.5" hidden="false" customHeight="false" outlineLevel="0" collapsed="false">
      <c r="B78" s="282" t="s">
        <v>610</v>
      </c>
      <c r="C78" s="280"/>
      <c r="D78" s="262" t="n">
        <v>1</v>
      </c>
      <c r="E78" s="262" t="n">
        <v>1</v>
      </c>
      <c r="F78" s="262" t="n">
        <f aca="false">(E78+G78)/2</f>
        <v>1</v>
      </c>
      <c r="G78" s="262" t="n">
        <v>1</v>
      </c>
      <c r="H78" s="59" t="s">
        <v>611</v>
      </c>
    </row>
    <row r="79" customFormat="false" ht="14.5" hidden="false" customHeight="false" outlineLevel="0" collapsed="false">
      <c r="B79" s="280" t="s">
        <v>547</v>
      </c>
      <c r="C79" s="280"/>
      <c r="D79" s="262" t="n">
        <v>0.986451612903226</v>
      </c>
      <c r="E79" s="262" t="n">
        <v>0.975161290322581</v>
      </c>
      <c r="F79" s="262" t="n">
        <f aca="false">(E79+G79)/2</f>
        <v>0.95258064516129</v>
      </c>
      <c r="G79" s="262" t="n">
        <v>0.93</v>
      </c>
      <c r="H79" s="59" t="s">
        <v>612</v>
      </c>
      <c r="W79" s="216"/>
      <c r="X79" s="216"/>
    </row>
    <row r="80" customFormat="false" ht="14.5" hidden="false" customHeight="false" outlineLevel="0" collapsed="false">
      <c r="B80" s="280" t="s">
        <v>548</v>
      </c>
      <c r="C80" s="280"/>
      <c r="D80" s="281" t="n">
        <v>0.99</v>
      </c>
      <c r="E80" s="281" t="n">
        <v>0.98</v>
      </c>
      <c r="F80" s="281" t="n">
        <f aca="false">(E80+G80)/2</f>
        <v>0.965</v>
      </c>
      <c r="G80" s="281" t="n">
        <v>0.95</v>
      </c>
      <c r="H80" s="59" t="s">
        <v>613</v>
      </c>
    </row>
    <row r="81" customFormat="false" ht="14.5" hidden="false" customHeight="false" outlineLevel="0" collapsed="false">
      <c r="B81" s="280" t="s">
        <v>473</v>
      </c>
      <c r="C81" s="280"/>
      <c r="D81" s="262" t="n">
        <v>0.973919515280575</v>
      </c>
      <c r="E81" s="262" t="n">
        <v>0.964081944419154</v>
      </c>
      <c r="F81" s="262" t="n">
        <f aca="false">(E81+G81)/2</f>
        <v>0.959163158988444</v>
      </c>
      <c r="G81" s="262" t="n">
        <v>0.954244373557735</v>
      </c>
      <c r="H81" s="59" t="s">
        <v>614</v>
      </c>
      <c r="W81" s="216"/>
      <c r="X81" s="216"/>
    </row>
    <row r="82" customFormat="false" ht="14.5" hidden="false" customHeight="false" outlineLevel="0" collapsed="false">
      <c r="B82" s="229" t="s">
        <v>25</v>
      </c>
      <c r="C82" s="229"/>
      <c r="D82" s="260"/>
      <c r="E82" s="260"/>
      <c r="F82" s="260"/>
      <c r="G82" s="260"/>
      <c r="H82" s="59"/>
    </row>
    <row r="83" customFormat="false" ht="14.5" hidden="false" customHeight="false" outlineLevel="0" collapsed="false">
      <c r="B83" s="280" t="s">
        <v>475</v>
      </c>
      <c r="C83" s="280"/>
      <c r="D83" s="262" t="n">
        <v>0.96</v>
      </c>
      <c r="E83" s="262" t="n">
        <v>0.92</v>
      </c>
      <c r="F83" s="262" t="n">
        <f aca="false">(E83+G83)/2</f>
        <v>0.91</v>
      </c>
      <c r="G83" s="262" t="n">
        <v>0.9</v>
      </c>
      <c r="H83" s="59" t="s">
        <v>615</v>
      </c>
    </row>
    <row r="84" customFormat="false" ht="14.5" hidden="false" customHeight="false" outlineLevel="0" collapsed="false">
      <c r="B84" s="280" t="s">
        <v>476</v>
      </c>
      <c r="C84" s="280"/>
      <c r="D84" s="281" t="n">
        <v>0.98</v>
      </c>
      <c r="E84" s="281" t="n">
        <v>0.97</v>
      </c>
      <c r="F84" s="281" t="n">
        <f aca="false">(E84+G84)/2</f>
        <v>0.96</v>
      </c>
      <c r="G84" s="281" t="n">
        <v>0.95</v>
      </c>
      <c r="H84" s="59" t="s">
        <v>607</v>
      </c>
      <c r="W84" s="216"/>
      <c r="X84" s="216"/>
    </row>
    <row r="85" customFormat="false" ht="14.5" hidden="false" customHeight="false" outlineLevel="0" collapsed="false">
      <c r="B85" s="280" t="s">
        <v>479</v>
      </c>
      <c r="C85" s="280"/>
      <c r="D85" s="281" t="n">
        <v>0.97</v>
      </c>
      <c r="E85" s="262" t="n">
        <v>0.930576607964723</v>
      </c>
      <c r="F85" s="262" t="n">
        <f aca="false">(E85+G85)/2</f>
        <v>0.925678836343857</v>
      </c>
      <c r="G85" s="262" t="n">
        <v>0.92078106472299</v>
      </c>
      <c r="H85" s="59" t="s">
        <v>614</v>
      </c>
      <c r="W85" s="216"/>
      <c r="X85" s="216"/>
    </row>
    <row r="86" customFormat="false" ht="14.5" hidden="false" customHeight="false" outlineLevel="0" collapsed="false">
      <c r="B86" s="229" t="s">
        <v>480</v>
      </c>
      <c r="C86" s="229"/>
      <c r="D86" s="260"/>
      <c r="E86" s="260"/>
      <c r="F86" s="260"/>
      <c r="G86" s="260"/>
      <c r="H86" s="59"/>
    </row>
    <row r="87" customFormat="false" ht="14.5" hidden="false" customHeight="false" outlineLevel="0" collapsed="false">
      <c r="B87" s="280" t="s">
        <v>551</v>
      </c>
      <c r="C87" s="280"/>
      <c r="D87" s="281" t="n">
        <v>0.95</v>
      </c>
      <c r="E87" s="281" t="n">
        <v>0.94</v>
      </c>
      <c r="F87" s="281" t="n">
        <f aca="false">(E87+G87)/2</f>
        <v>0.93</v>
      </c>
      <c r="G87" s="281" t="n">
        <v>0.92</v>
      </c>
      <c r="H87" s="59" t="s">
        <v>607</v>
      </c>
      <c r="W87" s="216"/>
      <c r="X87" s="216"/>
    </row>
    <row r="88" customFormat="false" ht="14.5" hidden="false" customHeight="false" outlineLevel="0" collapsed="false">
      <c r="B88" s="280" t="s">
        <v>482</v>
      </c>
      <c r="C88" s="280"/>
      <c r="D88" s="281" t="n">
        <v>0.950939217087698</v>
      </c>
      <c r="E88" s="281" t="n">
        <v>0.906130562879377</v>
      </c>
      <c r="F88" s="281" t="n">
        <f aca="false">(E88+G88)/2</f>
        <v>0.881236866096976</v>
      </c>
      <c r="G88" s="281" t="n">
        <v>0.856343169314576</v>
      </c>
      <c r="H88" s="59" t="s">
        <v>616</v>
      </c>
      <c r="W88" s="216"/>
      <c r="X88" s="216"/>
    </row>
    <row r="89" customFormat="false" ht="14.5" hidden="false" customHeight="false" outlineLevel="0" collapsed="false">
      <c r="B89" s="280" t="s">
        <v>483</v>
      </c>
      <c r="C89" s="280"/>
      <c r="D89" s="262" t="n">
        <v>0.966243550225978</v>
      </c>
      <c r="E89" s="262" t="n">
        <v>0.941468074579157</v>
      </c>
      <c r="F89" s="262" t="n">
        <f aca="false">(E89+G89)/2</f>
        <v>0.936512979449793</v>
      </c>
      <c r="G89" s="262" t="n">
        <v>0.931557884320429</v>
      </c>
      <c r="H89" s="59" t="s">
        <v>611</v>
      </c>
    </row>
    <row r="90" customFormat="false" ht="14.5" hidden="false" customHeight="false" outlineLevel="0" collapsed="false">
      <c r="B90" s="229" t="s">
        <v>554</v>
      </c>
      <c r="C90" s="229"/>
      <c r="D90" s="263"/>
      <c r="E90" s="260"/>
      <c r="F90" s="260"/>
      <c r="G90" s="260"/>
      <c r="H90" s="59"/>
    </row>
    <row r="91" customFormat="false" ht="14.5" hidden="false" customHeight="false" outlineLevel="0" collapsed="false">
      <c r="B91" s="280" t="s">
        <v>555</v>
      </c>
      <c r="C91" s="280"/>
      <c r="D91" s="281" t="n">
        <v>0.96</v>
      </c>
      <c r="E91" s="281" t="n">
        <v>0.95</v>
      </c>
      <c r="F91" s="281" t="n">
        <f aca="false">(E91+G91)/2</f>
        <v>0.93</v>
      </c>
      <c r="G91" s="281" t="n">
        <v>0.91</v>
      </c>
      <c r="H91" s="59" t="s">
        <v>617</v>
      </c>
      <c r="W91" s="216"/>
      <c r="X91" s="216"/>
    </row>
    <row r="92" customFormat="false" ht="14.5" hidden="false" customHeight="false" outlineLevel="0" collapsed="false">
      <c r="B92" s="280" t="s">
        <v>556</v>
      </c>
      <c r="C92" s="280"/>
      <c r="D92" s="281" t="n">
        <v>0.99</v>
      </c>
      <c r="E92" s="281" t="n">
        <v>0.99</v>
      </c>
      <c r="F92" s="281" t="n">
        <f aca="false">(E92+G92)/2</f>
        <v>0.98</v>
      </c>
      <c r="G92" s="281" t="n">
        <v>0.97</v>
      </c>
      <c r="H92" s="59" t="s">
        <v>618</v>
      </c>
      <c r="W92" s="216"/>
      <c r="X92" s="216"/>
    </row>
    <row r="93" customFormat="false" ht="14.5" hidden="false" customHeight="false" outlineLevel="0" collapsed="false">
      <c r="B93" s="229" t="s">
        <v>487</v>
      </c>
      <c r="C93" s="229"/>
      <c r="D93" s="281" t="n">
        <v>0.99</v>
      </c>
      <c r="E93" s="281" t="n">
        <v>0.97</v>
      </c>
      <c r="F93" s="281" t="n">
        <f aca="false">(E93+G93)/2</f>
        <v>0.95</v>
      </c>
      <c r="G93" s="281" t="n">
        <v>0.93</v>
      </c>
      <c r="H93" s="59" t="s">
        <v>619</v>
      </c>
      <c r="W93" s="216"/>
      <c r="X93" s="216"/>
    </row>
    <row r="94" customFormat="false" ht="14.5" hidden="false" customHeight="false" outlineLevel="0" collapsed="false">
      <c r="B94" s="229" t="s">
        <v>31</v>
      </c>
      <c r="C94" s="229"/>
      <c r="D94" s="262" t="n">
        <v>0.99</v>
      </c>
      <c r="E94" s="262" t="n">
        <v>0.989</v>
      </c>
      <c r="F94" s="262" t="n">
        <f aca="false">(E94+G94)/2</f>
        <v>0.979</v>
      </c>
      <c r="G94" s="262" t="n">
        <v>0.969</v>
      </c>
      <c r="H94" s="59" t="s">
        <v>620</v>
      </c>
      <c r="I94" s="283"/>
      <c r="X94" s="216"/>
    </row>
    <row r="95" customFormat="false" ht="14.5" hidden="false" customHeight="false" outlineLevel="0" collapsed="false">
      <c r="B95" s="229" t="s">
        <v>488</v>
      </c>
      <c r="C95" s="229"/>
      <c r="D95" s="263"/>
      <c r="E95" s="260"/>
      <c r="F95" s="260"/>
      <c r="G95" s="260"/>
      <c r="H95" s="59"/>
    </row>
    <row r="96" customFormat="false" ht="14.5" hidden="false" customHeight="false" outlineLevel="0" collapsed="false">
      <c r="B96" s="280" t="s">
        <v>489</v>
      </c>
      <c r="C96" s="280"/>
      <c r="D96" s="281" t="n">
        <v>0.93</v>
      </c>
      <c r="E96" s="281" t="n">
        <v>0.92</v>
      </c>
      <c r="F96" s="281" t="n">
        <f aca="false">(E96+G96)/2</f>
        <v>0.91</v>
      </c>
      <c r="G96" s="281" t="n">
        <v>0.9</v>
      </c>
      <c r="H96" s="59" t="s">
        <v>621</v>
      </c>
      <c r="X96" s="216"/>
    </row>
    <row r="97" customFormat="false" ht="14.5" hidden="false" customHeight="false" outlineLevel="0" collapsed="false">
      <c r="B97" s="280" t="s">
        <v>490</v>
      </c>
      <c r="C97" s="280"/>
      <c r="D97" s="281" t="n">
        <v>0.99</v>
      </c>
      <c r="E97" s="281" t="n">
        <v>0.99</v>
      </c>
      <c r="F97" s="281" t="n">
        <f aca="false">(E97+G97)/2</f>
        <v>0.98</v>
      </c>
      <c r="G97" s="281" t="n">
        <v>0.97</v>
      </c>
      <c r="H97" s="59" t="s">
        <v>622</v>
      </c>
      <c r="X97" s="216"/>
    </row>
    <row r="102" customFormat="false" ht="13.8" hidden="false" customHeight="false" outlineLevel="0" collapsed="false">
      <c r="B102" s="256" t="s">
        <v>623</v>
      </c>
      <c r="D102" s="284" t="s">
        <v>624</v>
      </c>
      <c r="L102" s="285" t="s">
        <v>625</v>
      </c>
    </row>
    <row r="104" customFormat="false" ht="14.5" hidden="false" customHeight="false" outlineLevel="0" collapsed="false">
      <c r="B104" s="279" t="s">
        <v>458</v>
      </c>
      <c r="C104" s="279"/>
      <c r="D104" s="258" t="s">
        <v>4</v>
      </c>
      <c r="E104" s="258"/>
      <c r="F104" s="258"/>
      <c r="G104" s="258"/>
      <c r="N104" s="259" t="s">
        <v>626</v>
      </c>
      <c r="O104" s="259"/>
      <c r="P104" s="259" t="s">
        <v>627</v>
      </c>
      <c r="Q104" s="259"/>
    </row>
    <row r="105" customFormat="false" ht="14.5" hidden="false" customHeight="false" outlineLevel="0" collapsed="false">
      <c r="B105" s="279"/>
      <c r="C105" s="279"/>
      <c r="D105" s="205" t="n">
        <v>2025</v>
      </c>
      <c r="E105" s="205" t="n">
        <v>2030</v>
      </c>
      <c r="F105" s="205" t="n">
        <v>2040</v>
      </c>
      <c r="G105" s="205" t="n">
        <v>2050</v>
      </c>
      <c r="I105" s="285"/>
      <c r="N105" s="205" t="n">
        <v>2030</v>
      </c>
      <c r="O105" s="205" t="n">
        <v>2050</v>
      </c>
      <c r="P105" s="205" t="n">
        <v>2030</v>
      </c>
      <c r="Q105" s="205" t="n">
        <v>2050</v>
      </c>
    </row>
    <row r="106" customFormat="false" ht="14.5" hidden="false" customHeight="false" outlineLevel="0" collapsed="false">
      <c r="B106" s="248" t="s">
        <v>24</v>
      </c>
      <c r="C106" s="248"/>
      <c r="D106" s="260"/>
      <c r="E106" s="260"/>
      <c r="F106" s="260"/>
      <c r="G106" s="260"/>
      <c r="L106" s="286" t="s">
        <v>628</v>
      </c>
      <c r="M106" s="286"/>
      <c r="N106" s="287"/>
      <c r="O106" s="288"/>
      <c r="P106" s="288"/>
      <c r="Q106" s="289"/>
    </row>
    <row r="107" customFormat="false" ht="13.8" hidden="false" customHeight="false" outlineLevel="0" collapsed="false">
      <c r="B107" s="261" t="s">
        <v>461</v>
      </c>
      <c r="C107" s="261"/>
      <c r="D107" s="262"/>
      <c r="E107" s="262"/>
      <c r="F107" s="262"/>
      <c r="G107" s="262" t="n">
        <v>0.7</v>
      </c>
      <c r="H107" s="1" t="s">
        <v>546</v>
      </c>
      <c r="L107" s="290" t="s">
        <v>629</v>
      </c>
      <c r="M107" s="290"/>
      <c r="N107" s="291" t="s">
        <v>630</v>
      </c>
      <c r="O107" s="292" t="s">
        <v>630</v>
      </c>
      <c r="P107" s="293" t="n">
        <v>0.913327154080901</v>
      </c>
      <c r="Q107" s="294" t="n">
        <v>0.688320900239854</v>
      </c>
    </row>
    <row r="108" customFormat="false" ht="13.8" hidden="false" customHeight="false" outlineLevel="0" collapsed="false">
      <c r="B108" s="261" t="s">
        <v>464</v>
      </c>
      <c r="C108" s="261"/>
      <c r="D108" s="262" t="n">
        <v>0.98</v>
      </c>
      <c r="E108" s="262" t="n">
        <v>0.95</v>
      </c>
      <c r="F108" s="262"/>
      <c r="G108" s="262" t="n">
        <v>0.9</v>
      </c>
      <c r="H108" s="1" t="s">
        <v>631</v>
      </c>
      <c r="L108" s="290" t="s">
        <v>632</v>
      </c>
      <c r="M108" s="290"/>
      <c r="N108" s="295" t="n">
        <v>0.944831435828534</v>
      </c>
      <c r="O108" s="293" t="n">
        <v>0.905391751463928</v>
      </c>
      <c r="P108" s="293" t="n">
        <v>0.956663865763744</v>
      </c>
      <c r="Q108" s="294" t="n">
        <v>0.936933481319207</v>
      </c>
    </row>
    <row r="109" customFormat="false" ht="15" hidden="false" customHeight="true" outlineLevel="0" collapsed="false">
      <c r="B109" s="261" t="s">
        <v>466</v>
      </c>
      <c r="C109" s="261"/>
      <c r="D109" s="262" t="n">
        <v>1</v>
      </c>
      <c r="E109" s="262" t="n">
        <v>0.95</v>
      </c>
      <c r="F109" s="262"/>
      <c r="G109" s="262" t="n">
        <v>0.9</v>
      </c>
      <c r="H109" s="1" t="s">
        <v>633</v>
      </c>
      <c r="L109" s="290" t="s">
        <v>634</v>
      </c>
      <c r="M109" s="290"/>
      <c r="N109" s="296"/>
      <c r="O109" s="297"/>
      <c r="P109" s="297"/>
      <c r="Q109" s="298"/>
    </row>
    <row r="110" customFormat="false" ht="13.8" hidden="false" customHeight="false" outlineLevel="0" collapsed="false">
      <c r="B110" s="261" t="s">
        <v>635</v>
      </c>
      <c r="C110" s="261"/>
      <c r="D110" s="262" t="n">
        <v>1</v>
      </c>
      <c r="E110" s="262" t="n">
        <v>0.95</v>
      </c>
      <c r="F110" s="262"/>
      <c r="G110" s="262" t="n">
        <v>0.9</v>
      </c>
      <c r="H110" s="1" t="s">
        <v>633</v>
      </c>
      <c r="N110" s="296"/>
      <c r="O110" s="297"/>
      <c r="P110" s="297"/>
      <c r="Q110" s="298"/>
    </row>
    <row r="111" customFormat="false" ht="13.8" hidden="false" customHeight="false" outlineLevel="0" collapsed="false">
      <c r="B111" s="261" t="s">
        <v>547</v>
      </c>
      <c r="C111" s="261"/>
      <c r="D111" s="262" t="n">
        <v>0.98</v>
      </c>
      <c r="E111" s="262" t="n">
        <v>0.95</v>
      </c>
      <c r="F111" s="262"/>
      <c r="G111" s="262" t="n">
        <v>0.9</v>
      </c>
      <c r="H111" s="299" t="s">
        <v>636</v>
      </c>
      <c r="L111" s="290" t="s">
        <v>637</v>
      </c>
      <c r="M111" s="290"/>
      <c r="N111" s="295" t="n">
        <v>0.784694542532995</v>
      </c>
      <c r="O111" s="293" t="n">
        <v>0.448114548339413</v>
      </c>
      <c r="P111" s="293" t="n">
        <v>0.925189710649315</v>
      </c>
      <c r="Q111" s="294" t="n">
        <v>0.858690971582938</v>
      </c>
      <c r="R111" s="1" t="s">
        <v>638</v>
      </c>
    </row>
    <row r="112" customFormat="false" ht="13.8" hidden="false" customHeight="false" outlineLevel="0" collapsed="false">
      <c r="B112" s="261" t="s">
        <v>548</v>
      </c>
      <c r="C112" s="261"/>
      <c r="D112" s="262" t="n">
        <v>0.95</v>
      </c>
      <c r="E112" s="262" t="n">
        <v>0.89</v>
      </c>
      <c r="F112" s="262"/>
      <c r="G112" s="262" t="n">
        <v>0.82</v>
      </c>
      <c r="H112" s="299" t="s">
        <v>636</v>
      </c>
      <c r="L112" s="290"/>
      <c r="M112" s="290"/>
      <c r="N112" s="295"/>
      <c r="O112" s="293"/>
      <c r="P112" s="293"/>
      <c r="Q112" s="294"/>
    </row>
    <row r="113" customFormat="false" ht="13.8" hidden="false" customHeight="false" outlineLevel="0" collapsed="false">
      <c r="B113" s="261" t="s">
        <v>473</v>
      </c>
      <c r="C113" s="261"/>
      <c r="D113" s="262" t="n">
        <v>0.98</v>
      </c>
      <c r="E113" s="262" t="n">
        <v>0.95</v>
      </c>
      <c r="F113" s="262"/>
      <c r="G113" s="262" t="n">
        <v>0.9</v>
      </c>
      <c r="H113" s="299" t="s">
        <v>639</v>
      </c>
      <c r="L113" s="290" t="s">
        <v>640</v>
      </c>
      <c r="M113" s="290"/>
      <c r="N113" s="295" t="n">
        <v>1.00212918670271</v>
      </c>
      <c r="O113" s="293" t="n">
        <v>0.640120622996975</v>
      </c>
      <c r="P113" s="293" t="n">
        <v>1.09600548090054</v>
      </c>
      <c r="Q113" s="294" t="n">
        <v>1.07589135156824</v>
      </c>
    </row>
    <row r="114" customFormat="false" ht="13.8" hidden="false" customHeight="false" outlineLevel="0" collapsed="false">
      <c r="B114" s="248" t="s">
        <v>25</v>
      </c>
      <c r="C114" s="248"/>
      <c r="D114" s="260"/>
      <c r="E114" s="260"/>
      <c r="F114" s="260"/>
      <c r="G114" s="260"/>
      <c r="H114" s="299"/>
      <c r="L114" s="290"/>
      <c r="M114" s="290"/>
      <c r="N114" s="295"/>
      <c r="O114" s="293"/>
      <c r="P114" s="293"/>
      <c r="Q114" s="294"/>
    </row>
    <row r="115" customFormat="false" ht="13.8" hidden="false" customHeight="false" outlineLevel="0" collapsed="false">
      <c r="B115" s="261" t="s">
        <v>475</v>
      </c>
      <c r="C115" s="261"/>
      <c r="D115" s="262" t="n">
        <v>0.9</v>
      </c>
      <c r="E115" s="262" t="n">
        <v>0.74</v>
      </c>
      <c r="F115" s="262"/>
      <c r="G115" s="262" t="n">
        <v>0.71</v>
      </c>
      <c r="H115" s="299" t="s">
        <v>631</v>
      </c>
      <c r="L115" s="290" t="s">
        <v>641</v>
      </c>
      <c r="M115" s="290"/>
      <c r="N115" s="295" t="n">
        <v>0.735762989307509</v>
      </c>
      <c r="O115" s="293" t="n">
        <v>0.712003858892354</v>
      </c>
      <c r="P115" s="293" t="n">
        <v>0.738328034332286</v>
      </c>
      <c r="Q115" s="294" t="n">
        <v>0.717948685604444</v>
      </c>
    </row>
    <row r="116" customFormat="false" ht="13.8" hidden="false" customHeight="false" outlineLevel="0" collapsed="false">
      <c r="B116" s="261" t="s">
        <v>476</v>
      </c>
      <c r="C116" s="261"/>
      <c r="D116" s="262" t="n">
        <v>0.93</v>
      </c>
      <c r="E116" s="262" t="n">
        <v>0.88</v>
      </c>
      <c r="F116" s="262"/>
      <c r="G116" s="262" t="n">
        <v>0.738461538461539</v>
      </c>
      <c r="H116" s="299" t="s">
        <v>631</v>
      </c>
      <c r="L116" s="290" t="s">
        <v>642</v>
      </c>
      <c r="M116" s="290"/>
      <c r="N116" s="295" t="n">
        <v>0.958351798699013</v>
      </c>
      <c r="O116" s="293" t="n">
        <v>0.907542071696301</v>
      </c>
      <c r="P116" s="293" t="n">
        <v>0.88775029134714</v>
      </c>
      <c r="Q116" s="294" t="n">
        <v>0.709416417304043</v>
      </c>
    </row>
    <row r="117" customFormat="false" ht="13.8" hidden="false" customHeight="false" outlineLevel="0" collapsed="false">
      <c r="B117" s="261" t="s">
        <v>479</v>
      </c>
      <c r="C117" s="261"/>
      <c r="D117" s="262" t="n">
        <v>0.95</v>
      </c>
      <c r="E117" s="262" t="n">
        <v>0.91</v>
      </c>
      <c r="F117" s="262"/>
      <c r="G117" s="262" t="n">
        <v>0.81</v>
      </c>
      <c r="H117" s="300" t="s">
        <v>643</v>
      </c>
      <c r="L117" s="290" t="s">
        <v>644</v>
      </c>
      <c r="M117" s="290"/>
      <c r="N117" s="295" t="n">
        <v>0.931825915866135</v>
      </c>
      <c r="O117" s="293" t="n">
        <v>0.861338762686899</v>
      </c>
      <c r="P117" s="293" t="n">
        <v>0.910633089044936</v>
      </c>
      <c r="Q117" s="294" t="n">
        <v>0.80554219430119</v>
      </c>
    </row>
    <row r="118" customFormat="false" ht="13.8" hidden="false" customHeight="false" outlineLevel="0" collapsed="false">
      <c r="B118" s="248" t="s">
        <v>480</v>
      </c>
      <c r="C118" s="248"/>
      <c r="D118" s="260"/>
      <c r="E118" s="260"/>
      <c r="F118" s="260"/>
      <c r="G118" s="260"/>
      <c r="L118" s="290"/>
      <c r="M118" s="290"/>
      <c r="N118" s="295"/>
      <c r="O118" s="293"/>
      <c r="P118" s="293"/>
      <c r="Q118" s="294"/>
    </row>
    <row r="119" customFormat="false" ht="13.8" hidden="false" customHeight="false" outlineLevel="0" collapsed="false">
      <c r="B119" s="261" t="s">
        <v>551</v>
      </c>
      <c r="C119" s="261"/>
      <c r="D119" s="262" t="n">
        <v>0.97</v>
      </c>
      <c r="E119" s="262" t="n">
        <v>0.93</v>
      </c>
      <c r="F119" s="262"/>
      <c r="G119" s="262" t="n">
        <v>0.86</v>
      </c>
      <c r="H119" s="1" t="s">
        <v>631</v>
      </c>
      <c r="L119" s="290" t="s">
        <v>645</v>
      </c>
      <c r="M119" s="290"/>
      <c r="N119" s="295" t="n">
        <v>0.926466640601943</v>
      </c>
      <c r="O119" s="293" t="n">
        <v>0.835075647648226</v>
      </c>
      <c r="P119" s="293" t="n">
        <v>0.939213926743034</v>
      </c>
      <c r="Q119" s="294" t="n">
        <v>0.893994094803563</v>
      </c>
    </row>
    <row r="120" customFormat="false" ht="13.8" hidden="false" customHeight="false" outlineLevel="0" collapsed="false">
      <c r="B120" s="261" t="s">
        <v>482</v>
      </c>
      <c r="C120" s="261"/>
      <c r="D120" s="262" t="n">
        <v>0.93</v>
      </c>
      <c r="E120" s="262" t="n">
        <v>0.86</v>
      </c>
      <c r="F120" s="262"/>
      <c r="G120" s="262" t="n">
        <v>0.7</v>
      </c>
      <c r="H120" s="1" t="s">
        <v>646</v>
      </c>
      <c r="L120" s="290" t="s">
        <v>647</v>
      </c>
      <c r="M120" s="290"/>
      <c r="N120" s="295" t="n">
        <v>0.88605352307275</v>
      </c>
      <c r="O120" s="293" t="n">
        <v>0.727942784443631</v>
      </c>
      <c r="P120" s="293" t="n">
        <v>0.836044273939696</v>
      </c>
      <c r="Q120" s="294" t="n">
        <v>0.640096640580074</v>
      </c>
      <c r="R120" s="1" t="s">
        <v>638</v>
      </c>
    </row>
    <row r="121" customFormat="false" ht="13.8" hidden="false" customHeight="false" outlineLevel="0" collapsed="false">
      <c r="B121" s="261" t="s">
        <v>483</v>
      </c>
      <c r="C121" s="261"/>
      <c r="D121" s="262" t="n">
        <v>0.955</v>
      </c>
      <c r="E121" s="262" t="n">
        <v>0.91</v>
      </c>
      <c r="F121" s="262"/>
      <c r="G121" s="262" t="n">
        <v>0.8</v>
      </c>
      <c r="H121" s="1" t="s">
        <v>546</v>
      </c>
      <c r="L121" s="290" t="s">
        <v>648</v>
      </c>
      <c r="M121" s="290"/>
      <c r="N121" s="295" t="n">
        <v>0.965327539111665</v>
      </c>
      <c r="O121" s="293" t="n">
        <v>0.956446686691702</v>
      </c>
      <c r="P121" s="293" t="n">
        <v>0.904671010896742</v>
      </c>
      <c r="Q121" s="294" t="n">
        <v>0.791081856669722</v>
      </c>
    </row>
    <row r="122" customFormat="false" ht="13.8" hidden="false" customHeight="false" outlineLevel="0" collapsed="false">
      <c r="B122" s="248" t="s">
        <v>554</v>
      </c>
      <c r="C122" s="248"/>
      <c r="D122" s="260"/>
      <c r="E122" s="260"/>
      <c r="F122" s="260"/>
      <c r="G122" s="260"/>
      <c r="L122" s="290"/>
      <c r="M122" s="290"/>
      <c r="N122" s="295"/>
      <c r="O122" s="293"/>
      <c r="P122" s="293"/>
      <c r="Q122" s="294"/>
    </row>
    <row r="123" customFormat="false" ht="13.8" hidden="false" customHeight="false" outlineLevel="0" collapsed="false">
      <c r="B123" s="261" t="s">
        <v>555</v>
      </c>
      <c r="C123" s="261"/>
      <c r="D123" s="262" t="n">
        <v>0.94</v>
      </c>
      <c r="E123" s="262" t="n">
        <v>0.88</v>
      </c>
      <c r="F123" s="262"/>
      <c r="G123" s="262" t="n">
        <v>0.74</v>
      </c>
      <c r="H123" s="1" t="s">
        <v>546</v>
      </c>
      <c r="L123" s="290" t="s">
        <v>649</v>
      </c>
      <c r="M123" s="290"/>
      <c r="N123" s="295" t="n">
        <v>0.934771280042881</v>
      </c>
      <c r="O123" s="293" t="n">
        <v>0.878813388900246</v>
      </c>
      <c r="P123" s="293" t="n">
        <v>0.865323215152446</v>
      </c>
      <c r="Q123" s="294" t="n">
        <v>0.707280934585861</v>
      </c>
    </row>
    <row r="124" customFormat="false" ht="13.8" hidden="false" customHeight="false" outlineLevel="0" collapsed="false">
      <c r="B124" s="261" t="s">
        <v>556</v>
      </c>
      <c r="C124" s="261"/>
      <c r="D124" s="262" t="n">
        <v>0.93</v>
      </c>
      <c r="E124" s="262" t="n">
        <v>0.86</v>
      </c>
      <c r="F124" s="262"/>
      <c r="G124" s="262" t="n">
        <v>0.73</v>
      </c>
      <c r="H124" s="1" t="s">
        <v>631</v>
      </c>
      <c r="L124" s="290" t="s">
        <v>650</v>
      </c>
      <c r="M124" s="290"/>
      <c r="N124" s="295" t="n">
        <v>0.900096743245709</v>
      </c>
      <c r="O124" s="293" t="n">
        <v>0.768450638873825</v>
      </c>
      <c r="P124" s="293" t="n">
        <v>0.873394428830338</v>
      </c>
      <c r="Q124" s="294" t="n">
        <v>0.713630190952811</v>
      </c>
    </row>
    <row r="125" customFormat="false" ht="13.8" hidden="false" customHeight="false" outlineLevel="0" collapsed="false">
      <c r="B125" s="248" t="s">
        <v>487</v>
      </c>
      <c r="C125" s="248"/>
      <c r="D125" s="262" t="n">
        <v>0.94</v>
      </c>
      <c r="E125" s="262" t="n">
        <v>0.88</v>
      </c>
      <c r="F125" s="262"/>
      <c r="G125" s="262" t="n">
        <v>0.74</v>
      </c>
      <c r="H125" s="1" t="s">
        <v>631</v>
      </c>
      <c r="L125" s="290" t="s">
        <v>651</v>
      </c>
      <c r="M125" s="290"/>
      <c r="N125" s="295" t="n">
        <v>0.877342605813752</v>
      </c>
      <c r="O125" s="293" t="n">
        <v>0.726046833415107</v>
      </c>
      <c r="P125" s="293" t="n">
        <v>0.885692690316827</v>
      </c>
      <c r="Q125" s="294" t="n">
        <v>0.749275168610205</v>
      </c>
    </row>
    <row r="126" customFormat="false" ht="13.8" hidden="false" customHeight="false" outlineLevel="0" collapsed="false">
      <c r="B126" s="248" t="s">
        <v>31</v>
      </c>
      <c r="C126" s="248"/>
      <c r="D126" s="262" t="n">
        <v>0.95</v>
      </c>
      <c r="E126" s="262" t="n">
        <v>0.87</v>
      </c>
      <c r="F126" s="262"/>
      <c r="G126" s="262" t="n">
        <v>0.71</v>
      </c>
      <c r="H126" s="1" t="s">
        <v>652</v>
      </c>
      <c r="L126" s="290" t="s">
        <v>648</v>
      </c>
      <c r="M126" s="290"/>
      <c r="N126" s="295" t="n">
        <v>0.965327539111665</v>
      </c>
      <c r="O126" s="293" t="n">
        <v>0.956446686691702</v>
      </c>
      <c r="P126" s="293" t="n">
        <v>0.904671010896742</v>
      </c>
      <c r="Q126" s="294" t="n">
        <v>0.791081856669722</v>
      </c>
    </row>
    <row r="127" customFormat="false" ht="13.8" hidden="false" customHeight="false" outlineLevel="0" collapsed="false">
      <c r="B127" s="248" t="s">
        <v>488</v>
      </c>
      <c r="C127" s="248"/>
      <c r="D127" s="260"/>
      <c r="E127" s="260"/>
      <c r="F127" s="260"/>
      <c r="G127" s="260"/>
      <c r="L127" s="290"/>
      <c r="M127" s="290"/>
      <c r="N127" s="295"/>
      <c r="O127" s="293"/>
      <c r="P127" s="293"/>
      <c r="Q127" s="294"/>
    </row>
    <row r="128" customFormat="false" ht="13.8" hidden="false" customHeight="false" outlineLevel="0" collapsed="false">
      <c r="B128" s="261" t="s">
        <v>489</v>
      </c>
      <c r="C128" s="261"/>
      <c r="D128" s="262" t="n">
        <v>0.94</v>
      </c>
      <c r="E128" s="262" t="n">
        <v>0.88</v>
      </c>
      <c r="F128" s="262"/>
      <c r="G128" s="262" t="n">
        <v>0.74</v>
      </c>
      <c r="H128" s="1" t="s">
        <v>653</v>
      </c>
      <c r="L128" s="290" t="s">
        <v>654</v>
      </c>
      <c r="M128" s="290"/>
      <c r="N128" s="301" t="n">
        <v>0.877342605813752</v>
      </c>
      <c r="O128" s="302" t="n">
        <v>0.726046833415107</v>
      </c>
      <c r="P128" s="302" t="n">
        <v>0.885692690316827</v>
      </c>
      <c r="Q128" s="303" t="n">
        <v>0.749275168610205</v>
      </c>
    </row>
    <row r="129" customFormat="false" ht="13.8" hidden="false" customHeight="false" outlineLevel="0" collapsed="false">
      <c r="B129" s="261" t="s">
        <v>490</v>
      </c>
      <c r="C129" s="261"/>
      <c r="D129" s="262" t="n">
        <v>0.925</v>
      </c>
      <c r="E129" s="262" t="n">
        <v>0.88</v>
      </c>
      <c r="F129" s="262"/>
      <c r="G129" s="262" t="n">
        <v>0.74</v>
      </c>
      <c r="H129" s="1" t="s">
        <v>655</v>
      </c>
    </row>
  </sheetData>
  <mergeCells count="95">
    <mergeCell ref="B9:C10"/>
    <mergeCell ref="D9:G9"/>
    <mergeCell ref="H9:K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9:B41"/>
    <mergeCell ref="C39:F39"/>
    <mergeCell ref="H39:H41"/>
    <mergeCell ref="I39:L39"/>
    <mergeCell ref="O39:O41"/>
    <mergeCell ref="P39:S39"/>
    <mergeCell ref="U39:U41"/>
    <mergeCell ref="V39:Y39"/>
    <mergeCell ref="C40:D40"/>
    <mergeCell ref="E40:F40"/>
    <mergeCell ref="I40:J40"/>
    <mergeCell ref="K40:L40"/>
    <mergeCell ref="P40:Q40"/>
    <mergeCell ref="R40:S40"/>
    <mergeCell ref="V40:W40"/>
    <mergeCell ref="X40:Y40"/>
    <mergeCell ref="AB42:AC42"/>
    <mergeCell ref="AD42:AE42"/>
    <mergeCell ref="D72:G72"/>
    <mergeCell ref="B104:C105"/>
    <mergeCell ref="D104:G104"/>
    <mergeCell ref="N104:O104"/>
    <mergeCell ref="P104:Q104"/>
    <mergeCell ref="B106:C106"/>
    <mergeCell ref="L106:M106"/>
    <mergeCell ref="B107:C107"/>
    <mergeCell ref="L107:M107"/>
    <mergeCell ref="B108:C108"/>
    <mergeCell ref="L108:M108"/>
    <mergeCell ref="B109:C109"/>
    <mergeCell ref="L109:M109"/>
    <mergeCell ref="B110:C110"/>
    <mergeCell ref="B111:C111"/>
    <mergeCell ref="L111:M111"/>
    <mergeCell ref="B112:C112"/>
    <mergeCell ref="L112:M112"/>
    <mergeCell ref="B113:C113"/>
    <mergeCell ref="L113:M113"/>
    <mergeCell ref="B114:C114"/>
    <mergeCell ref="L114:M114"/>
    <mergeCell ref="B115:C115"/>
    <mergeCell ref="L115:M115"/>
    <mergeCell ref="B116:C116"/>
    <mergeCell ref="L116:M116"/>
    <mergeCell ref="B117:C117"/>
    <mergeCell ref="L117:M117"/>
    <mergeCell ref="B118:C118"/>
    <mergeCell ref="L118:M118"/>
    <mergeCell ref="B119:C119"/>
    <mergeCell ref="L119:M119"/>
    <mergeCell ref="B120:C120"/>
    <mergeCell ref="L120:M120"/>
    <mergeCell ref="B121:C121"/>
    <mergeCell ref="L121:M121"/>
    <mergeCell ref="B122:C122"/>
    <mergeCell ref="L122:M122"/>
    <mergeCell ref="B123:C123"/>
    <mergeCell ref="L123:M123"/>
    <mergeCell ref="B124:C124"/>
    <mergeCell ref="L124:M124"/>
    <mergeCell ref="B125:C125"/>
    <mergeCell ref="L125:M125"/>
    <mergeCell ref="B126:C126"/>
    <mergeCell ref="L126:M126"/>
    <mergeCell ref="B127:C127"/>
    <mergeCell ref="L127:M127"/>
    <mergeCell ref="B128:C128"/>
    <mergeCell ref="L128:M128"/>
    <mergeCell ref="B129:C1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tabColor rgb="FF2A6099"/>
    <pageSetUpPr fitToPage="false"/>
  </sheetPr>
  <dimension ref="B4:AL35"/>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I39" activeCellId="0" sqref="I39"/>
    </sheetView>
  </sheetViews>
  <sheetFormatPr defaultRowHeight="14.5" zeroHeight="false" outlineLevelRow="0" outlineLevelCol="0"/>
  <cols>
    <col collapsed="false" customWidth="true" hidden="false" outlineLevel="0" max="1" min="1" style="1" width="8.45"/>
    <col collapsed="false" customWidth="true" hidden="false" outlineLevel="0" max="2" min="2" style="1" width="23.27"/>
    <col collapsed="false" customWidth="true" hidden="false" outlineLevel="0" max="20" min="3" style="1" width="8.45"/>
    <col collapsed="false" customWidth="true" hidden="false" outlineLevel="0" max="21" min="21" style="1" width="14.72"/>
    <col collapsed="false" customWidth="true" hidden="false" outlineLevel="0" max="22" min="22" style="1" width="15.81"/>
    <col collapsed="false" customWidth="true" hidden="false" outlineLevel="0" max="23" min="23" style="1" width="17"/>
    <col collapsed="false" customWidth="true" hidden="false" outlineLevel="0" max="1025" min="24" style="1" width="8.45"/>
  </cols>
  <sheetData>
    <row r="4" customFormat="false" ht="14.5" hidden="false" customHeight="false" outlineLevel="0" collapsed="false">
      <c r="O4" s="1" t="n">
        <f aca="false">700*0.45</f>
        <v>315</v>
      </c>
    </row>
    <row r="7" customFormat="false" ht="13.9" hidden="false" customHeight="true" outlineLevel="0" collapsed="false">
      <c r="B7" s="304" t="s">
        <v>656</v>
      </c>
      <c r="C7" s="304"/>
      <c r="D7" s="304"/>
      <c r="E7" s="304"/>
      <c r="F7" s="304"/>
      <c r="G7" s="304"/>
      <c r="H7" s="304"/>
      <c r="I7" s="304"/>
      <c r="J7" s="304"/>
      <c r="K7" s="304"/>
      <c r="L7" s="304"/>
      <c r="M7" s="304"/>
      <c r="N7" s="304"/>
      <c r="O7" s="304"/>
      <c r="P7" s="305"/>
      <c r="Q7" s="305"/>
      <c r="R7" s="305"/>
      <c r="S7" s="305"/>
    </row>
    <row r="9" customFormat="false" ht="14.5" hidden="false" customHeight="false" outlineLevel="0" collapsed="false">
      <c r="B9" s="1" t="s">
        <v>657</v>
      </c>
      <c r="C9" s="306" t="s">
        <v>658</v>
      </c>
      <c r="D9" s="306"/>
      <c r="E9" s="306"/>
      <c r="F9" s="306"/>
      <c r="G9" s="306"/>
      <c r="H9" s="306"/>
      <c r="I9" s="307" t="s">
        <v>21</v>
      </c>
      <c r="J9" s="307"/>
      <c r="K9" s="307"/>
      <c r="L9" s="307"/>
      <c r="M9" s="307"/>
      <c r="N9" s="307"/>
      <c r="O9" s="308" t="s">
        <v>22</v>
      </c>
      <c r="P9" s="308"/>
      <c r="Q9" s="308"/>
      <c r="R9" s="308"/>
      <c r="S9" s="308"/>
      <c r="T9" s="308"/>
      <c r="Y9" s="307" t="s">
        <v>559</v>
      </c>
      <c r="Z9" s="307"/>
      <c r="AA9" s="307" t="s">
        <v>561</v>
      </c>
      <c r="AB9" s="307"/>
      <c r="AD9" s="1" t="s">
        <v>659</v>
      </c>
      <c r="AK9" s="266" t="s">
        <v>660</v>
      </c>
      <c r="AL9" s="266"/>
    </row>
    <row r="10" customFormat="false" ht="14.5" hidden="false" customHeight="false" outlineLevel="0" collapsed="false">
      <c r="C10" s="309" t="n">
        <v>2010</v>
      </c>
      <c r="D10" s="309" t="n">
        <v>2015</v>
      </c>
      <c r="E10" s="309" t="n">
        <v>2016</v>
      </c>
      <c r="F10" s="309" t="n">
        <v>2017</v>
      </c>
      <c r="G10" s="309" t="n">
        <v>2018</v>
      </c>
      <c r="H10" s="309" t="n">
        <v>2019</v>
      </c>
      <c r="I10" s="310" t="n">
        <v>2025</v>
      </c>
      <c r="J10" s="310" t="n">
        <v>2030</v>
      </c>
      <c r="K10" s="310" t="n">
        <v>2035</v>
      </c>
      <c r="L10" s="310" t="n">
        <v>2040</v>
      </c>
      <c r="M10" s="310" t="n">
        <v>2045</v>
      </c>
      <c r="N10" s="310" t="n">
        <v>2050</v>
      </c>
      <c r="O10" s="311" t="n">
        <v>2025</v>
      </c>
      <c r="P10" s="311" t="n">
        <v>2030</v>
      </c>
      <c r="Q10" s="311" t="n">
        <v>2035</v>
      </c>
      <c r="R10" s="311" t="n">
        <v>2040</v>
      </c>
      <c r="S10" s="311" t="n">
        <v>2045</v>
      </c>
      <c r="T10" s="311" t="n">
        <v>2050</v>
      </c>
      <c r="U10" s="1" t="s">
        <v>661</v>
      </c>
      <c r="V10" s="1" t="s">
        <v>662</v>
      </c>
      <c r="W10" s="1" t="s">
        <v>663</v>
      </c>
      <c r="Y10" s="310" t="n">
        <v>2030</v>
      </c>
      <c r="Z10" s="310" t="n">
        <v>2050</v>
      </c>
      <c r="AA10" s="310" t="n">
        <v>2030</v>
      </c>
      <c r="AB10" s="310" t="n">
        <v>2050</v>
      </c>
      <c r="AE10" s="312" t="s">
        <v>664</v>
      </c>
      <c r="AF10" s="313" t="s">
        <v>665</v>
      </c>
      <c r="AG10" s="314" t="s">
        <v>666</v>
      </c>
      <c r="AH10" s="315" t="s">
        <v>667</v>
      </c>
      <c r="AI10" s="316" t="s">
        <v>668</v>
      </c>
      <c r="AK10" s="266"/>
      <c r="AL10" s="317" t="s">
        <v>669</v>
      </c>
    </row>
    <row r="11" customFormat="false" ht="14.5" hidden="false" customHeight="false" outlineLevel="0" collapsed="false">
      <c r="B11" s="209" t="s">
        <v>24</v>
      </c>
      <c r="C11" s="268" t="n">
        <v>0</v>
      </c>
      <c r="D11" s="268"/>
      <c r="E11" s="268"/>
      <c r="F11" s="268"/>
      <c r="G11" s="268"/>
      <c r="H11" s="268"/>
      <c r="I11" s="268"/>
      <c r="J11" s="268"/>
      <c r="K11" s="268"/>
      <c r="L11" s="268"/>
      <c r="M11" s="268"/>
      <c r="N11" s="268"/>
      <c r="O11" s="268"/>
      <c r="P11" s="268" t="n">
        <v>0</v>
      </c>
      <c r="Q11" s="268"/>
      <c r="R11" s="268"/>
      <c r="S11" s="268"/>
      <c r="T11" s="268"/>
      <c r="V11" s="1" t="s">
        <v>670</v>
      </c>
      <c r="Y11" s="268"/>
      <c r="Z11" s="268"/>
      <c r="AA11" s="268"/>
      <c r="AB11" s="268"/>
      <c r="AD11" s="318" t="s">
        <v>6</v>
      </c>
      <c r="AE11" s="319" t="n">
        <v>0.43</v>
      </c>
      <c r="AF11" s="320" t="n">
        <v>0.51</v>
      </c>
      <c r="AG11" s="321" t="n">
        <v>0.7</v>
      </c>
      <c r="AH11" s="322" t="n">
        <v>0.44</v>
      </c>
      <c r="AI11" s="323" t="n">
        <v>0.4</v>
      </c>
      <c r="AK11" s="324" t="s">
        <v>6</v>
      </c>
      <c r="AL11" s="325" t="n">
        <v>0.8</v>
      </c>
    </row>
    <row r="12" customFormat="false" ht="14.5" hidden="false" customHeight="false" outlineLevel="0" collapsed="false">
      <c r="B12" s="211" t="s">
        <v>574</v>
      </c>
      <c r="C12" s="326"/>
      <c r="D12" s="326" t="n">
        <f aca="false">IGCE!C3</f>
        <v>0.44389662027833</v>
      </c>
      <c r="E12" s="326" t="n">
        <f aca="false">IGCE!D3</f>
        <v>0.442519031141869</v>
      </c>
      <c r="F12" s="326" t="n">
        <f aca="false">IGCE!E3</f>
        <v>0.422230769230769</v>
      </c>
      <c r="G12" s="326" t="n">
        <f aca="false">IGCE!F3</f>
        <v>0.423689320388349</v>
      </c>
      <c r="H12" s="326" t="n">
        <f aca="false">IGCE!G3</f>
        <v>0.416778615490062</v>
      </c>
      <c r="I12" s="262" t="n">
        <f aca="false">(H12+J12)/2</f>
        <v>0.443389307745031</v>
      </c>
      <c r="J12" s="262" t="n">
        <f aca="false">46%+1%</f>
        <v>0.47</v>
      </c>
      <c r="K12" s="262" t="n">
        <f aca="false">(J12+L12)/2</f>
        <v>0.475</v>
      </c>
      <c r="L12" s="262" t="n">
        <f aca="false">(J12+N12)/2</f>
        <v>0.48</v>
      </c>
      <c r="M12" s="262" t="n">
        <f aca="false">(L12+N12)/2</f>
        <v>0.485</v>
      </c>
      <c r="N12" s="262" t="n">
        <f aca="false">46%+3%</f>
        <v>0.49</v>
      </c>
      <c r="O12" s="327" t="n">
        <f aca="false">(H12+P12)/2</f>
        <v>0.523389307745031</v>
      </c>
      <c r="P12" s="327" t="n">
        <v>0.63</v>
      </c>
      <c r="Q12" s="327" t="n">
        <f aca="false">(P12+R12)/2</f>
        <v>0.6475</v>
      </c>
      <c r="R12" s="327" t="n">
        <f aca="false">(P12+T12)/2</f>
        <v>0.665</v>
      </c>
      <c r="S12" s="327" t="n">
        <f aca="false">(R12+T12)/2</f>
        <v>0.6825</v>
      </c>
      <c r="T12" s="327" t="n">
        <v>0.7</v>
      </c>
      <c r="U12" s="1" t="s">
        <v>671</v>
      </c>
      <c r="V12" s="1" t="s">
        <v>672</v>
      </c>
      <c r="W12" s="1" t="s">
        <v>673</v>
      </c>
      <c r="Y12" s="262" t="n">
        <v>0.36</v>
      </c>
      <c r="Z12" s="262" t="n">
        <v>0.36</v>
      </c>
      <c r="AA12" s="262" t="n">
        <v>0.48</v>
      </c>
      <c r="AB12" s="262" t="n">
        <v>0.8</v>
      </c>
      <c r="AD12" s="318" t="s">
        <v>10</v>
      </c>
      <c r="AE12" s="319" t="n">
        <v>0.55</v>
      </c>
      <c r="AF12" s="320" t="n">
        <v>0.75</v>
      </c>
      <c r="AG12" s="321" t="n">
        <v>0.85</v>
      </c>
      <c r="AH12" s="322" t="n">
        <v>0.55</v>
      </c>
      <c r="AI12" s="323" t="n">
        <v>0.45</v>
      </c>
      <c r="AK12" s="328" t="s">
        <v>10</v>
      </c>
      <c r="AL12" s="329" t="n">
        <v>0.7</v>
      </c>
    </row>
    <row r="13" customFormat="false" ht="14.5" hidden="false" customHeight="false" outlineLevel="0" collapsed="false">
      <c r="B13" s="211" t="s">
        <v>576</v>
      </c>
      <c r="C13" s="326" t="n">
        <v>0.559448462929476</v>
      </c>
      <c r="D13" s="326" t="n">
        <v>0.528555431131019</v>
      </c>
      <c r="E13" s="326" t="n">
        <v>0.531590413943355</v>
      </c>
      <c r="F13" s="326" t="n">
        <v>0.53927813163482</v>
      </c>
      <c r="G13" s="326" t="n">
        <v>0.564920273348519</v>
      </c>
      <c r="H13" s="326" t="n">
        <v>0.532438478747204</v>
      </c>
      <c r="I13" s="262" t="n">
        <f aca="false">(H13+J13)/2</f>
        <v>0.537438478747204</v>
      </c>
      <c r="J13" s="262" t="n">
        <f aca="false">H13+1%</f>
        <v>0.542438478747204</v>
      </c>
      <c r="K13" s="262" t="n">
        <f aca="false">(J13+L13)/2</f>
        <v>0.549938478747204</v>
      </c>
      <c r="L13" s="262" t="n">
        <f aca="false">(J13+N13)/2</f>
        <v>0.557438478747204</v>
      </c>
      <c r="M13" s="262" t="n">
        <f aca="false">(L13+N13)/2</f>
        <v>0.564938478747204</v>
      </c>
      <c r="N13" s="262" t="n">
        <f aca="false">J13+3%</f>
        <v>0.572438478747204</v>
      </c>
      <c r="O13" s="327" t="n">
        <f aca="false">(H13+P13)/2</f>
        <v>0.566219239373602</v>
      </c>
      <c r="P13" s="327" t="n">
        <v>0.6</v>
      </c>
      <c r="Q13" s="327" t="n">
        <f aca="false">(P13+R13)/2</f>
        <v>0.65</v>
      </c>
      <c r="R13" s="327" t="n">
        <f aca="false">(P13+T13)/2</f>
        <v>0.7</v>
      </c>
      <c r="S13" s="327" t="n">
        <f aca="false">(R13+T13)/2</f>
        <v>0.75</v>
      </c>
      <c r="T13" s="327" t="n">
        <v>0.8</v>
      </c>
      <c r="U13" s="1" t="s">
        <v>674</v>
      </c>
      <c r="V13" s="1" t="s">
        <v>675</v>
      </c>
      <c r="W13" s="1" t="s">
        <v>676</v>
      </c>
      <c r="Y13" s="262" t="n">
        <v>0.465714285714286</v>
      </c>
      <c r="Z13" s="262" t="n">
        <v>0.62</v>
      </c>
      <c r="AA13" s="262" t="n">
        <v>0.55</v>
      </c>
      <c r="AB13" s="262" t="n">
        <v>0.8</v>
      </c>
      <c r="AD13" s="318" t="s">
        <v>16</v>
      </c>
      <c r="AE13" s="319" t="n">
        <v>0.52</v>
      </c>
      <c r="AF13" s="320" t="n">
        <v>0.85</v>
      </c>
      <c r="AG13" s="321" t="n">
        <v>0.85</v>
      </c>
      <c r="AH13" s="322" t="n">
        <v>0.65</v>
      </c>
      <c r="AI13" s="323" t="n">
        <v>0.52</v>
      </c>
      <c r="AK13" s="328" t="s">
        <v>16</v>
      </c>
      <c r="AL13" s="329" t="n">
        <v>0.8</v>
      </c>
    </row>
    <row r="14" customFormat="false" ht="14.5" hidden="false" customHeight="false" outlineLevel="0" collapsed="false">
      <c r="B14" s="211" t="s">
        <v>473</v>
      </c>
      <c r="C14" s="326"/>
      <c r="D14" s="326"/>
      <c r="E14" s="326"/>
      <c r="F14" s="326"/>
      <c r="G14" s="326"/>
      <c r="H14" s="326"/>
      <c r="I14" s="262"/>
      <c r="J14" s="262"/>
      <c r="K14" s="262"/>
      <c r="L14" s="262"/>
      <c r="M14" s="262"/>
      <c r="N14" s="262"/>
      <c r="O14" s="327"/>
      <c r="P14" s="327"/>
      <c r="Q14" s="327"/>
      <c r="R14" s="327"/>
      <c r="S14" s="327"/>
      <c r="T14" s="327"/>
      <c r="Y14" s="262" t="n">
        <v>0</v>
      </c>
      <c r="Z14" s="262" t="n">
        <v>0</v>
      </c>
      <c r="AA14" s="262" t="n">
        <v>0</v>
      </c>
      <c r="AB14" s="262" t="n">
        <v>0</v>
      </c>
      <c r="AD14" s="318" t="s">
        <v>17</v>
      </c>
      <c r="AE14" s="319" t="n">
        <v>0.73</v>
      </c>
      <c r="AF14" s="320" t="n">
        <v>0.85</v>
      </c>
      <c r="AG14" s="321" t="n">
        <v>0.95</v>
      </c>
      <c r="AH14" s="322" t="n">
        <v>0.85</v>
      </c>
      <c r="AI14" s="323" t="n">
        <v>0.73</v>
      </c>
      <c r="AK14" s="328" t="s">
        <v>17</v>
      </c>
      <c r="AL14" s="329" t="n">
        <v>0.87</v>
      </c>
    </row>
    <row r="15" customFormat="false" ht="14.5" hidden="false" customHeight="false" outlineLevel="0" collapsed="false">
      <c r="B15" s="209" t="s">
        <v>25</v>
      </c>
      <c r="C15" s="268" t="n">
        <v>0</v>
      </c>
      <c r="D15" s="268"/>
      <c r="E15" s="268"/>
      <c r="F15" s="268"/>
      <c r="G15" s="268"/>
      <c r="H15" s="268"/>
      <c r="I15" s="268"/>
      <c r="J15" s="268"/>
      <c r="K15" s="268"/>
      <c r="L15" s="268"/>
      <c r="M15" s="268"/>
      <c r="N15" s="268"/>
      <c r="O15" s="268"/>
      <c r="P15" s="268"/>
      <c r="Q15" s="268"/>
      <c r="R15" s="268"/>
      <c r="S15" s="268"/>
      <c r="T15" s="268"/>
      <c r="Y15" s="268" t="n">
        <v>0</v>
      </c>
      <c r="Z15" s="268" t="n">
        <v>0</v>
      </c>
      <c r="AA15" s="268" t="n">
        <v>0</v>
      </c>
      <c r="AB15" s="268" t="n">
        <v>0</v>
      </c>
      <c r="AD15" s="330" t="s">
        <v>677</v>
      </c>
      <c r="AE15" s="331" t="n">
        <v>0.058693594193752</v>
      </c>
      <c r="AF15" s="332" t="n">
        <v>0.8</v>
      </c>
      <c r="AG15" s="333" t="n">
        <v>0.8</v>
      </c>
      <c r="AH15" s="334" t="n">
        <v>0.4</v>
      </c>
      <c r="AI15" s="335" t="n">
        <v>0.058693594193752</v>
      </c>
      <c r="AK15" s="336" t="s">
        <v>677</v>
      </c>
      <c r="AL15" s="337" t="n">
        <v>0.35</v>
      </c>
    </row>
    <row r="16" customFormat="false" ht="14.5" hidden="false" customHeight="false" outlineLevel="0" collapsed="false">
      <c r="B16" s="211" t="s">
        <v>475</v>
      </c>
      <c r="C16" s="326"/>
      <c r="D16" s="326"/>
      <c r="E16" s="326"/>
      <c r="F16" s="326"/>
      <c r="G16" s="326"/>
      <c r="H16" s="326"/>
      <c r="I16" s="262"/>
      <c r="J16" s="262"/>
      <c r="K16" s="262"/>
      <c r="L16" s="262"/>
      <c r="M16" s="262"/>
      <c r="N16" s="262"/>
      <c r="O16" s="327"/>
      <c r="P16" s="327"/>
      <c r="Q16" s="327"/>
      <c r="R16" s="327"/>
      <c r="S16" s="327"/>
      <c r="T16" s="327"/>
      <c r="Y16" s="262" t="n">
        <v>0</v>
      </c>
      <c r="Z16" s="262" t="n">
        <v>0</v>
      </c>
      <c r="AA16" s="262" t="n">
        <v>0</v>
      </c>
      <c r="AB16" s="262" t="n">
        <v>0</v>
      </c>
    </row>
    <row r="17" customFormat="false" ht="14.5" hidden="false" customHeight="false" outlineLevel="0" collapsed="false">
      <c r="B17" s="211" t="s">
        <v>476</v>
      </c>
      <c r="C17" s="326" t="s">
        <v>678</v>
      </c>
      <c r="D17" s="326" t="s">
        <v>678</v>
      </c>
      <c r="E17" s="326" t="s">
        <v>678</v>
      </c>
      <c r="F17" s="326" t="s">
        <v>678</v>
      </c>
      <c r="G17" s="326" t="s">
        <v>678</v>
      </c>
      <c r="H17" s="326" t="n">
        <v>0.145</v>
      </c>
      <c r="I17" s="262" t="n">
        <f aca="false">(H17+J17)/2</f>
        <v>0.2225</v>
      </c>
      <c r="J17" s="262" t="n">
        <f aca="false">29%+1%</f>
        <v>0.3</v>
      </c>
      <c r="K17" s="262" t="n">
        <f aca="false">(J17+L17)/2</f>
        <v>0.3075</v>
      </c>
      <c r="L17" s="262" t="n">
        <f aca="false">(J17+N17)/2</f>
        <v>0.315</v>
      </c>
      <c r="M17" s="262" t="n">
        <f aca="false">(L17+N17)/2</f>
        <v>0.3225</v>
      </c>
      <c r="N17" s="262" t="n">
        <f aca="false">J17+3%</f>
        <v>0.33</v>
      </c>
      <c r="O17" s="327" t="n">
        <f aca="false">(H17+P17)/2</f>
        <v>0.2475</v>
      </c>
      <c r="P17" s="327" t="n">
        <v>0.35</v>
      </c>
      <c r="Q17" s="327" t="n">
        <f aca="false">(P17+R17)/2</f>
        <v>0.4625</v>
      </c>
      <c r="R17" s="327" t="n">
        <f aca="false">(P17+T17)/2</f>
        <v>0.575</v>
      </c>
      <c r="S17" s="327" t="n">
        <f aca="false">(R17+T17)/2</f>
        <v>0.6875</v>
      </c>
      <c r="T17" s="327" t="n">
        <v>0.8</v>
      </c>
      <c r="U17" s="1" t="s">
        <v>679</v>
      </c>
      <c r="V17" s="1" t="s">
        <v>680</v>
      </c>
      <c r="W17" s="1" t="s">
        <v>681</v>
      </c>
      <c r="Y17" s="262" t="n">
        <v>0</v>
      </c>
      <c r="Z17" s="262" t="n">
        <v>0</v>
      </c>
      <c r="AA17" s="262" t="n">
        <v>0.3</v>
      </c>
      <c r="AB17" s="262" t="n">
        <v>0.8</v>
      </c>
    </row>
    <row r="18" customFormat="false" ht="14.5" hidden="false" customHeight="false" outlineLevel="0" collapsed="false">
      <c r="B18" s="211" t="s">
        <v>479</v>
      </c>
      <c r="C18" s="326"/>
      <c r="D18" s="326"/>
      <c r="E18" s="326"/>
      <c r="F18" s="326"/>
      <c r="G18" s="326"/>
      <c r="H18" s="326"/>
      <c r="I18" s="262"/>
      <c r="J18" s="262"/>
      <c r="K18" s="262"/>
      <c r="L18" s="262"/>
      <c r="M18" s="262"/>
      <c r="N18" s="262"/>
      <c r="O18" s="327"/>
      <c r="P18" s="327"/>
      <c r="Q18" s="327"/>
      <c r="R18" s="327"/>
      <c r="S18" s="327"/>
      <c r="T18" s="327"/>
      <c r="Y18" s="262" t="n">
        <v>0</v>
      </c>
      <c r="Z18" s="262" t="n">
        <v>0</v>
      </c>
      <c r="AA18" s="262" t="n">
        <v>0</v>
      </c>
      <c r="AB18" s="262" t="n">
        <v>0</v>
      </c>
      <c r="AD18" s="1" t="s">
        <v>563</v>
      </c>
    </row>
    <row r="19" customFormat="false" ht="14.5" hidden="false" customHeight="false" outlineLevel="0" collapsed="false">
      <c r="B19" s="209" t="s">
        <v>480</v>
      </c>
      <c r="C19" s="268" t="n">
        <v>0</v>
      </c>
      <c r="D19" s="268"/>
      <c r="E19" s="268"/>
      <c r="F19" s="268"/>
      <c r="G19" s="268"/>
      <c r="H19" s="268"/>
      <c r="I19" s="268"/>
      <c r="J19" s="268"/>
      <c r="K19" s="268"/>
      <c r="L19" s="268"/>
      <c r="M19" s="268"/>
      <c r="N19" s="268"/>
      <c r="O19" s="268"/>
      <c r="P19" s="268"/>
      <c r="Q19" s="268"/>
      <c r="R19" s="268"/>
      <c r="S19" s="268"/>
      <c r="T19" s="268"/>
      <c r="Y19" s="268" t="n">
        <v>0</v>
      </c>
      <c r="Z19" s="268" t="n">
        <v>0</v>
      </c>
      <c r="AA19" s="268" t="n">
        <v>0</v>
      </c>
      <c r="AB19" s="268" t="n">
        <v>0</v>
      </c>
      <c r="AD19" s="147" t="s">
        <v>682</v>
      </c>
      <c r="AE19" s="338" t="n">
        <v>2015</v>
      </c>
      <c r="AF19" s="338" t="n">
        <v>2020</v>
      </c>
      <c r="AG19" s="338" t="n">
        <v>2025</v>
      </c>
      <c r="AH19" s="338" t="n">
        <v>2030</v>
      </c>
      <c r="AI19" s="338" t="n">
        <v>2035</v>
      </c>
      <c r="AJ19" s="338" t="n">
        <v>2040</v>
      </c>
      <c r="AK19" s="338" t="n">
        <v>2045</v>
      </c>
      <c r="AL19" s="338" t="n">
        <v>2050</v>
      </c>
    </row>
    <row r="20" customFormat="false" ht="14.5" hidden="false" customHeight="false" outlineLevel="0" collapsed="false">
      <c r="B20" s="211" t="s">
        <v>481</v>
      </c>
      <c r="C20" s="326"/>
      <c r="D20" s="326"/>
      <c r="E20" s="326"/>
      <c r="F20" s="326"/>
      <c r="G20" s="326"/>
      <c r="H20" s="326"/>
      <c r="I20" s="262"/>
      <c r="J20" s="262"/>
      <c r="K20" s="262"/>
      <c r="L20" s="262"/>
      <c r="M20" s="262"/>
      <c r="N20" s="262"/>
      <c r="O20" s="327"/>
      <c r="P20" s="327"/>
      <c r="Q20" s="327"/>
      <c r="R20" s="327"/>
      <c r="S20" s="327"/>
      <c r="T20" s="327"/>
      <c r="Y20" s="262" t="n">
        <v>0</v>
      </c>
      <c r="Z20" s="262" t="n">
        <v>0</v>
      </c>
      <c r="AA20" s="262" t="n">
        <v>0</v>
      </c>
      <c r="AB20" s="262" t="n">
        <v>0</v>
      </c>
      <c r="AD20" s="339" t="s">
        <v>683</v>
      </c>
      <c r="AE20" s="340" t="n">
        <v>0.332701140638885</v>
      </c>
      <c r="AF20" s="340" t="n">
        <v>0.332701140638886</v>
      </c>
      <c r="AG20" s="340" t="n">
        <v>0.332701140638885</v>
      </c>
      <c r="AH20" s="340" t="n">
        <v>0.332701140638886</v>
      </c>
      <c r="AI20" s="340" t="n">
        <v>0.332701140638885</v>
      </c>
      <c r="AJ20" s="340" t="n">
        <v>0.332701140638885</v>
      </c>
      <c r="AK20" s="340" t="n">
        <v>0.332701140638885</v>
      </c>
      <c r="AL20" s="340" t="n">
        <v>0.332701140638885</v>
      </c>
    </row>
    <row r="21" customFormat="false" ht="14.5" hidden="false" customHeight="false" outlineLevel="0" collapsed="false">
      <c r="B21" s="211" t="s">
        <v>482</v>
      </c>
      <c r="C21" s="326" t="n">
        <v>0.580402437096474</v>
      </c>
      <c r="D21" s="326" t="n">
        <v>0.609673202614379</v>
      </c>
      <c r="E21" s="326" t="n">
        <v>0.641163793103448</v>
      </c>
      <c r="F21" s="326" t="n">
        <v>0.600147637795276</v>
      </c>
      <c r="G21" s="326" t="n">
        <v>0.595209580838323</v>
      </c>
      <c r="H21" s="326" t="n">
        <v>0.606690561529271</v>
      </c>
      <c r="I21" s="262" t="n">
        <f aca="false">(H21+J21)/2</f>
        <v>0.611690561529271</v>
      </c>
      <c r="J21" s="262" t="n">
        <f aca="false">H21+1%</f>
        <v>0.616690561529271</v>
      </c>
      <c r="K21" s="262" t="n">
        <f aca="false">(J21+L21)/2</f>
        <v>0.624190561529271</v>
      </c>
      <c r="L21" s="262" t="n">
        <f aca="false">(J21+N21)/2</f>
        <v>0.631690561529271</v>
      </c>
      <c r="M21" s="262" t="n">
        <f aca="false">(L21+N21)/2</f>
        <v>0.639190561529271</v>
      </c>
      <c r="N21" s="262" t="n">
        <f aca="false">J21+3%</f>
        <v>0.646690561529271</v>
      </c>
      <c r="O21" s="327" t="n">
        <f aca="false">(H21+P21)/2</f>
        <v>0.688345280764636</v>
      </c>
      <c r="P21" s="327" t="n">
        <v>0.77</v>
      </c>
      <c r="Q21" s="327" t="n">
        <f aca="false">(P21+R21)/2</f>
        <v>0.79</v>
      </c>
      <c r="R21" s="327" t="n">
        <f aca="false">(P21+T21)/2</f>
        <v>0.81</v>
      </c>
      <c r="S21" s="327" t="n">
        <f aca="false">(R21+T21)/2</f>
        <v>0.83</v>
      </c>
      <c r="T21" s="327" t="n">
        <v>0.85</v>
      </c>
      <c r="U21" s="1" t="s">
        <v>684</v>
      </c>
      <c r="V21" s="1" t="s">
        <v>675</v>
      </c>
      <c r="W21" s="1" t="s">
        <v>681</v>
      </c>
      <c r="Y21" s="262" t="n">
        <v>0.65</v>
      </c>
      <c r="Z21" s="262" t="n">
        <v>0.65</v>
      </c>
      <c r="AA21" s="262" t="n">
        <v>0.77</v>
      </c>
      <c r="AB21" s="262" t="n">
        <v>0.85</v>
      </c>
      <c r="AD21" s="339" t="s">
        <v>10</v>
      </c>
      <c r="AE21" s="340" t="n">
        <v>0.551461262483099</v>
      </c>
      <c r="AF21" s="340" t="n">
        <v>0.551461262483099</v>
      </c>
      <c r="AG21" s="340" t="n">
        <v>0.551461262483099</v>
      </c>
      <c r="AH21" s="340" t="n">
        <v>0.551461262483099</v>
      </c>
      <c r="AI21" s="340" t="n">
        <v>0.551461262483099</v>
      </c>
      <c r="AJ21" s="340" t="n">
        <v>0.551461262483099</v>
      </c>
      <c r="AK21" s="340" t="n">
        <v>0.551461262483099</v>
      </c>
      <c r="AL21" s="340" t="n">
        <v>0.551461262483099</v>
      </c>
    </row>
    <row r="22" customFormat="false" ht="14.5" hidden="false" customHeight="false" outlineLevel="0" collapsed="false">
      <c r="B22" s="211" t="s">
        <v>483</v>
      </c>
      <c r="C22" s="326"/>
      <c r="D22" s="326"/>
      <c r="E22" s="326"/>
      <c r="F22" s="326"/>
      <c r="G22" s="326"/>
      <c r="H22" s="326"/>
      <c r="I22" s="262"/>
      <c r="J22" s="262"/>
      <c r="K22" s="262"/>
      <c r="L22" s="262"/>
      <c r="M22" s="262"/>
      <c r="N22" s="262"/>
      <c r="O22" s="327"/>
      <c r="P22" s="327"/>
      <c r="Q22" s="327"/>
      <c r="R22" s="327"/>
      <c r="S22" s="327"/>
      <c r="T22" s="327"/>
      <c r="Y22" s="262" t="n">
        <v>0</v>
      </c>
      <c r="Z22" s="262" t="n">
        <v>0</v>
      </c>
      <c r="AA22" s="262" t="n">
        <v>0</v>
      </c>
      <c r="AB22" s="262" t="n">
        <v>0</v>
      </c>
      <c r="AD22" s="339" t="s">
        <v>677</v>
      </c>
      <c r="AE22" s="340" t="n">
        <v>0.0570666635217142</v>
      </c>
      <c r="AF22" s="340" t="n">
        <v>0.0585363529719273</v>
      </c>
      <c r="AG22" s="340" t="n">
        <v>0.0587989042969028</v>
      </c>
      <c r="AH22" s="340" t="n">
        <v>0.0585727996362901</v>
      </c>
      <c r="AI22" s="340" t="n">
        <v>0.0589336935180777</v>
      </c>
      <c r="AJ22" s="340" t="n">
        <v>0.0595813387807113</v>
      </c>
      <c r="AK22" s="340" t="n">
        <v>0.0598544659162227</v>
      </c>
      <c r="AL22" s="340" t="n">
        <v>0.0597396466029753</v>
      </c>
    </row>
    <row r="23" customFormat="false" ht="14.5" hidden="false" customHeight="false" outlineLevel="0" collapsed="false">
      <c r="B23" s="209" t="s">
        <v>554</v>
      </c>
      <c r="C23" s="268" t="n">
        <v>0</v>
      </c>
      <c r="D23" s="268"/>
      <c r="E23" s="268"/>
      <c r="F23" s="268"/>
      <c r="G23" s="268"/>
      <c r="H23" s="268"/>
      <c r="I23" s="268"/>
      <c r="J23" s="268"/>
      <c r="K23" s="268"/>
      <c r="L23" s="268"/>
      <c r="M23" s="268"/>
      <c r="N23" s="268"/>
      <c r="O23" s="268"/>
      <c r="P23" s="268"/>
      <c r="Q23" s="268"/>
      <c r="R23" s="268"/>
      <c r="S23" s="268"/>
      <c r="T23" s="268"/>
      <c r="Y23" s="268" t="n">
        <v>0</v>
      </c>
      <c r="Z23" s="268" t="n">
        <v>0</v>
      </c>
      <c r="AA23" s="268" t="n">
        <v>0</v>
      </c>
      <c r="AB23" s="268" t="n">
        <v>0</v>
      </c>
      <c r="AD23" s="339" t="s">
        <v>16</v>
      </c>
      <c r="AE23" s="340" t="n">
        <v>0.526852107095018</v>
      </c>
      <c r="AF23" s="340" t="n">
        <v>0.532594149512232</v>
      </c>
      <c r="AG23" s="340" t="n">
        <v>0.533209126055413</v>
      </c>
      <c r="AH23" s="340" t="n">
        <v>0.532595457679705</v>
      </c>
      <c r="AI23" s="340" t="n">
        <v>0.533162524484294</v>
      </c>
      <c r="AJ23" s="340" t="n">
        <v>0.534250862034155</v>
      </c>
      <c r="AK23" s="340" t="n">
        <v>0.535982968377867</v>
      </c>
      <c r="AL23" s="340" t="n">
        <v>0.536637993613875</v>
      </c>
    </row>
    <row r="24" customFormat="false" ht="14.5" hidden="false" customHeight="false" outlineLevel="0" collapsed="false">
      <c r="B24" s="211" t="s">
        <v>555</v>
      </c>
      <c r="C24" s="326"/>
      <c r="D24" s="326"/>
      <c r="E24" s="326"/>
      <c r="F24" s="326"/>
      <c r="G24" s="326"/>
      <c r="H24" s="326"/>
      <c r="I24" s="262"/>
      <c r="J24" s="262"/>
      <c r="K24" s="262"/>
      <c r="L24" s="262"/>
      <c r="M24" s="262"/>
      <c r="N24" s="262"/>
      <c r="O24" s="327"/>
      <c r="P24" s="327"/>
      <c r="Q24" s="327"/>
      <c r="R24" s="327"/>
      <c r="S24" s="327"/>
      <c r="T24" s="327"/>
      <c r="Y24" s="262" t="n">
        <v>0</v>
      </c>
      <c r="Z24" s="262" t="n">
        <v>0</v>
      </c>
      <c r="AA24" s="262" t="n">
        <v>0</v>
      </c>
      <c r="AB24" s="262" t="n">
        <v>0</v>
      </c>
      <c r="AD24" s="339" t="s">
        <v>17</v>
      </c>
      <c r="AE24" s="340" t="n">
        <v>0.72548371093104</v>
      </c>
      <c r="AF24" s="340" t="n">
        <v>0.72548371093104</v>
      </c>
      <c r="AG24" s="340" t="n">
        <v>0.72548371093104</v>
      </c>
      <c r="AH24" s="340" t="n">
        <v>0.72548371093104</v>
      </c>
      <c r="AI24" s="340" t="n">
        <v>0.72548371093104</v>
      </c>
      <c r="AJ24" s="340" t="n">
        <v>0.72548371093104</v>
      </c>
      <c r="AK24" s="340" t="n">
        <v>0.72548371093104</v>
      </c>
      <c r="AL24" s="340" t="n">
        <v>0.72548371093104</v>
      </c>
    </row>
    <row r="25" customFormat="false" ht="14.5" hidden="false" customHeight="false" outlineLevel="0" collapsed="false">
      <c r="B25" s="211" t="s">
        <v>685</v>
      </c>
      <c r="C25" s="326"/>
      <c r="D25" s="326"/>
      <c r="E25" s="326"/>
      <c r="F25" s="326"/>
      <c r="G25" s="326"/>
      <c r="H25" s="326"/>
      <c r="I25" s="262"/>
      <c r="J25" s="262"/>
      <c r="K25" s="262"/>
      <c r="L25" s="262"/>
      <c r="M25" s="262"/>
      <c r="N25" s="262"/>
      <c r="O25" s="327"/>
      <c r="P25" s="327"/>
      <c r="Q25" s="327"/>
      <c r="R25" s="327"/>
      <c r="S25" s="327"/>
      <c r="T25" s="327"/>
      <c r="Y25" s="262" t="n">
        <v>0</v>
      </c>
      <c r="Z25" s="262" t="n">
        <v>0</v>
      </c>
      <c r="AA25" s="262" t="n">
        <v>0</v>
      </c>
      <c r="AB25" s="262" t="n">
        <v>0</v>
      </c>
      <c r="AD25" s="339"/>
      <c r="AE25" s="340"/>
      <c r="AF25" s="340"/>
      <c r="AG25" s="340"/>
      <c r="AH25" s="340"/>
      <c r="AI25" s="340"/>
      <c r="AJ25" s="340"/>
      <c r="AK25" s="340"/>
      <c r="AL25" s="340"/>
    </row>
    <row r="26" customFormat="false" ht="14.5" hidden="false" customHeight="false" outlineLevel="0" collapsed="false">
      <c r="B26" s="209" t="s">
        <v>487</v>
      </c>
      <c r="C26" s="326"/>
      <c r="D26" s="326"/>
      <c r="E26" s="326"/>
      <c r="F26" s="326"/>
      <c r="G26" s="326"/>
      <c r="H26" s="326"/>
      <c r="I26" s="262"/>
      <c r="J26" s="262"/>
      <c r="K26" s="262"/>
      <c r="L26" s="262"/>
      <c r="M26" s="262"/>
      <c r="N26" s="262"/>
      <c r="O26" s="327"/>
      <c r="P26" s="327"/>
      <c r="Q26" s="327"/>
      <c r="R26" s="327"/>
      <c r="S26" s="327"/>
      <c r="T26" s="327"/>
      <c r="Y26" s="262" t="n">
        <v>0</v>
      </c>
      <c r="Z26" s="262" t="n">
        <v>0</v>
      </c>
      <c r="AA26" s="262" t="n">
        <v>0</v>
      </c>
      <c r="AB26" s="262" t="n">
        <v>0</v>
      </c>
      <c r="AD26" s="147" t="s">
        <v>686</v>
      </c>
      <c r="AE26" s="338" t="n">
        <v>2015</v>
      </c>
      <c r="AF26" s="338" t="n">
        <v>2020</v>
      </c>
      <c r="AG26" s="338" t="n">
        <v>2025</v>
      </c>
      <c r="AH26" s="338" t="n">
        <v>2030</v>
      </c>
      <c r="AI26" s="338" t="n">
        <v>2035</v>
      </c>
      <c r="AJ26" s="338" t="n">
        <v>2040</v>
      </c>
      <c r="AK26" s="338" t="n">
        <v>2045</v>
      </c>
      <c r="AL26" s="338" t="n">
        <v>2050</v>
      </c>
    </row>
    <row r="27" customFormat="false" ht="14.5" hidden="false" customHeight="false" outlineLevel="0" collapsed="false">
      <c r="B27" s="209" t="s">
        <v>31</v>
      </c>
      <c r="C27" s="326"/>
      <c r="D27" s="326"/>
      <c r="E27" s="326"/>
      <c r="F27" s="326"/>
      <c r="G27" s="326"/>
      <c r="H27" s="326"/>
      <c r="I27" s="262"/>
      <c r="J27" s="262"/>
      <c r="K27" s="262"/>
      <c r="L27" s="262"/>
      <c r="M27" s="262"/>
      <c r="N27" s="262"/>
      <c r="O27" s="327"/>
      <c r="P27" s="327"/>
      <c r="Q27" s="327"/>
      <c r="R27" s="327"/>
      <c r="S27" s="327"/>
      <c r="T27" s="327"/>
      <c r="Y27" s="262"/>
      <c r="Z27" s="262"/>
      <c r="AA27" s="262"/>
      <c r="AB27" s="262"/>
      <c r="AD27" s="339" t="s">
        <v>683</v>
      </c>
      <c r="AE27" s="340" t="n">
        <v>0.332701140638885</v>
      </c>
      <c r="AF27" s="340" t="n">
        <v>0.332701140638885</v>
      </c>
      <c r="AG27" s="340" t="n">
        <v>0.475641191070998</v>
      </c>
      <c r="AH27" s="340" t="n">
        <v>0.601271709164723</v>
      </c>
      <c r="AI27" s="340" t="n">
        <v>0.583050970125854</v>
      </c>
      <c r="AJ27" s="340" t="n">
        <v>0.600009135802469</v>
      </c>
      <c r="AK27" s="340" t="n">
        <v>0.617031624157526</v>
      </c>
      <c r="AL27" s="340" t="n">
        <v>0.636375</v>
      </c>
    </row>
    <row r="28" customFormat="false" ht="14.5" hidden="false" customHeight="false" outlineLevel="0" collapsed="false">
      <c r="B28" s="209" t="s">
        <v>488</v>
      </c>
      <c r="C28" s="268" t="n">
        <v>0</v>
      </c>
      <c r="D28" s="268"/>
      <c r="E28" s="268"/>
      <c r="F28" s="268"/>
      <c r="G28" s="268"/>
      <c r="H28" s="268"/>
      <c r="I28" s="268"/>
      <c r="J28" s="268"/>
      <c r="K28" s="268"/>
      <c r="L28" s="268"/>
      <c r="M28" s="268"/>
      <c r="N28" s="268"/>
      <c r="O28" s="268"/>
      <c r="P28" s="268"/>
      <c r="Q28" s="268"/>
      <c r="R28" s="268"/>
      <c r="S28" s="268"/>
      <c r="T28" s="268"/>
      <c r="Y28" s="268" t="n">
        <v>0</v>
      </c>
      <c r="Z28" s="268" t="n">
        <v>0</v>
      </c>
      <c r="AA28" s="268"/>
      <c r="AB28" s="268"/>
      <c r="AD28" s="339" t="s">
        <v>10</v>
      </c>
      <c r="AE28" s="340" t="n">
        <v>0.551461262483099</v>
      </c>
      <c r="AF28" s="340" t="n">
        <v>0.551461262483099</v>
      </c>
      <c r="AG28" s="340" t="n">
        <v>0.650730631241549</v>
      </c>
      <c r="AH28" s="340" t="n">
        <v>0.732222538984753</v>
      </c>
      <c r="AI28" s="340" t="n">
        <v>0.775</v>
      </c>
      <c r="AJ28" s="340" t="n">
        <v>0.784063244342273</v>
      </c>
      <c r="AK28" s="340" t="n">
        <v>0.825</v>
      </c>
      <c r="AL28" s="340" t="n">
        <v>0.85</v>
      </c>
    </row>
    <row r="29" customFormat="false" ht="14.5" hidden="false" customHeight="false" outlineLevel="0" collapsed="false">
      <c r="B29" s="211" t="s">
        <v>489</v>
      </c>
      <c r="C29" s="341" t="n">
        <v>0.597522027678996</v>
      </c>
      <c r="D29" s="341" t="n">
        <v>0.662875218442392</v>
      </c>
      <c r="E29" s="341" t="n">
        <v>0.670602243129777</v>
      </c>
      <c r="F29" s="341" t="n">
        <v>0.671099683347047</v>
      </c>
      <c r="G29" s="326" t="n">
        <v>0.686417525445697</v>
      </c>
      <c r="H29" s="326" t="n">
        <v>0.712442132000492</v>
      </c>
      <c r="I29" s="262" t="n">
        <f aca="false">(H29+J29)/2</f>
        <v>0.736221066000246</v>
      </c>
      <c r="J29" s="262" t="n">
        <f aca="false">75%+1%</f>
        <v>0.76</v>
      </c>
      <c r="K29" s="262" t="n">
        <f aca="false">(J29+L29)/2</f>
        <v>0.765</v>
      </c>
      <c r="L29" s="262" t="n">
        <f aca="false">(J29+N29)/2</f>
        <v>0.77</v>
      </c>
      <c r="M29" s="262" t="n">
        <f aca="false">(L29+N29)/2</f>
        <v>0.775</v>
      </c>
      <c r="N29" s="262" t="n">
        <f aca="false">75%+3%</f>
        <v>0.78</v>
      </c>
      <c r="O29" s="327" t="n">
        <f aca="false">(H29+P29)/2</f>
        <v>0.746221066000246</v>
      </c>
      <c r="P29" s="327" t="n">
        <v>0.78</v>
      </c>
      <c r="Q29" s="327" t="n">
        <f aca="false">(P29+R29)/2</f>
        <v>0.8025</v>
      </c>
      <c r="R29" s="327" t="n">
        <f aca="false">(P29+T29)/2</f>
        <v>0.825</v>
      </c>
      <c r="S29" s="327" t="n">
        <f aca="false">(R29+T29)/2</f>
        <v>0.8475</v>
      </c>
      <c r="T29" s="327" t="n">
        <v>0.87</v>
      </c>
      <c r="U29" s="1" t="s">
        <v>687</v>
      </c>
      <c r="V29" s="1" t="s">
        <v>688</v>
      </c>
      <c r="W29" s="1" t="s">
        <v>689</v>
      </c>
      <c r="Y29" s="262" t="n">
        <v>0.664285714285714</v>
      </c>
      <c r="Z29" s="262" t="n">
        <v>0.75</v>
      </c>
      <c r="AA29" s="262" t="n">
        <v>0.75</v>
      </c>
      <c r="AB29" s="262" t="n">
        <v>0.85</v>
      </c>
      <c r="AC29" s="1" t="s">
        <v>690</v>
      </c>
      <c r="AD29" s="339" t="s">
        <v>677</v>
      </c>
      <c r="AE29" s="340" t="n">
        <v>0.0570608458699082</v>
      </c>
      <c r="AF29" s="340" t="n">
        <v>0.0583388497724188</v>
      </c>
      <c r="AG29" s="340" t="n">
        <v>0.106072912611664</v>
      </c>
      <c r="AH29" s="340" t="n">
        <v>0.167873620252721</v>
      </c>
      <c r="AI29" s="340" t="n">
        <v>0.217948699102932</v>
      </c>
      <c r="AJ29" s="340" t="n">
        <v>0.271138879090748</v>
      </c>
      <c r="AK29" s="340" t="n">
        <v>0.343963938905924</v>
      </c>
      <c r="AL29" s="340" t="n">
        <v>0.44322454619601</v>
      </c>
    </row>
    <row r="30" customFormat="false" ht="14.5" hidden="false" customHeight="false" outlineLevel="0" collapsed="false">
      <c r="B30" s="211" t="s">
        <v>490</v>
      </c>
      <c r="C30" s="326"/>
      <c r="D30" s="326"/>
      <c r="E30" s="326"/>
      <c r="F30" s="326"/>
      <c r="G30" s="326"/>
      <c r="H30" s="326"/>
      <c r="I30" s="262"/>
      <c r="J30" s="262"/>
      <c r="K30" s="262"/>
      <c r="L30" s="262"/>
      <c r="M30" s="262"/>
      <c r="N30" s="262"/>
      <c r="O30" s="327"/>
      <c r="P30" s="327"/>
      <c r="Q30" s="327"/>
      <c r="R30" s="327"/>
      <c r="S30" s="327"/>
      <c r="T30" s="327"/>
      <c r="Y30" s="262" t="n">
        <v>0</v>
      </c>
      <c r="Z30" s="262" t="n">
        <v>0</v>
      </c>
      <c r="AA30" s="262" t="n">
        <v>0</v>
      </c>
      <c r="AB30" s="262" t="n">
        <v>0</v>
      </c>
      <c r="AD30" s="339" t="s">
        <v>16</v>
      </c>
      <c r="AE30" s="340" t="n">
        <v>0.526834875580798</v>
      </c>
      <c r="AF30" s="340" t="n">
        <v>0.5324757974372</v>
      </c>
      <c r="AG30" s="340" t="n">
        <v>0.51774813550099</v>
      </c>
      <c r="AH30" s="340" t="n">
        <v>0.503207992544344</v>
      </c>
      <c r="AI30" s="340" t="n">
        <v>0.491110469166154</v>
      </c>
      <c r="AJ30" s="340" t="n">
        <v>0.485092788864997</v>
      </c>
      <c r="AK30" s="340" t="n">
        <v>0.509317961492687</v>
      </c>
      <c r="AL30" s="340" t="n">
        <v>0.516662374176724</v>
      </c>
    </row>
    <row r="31" customFormat="false" ht="14.5" hidden="false" customHeight="false" outlineLevel="0" collapsed="false">
      <c r="AD31" s="339" t="s">
        <v>17</v>
      </c>
      <c r="AE31" s="340" t="n">
        <v>0.72548371093104</v>
      </c>
      <c r="AF31" s="340" t="n">
        <v>0.72548371093104</v>
      </c>
      <c r="AG31" s="340" t="n">
        <v>0.72548371093104</v>
      </c>
      <c r="AH31" s="340" t="n">
        <v>0.72548371093104</v>
      </c>
      <c r="AI31" s="340" t="n">
        <v>0.74411278319828</v>
      </c>
      <c r="AJ31" s="340" t="n">
        <v>0.76274185546552</v>
      </c>
      <c r="AK31" s="340" t="n">
        <v>0.78137092773276</v>
      </c>
      <c r="AL31" s="340" t="n">
        <v>0.8</v>
      </c>
    </row>
    <row r="35" customFormat="false" ht="14.5" hidden="false" customHeight="false" outlineLevel="0" collapsed="false">
      <c r="H35" s="28"/>
      <c r="I35" s="28"/>
    </row>
  </sheetData>
  <mergeCells count="6">
    <mergeCell ref="B7:O7"/>
    <mergeCell ref="C9:H9"/>
    <mergeCell ref="I9:N9"/>
    <mergeCell ref="O9:T9"/>
    <mergeCell ref="Y9:Z9"/>
    <mergeCell ref="AA9:AB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2A6099"/>
    <pageSetUpPr fitToPage="false"/>
  </sheetPr>
  <dimension ref="B2:U97"/>
  <sheetViews>
    <sheetView showFormulas="false" showGridLines="true" showRowColHeaders="true" showZeros="true" rightToLeft="false" tabSelected="false" showOutlineSymbols="true" defaultGridColor="true" view="normal" topLeftCell="A67" colorId="64" zoomScale="81" zoomScaleNormal="81" zoomScalePageLayoutView="100" workbookViewId="0">
      <selection pane="topLeft" activeCell="K110" activeCellId="0" sqref="K110"/>
    </sheetView>
  </sheetViews>
  <sheetFormatPr defaultRowHeight="14.5" zeroHeight="false" outlineLevelRow="0" outlineLevelCol="0"/>
  <cols>
    <col collapsed="false" customWidth="true" hidden="false" outlineLevel="0" max="1" min="1" style="1" width="8.45"/>
    <col collapsed="false" customWidth="true" hidden="false" outlineLevel="0" max="2" min="2" style="1" width="41"/>
    <col collapsed="false" customWidth="true" hidden="false" outlineLevel="0" max="5" min="3" style="1" width="12.71"/>
    <col collapsed="false" customWidth="true" hidden="false" outlineLevel="0" max="14" min="6" style="1" width="8.45"/>
    <col collapsed="false" customWidth="true" hidden="false" outlineLevel="0" max="15" min="15" style="1" width="32.45"/>
    <col collapsed="false" customWidth="true" hidden="false" outlineLevel="0" max="16" min="16" style="1" width="8.45"/>
    <col collapsed="false" customWidth="true" hidden="false" outlineLevel="0" max="17" min="17" style="1" width="16"/>
    <col collapsed="false" customWidth="true" hidden="false" outlineLevel="0" max="18" min="18" style="1" width="20.98"/>
    <col collapsed="false" customWidth="true" hidden="false" outlineLevel="0" max="25" min="19" style="1" width="8.45"/>
    <col collapsed="false" customWidth="true" hidden="false" outlineLevel="0" max="26" min="26" style="1" width="27.54"/>
    <col collapsed="false" customWidth="true" hidden="false" outlineLevel="0" max="36" min="27" style="1" width="8.45"/>
    <col collapsed="false" customWidth="true" hidden="false" outlineLevel="0" max="37" min="37" style="1" width="32.81"/>
    <col collapsed="false" customWidth="true" hidden="false" outlineLevel="0" max="47" min="38" style="1" width="8.45"/>
    <col collapsed="false" customWidth="true" hidden="false" outlineLevel="0" max="48" min="48" style="1" width="28.72"/>
    <col collapsed="false" customWidth="true" hidden="false" outlineLevel="0" max="58" min="49" style="1" width="8.45"/>
    <col collapsed="false" customWidth="true" hidden="false" outlineLevel="0" max="59" min="59" style="1" width="29.83"/>
    <col collapsed="false" customWidth="true" hidden="false" outlineLevel="0" max="1025" min="60" style="1" width="8.45"/>
  </cols>
  <sheetData>
    <row r="2" customFormat="false" ht="15.75" hidden="false" customHeight="true" outlineLevel="0" collapsed="false">
      <c r="B2" s="342" t="s">
        <v>691</v>
      </c>
      <c r="C2" s="342"/>
      <c r="D2" s="342"/>
      <c r="E2" s="342"/>
      <c r="F2" s="342"/>
      <c r="G2" s="342"/>
      <c r="H2" s="342"/>
      <c r="I2" s="342"/>
      <c r="J2" s="342"/>
      <c r="K2" s="342"/>
      <c r="L2" s="342"/>
      <c r="M2" s="342"/>
    </row>
    <row r="3" customFormat="false" ht="14.5" hidden="false" customHeight="false" outlineLevel="0" collapsed="false">
      <c r="B3" s="342"/>
      <c r="C3" s="342"/>
      <c r="D3" s="342"/>
      <c r="E3" s="342"/>
      <c r="F3" s="342"/>
      <c r="G3" s="342"/>
      <c r="H3" s="342"/>
      <c r="I3" s="342"/>
      <c r="J3" s="342"/>
      <c r="K3" s="342"/>
      <c r="L3" s="342"/>
      <c r="M3" s="342"/>
    </row>
    <row r="4" customFormat="false" ht="31.5" hidden="false" customHeight="true" outlineLevel="0" collapsed="false">
      <c r="B4" s="342"/>
      <c r="C4" s="342"/>
      <c r="D4" s="342"/>
      <c r="E4" s="342"/>
      <c r="F4" s="342"/>
      <c r="G4" s="342"/>
      <c r="H4" s="342"/>
      <c r="I4" s="342"/>
      <c r="J4" s="342"/>
      <c r="K4" s="342"/>
      <c r="L4" s="342"/>
      <c r="M4" s="342"/>
    </row>
    <row r="6" customFormat="false" ht="14.5" hidden="false" customHeight="false" outlineLevel="0" collapsed="false">
      <c r="B6" s="3" t="s">
        <v>35</v>
      </c>
      <c r="C6" s="3"/>
      <c r="D6" s="3"/>
      <c r="E6" s="3"/>
    </row>
    <row r="8" customFormat="false" ht="14.5" hidden="false" customHeight="false" outlineLevel="0" collapsed="false">
      <c r="B8" s="1" t="s">
        <v>692</v>
      </c>
      <c r="C8" s="1" t="s">
        <v>693</v>
      </c>
      <c r="D8" s="1" t="s">
        <v>694</v>
      </c>
      <c r="E8" s="1" t="s">
        <v>695</v>
      </c>
      <c r="F8" s="1" t="s">
        <v>696</v>
      </c>
      <c r="G8" s="1" t="s">
        <v>697</v>
      </c>
      <c r="H8" s="1" t="s">
        <v>698</v>
      </c>
      <c r="I8" s="1" t="s">
        <v>699</v>
      </c>
      <c r="J8" s="1" t="s">
        <v>700</v>
      </c>
      <c r="K8" s="1" t="s">
        <v>701</v>
      </c>
    </row>
    <row r="9" customFormat="false" ht="14.5" hidden="false" customHeight="false" outlineLevel="0" collapsed="false">
      <c r="B9" s="1" t="s">
        <v>702</v>
      </c>
      <c r="C9" s="142" t="n">
        <v>0.251858</v>
      </c>
      <c r="D9" s="142" t="n">
        <v>0.267669</v>
      </c>
      <c r="E9" s="142" t="n">
        <v>0.344817</v>
      </c>
      <c r="F9" s="142" t="n">
        <v>0.303675</v>
      </c>
      <c r="G9" s="142" t="n">
        <v>0.318785</v>
      </c>
      <c r="H9" s="142" t="n">
        <v>0.296677003</v>
      </c>
      <c r="I9" s="142" t="n">
        <v>0.332571875</v>
      </c>
      <c r="J9" s="142" t="n">
        <v>0.26835721</v>
      </c>
      <c r="K9" s="142" t="n">
        <v>0.21152071</v>
      </c>
      <c r="L9" s="1" t="s">
        <v>703</v>
      </c>
      <c r="U9" s="1" t="s">
        <v>704</v>
      </c>
    </row>
    <row r="10" customFormat="false" ht="14.5" hidden="false" customHeight="false" outlineLevel="0" collapsed="false">
      <c r="B10" s="1" t="s">
        <v>705</v>
      </c>
      <c r="C10" s="142" t="n">
        <v>1.02154206792777</v>
      </c>
      <c r="D10" s="142" t="n">
        <v>1.07474387360275</v>
      </c>
      <c r="E10" s="142" t="n">
        <v>1.07953325451419</v>
      </c>
      <c r="F10" s="142" t="n">
        <v>1.13712777300086</v>
      </c>
      <c r="G10" s="142" t="n">
        <v>1.1746692605331</v>
      </c>
      <c r="H10" s="142" t="n">
        <v>1.1758214316423</v>
      </c>
      <c r="I10" s="142" t="n">
        <v>1.19972188306105</v>
      </c>
      <c r="J10" s="142" t="n">
        <v>1.18694877472055</v>
      </c>
      <c r="K10" s="142" t="n">
        <v>1.08131033963886</v>
      </c>
      <c r="L10" s="1" t="s">
        <v>706</v>
      </c>
      <c r="U10" s="1" t="s">
        <v>707</v>
      </c>
    </row>
    <row r="11" customFormat="false" ht="14.5" hidden="false" customHeight="false" outlineLevel="0" collapsed="false">
      <c r="B11" s="1" t="s">
        <v>708</v>
      </c>
      <c r="C11" s="142" t="n">
        <v>12.7421737312</v>
      </c>
      <c r="D11" s="142" t="n">
        <v>12.3697754229</v>
      </c>
      <c r="E11" s="142" t="n">
        <v>12.9426425058</v>
      </c>
      <c r="F11" s="142" t="n">
        <v>12.4307395164</v>
      </c>
      <c r="G11" s="142" t="n">
        <v>11.8719980654</v>
      </c>
      <c r="H11" s="142" t="n">
        <v>12.6198719878</v>
      </c>
      <c r="I11" s="142" t="n">
        <v>11.7601136131</v>
      </c>
      <c r="J11" s="142" t="n">
        <v>11.9608822944</v>
      </c>
      <c r="K11" s="142" t="n">
        <v>11.3151005977</v>
      </c>
      <c r="L11" s="1" t="s">
        <v>709</v>
      </c>
      <c r="U11" s="1" t="s">
        <v>710</v>
      </c>
    </row>
    <row r="12" customFormat="false" ht="14.5" hidden="false" customHeight="false" outlineLevel="0" collapsed="false">
      <c r="B12" s="343" t="s">
        <v>711</v>
      </c>
      <c r="C12" s="142" t="n">
        <v>12.4111177312</v>
      </c>
      <c r="D12" s="142" t="n">
        <v>12.0648026229</v>
      </c>
      <c r="E12" s="142" t="n">
        <v>12.6466985058</v>
      </c>
      <c r="F12" s="142" t="n">
        <v>12.1207507164</v>
      </c>
      <c r="G12" s="142" t="n">
        <v>11.5569932654</v>
      </c>
      <c r="H12" s="142" t="n">
        <v>12.3299471878</v>
      </c>
      <c r="I12" s="142" t="n">
        <v>11.4536360131</v>
      </c>
      <c r="J12" s="142" t="n">
        <v>11.675244168</v>
      </c>
      <c r="K12" s="142" t="n">
        <v>11.0565368329</v>
      </c>
      <c r="U12" s="1" t="s">
        <v>712</v>
      </c>
    </row>
    <row r="13" customFormat="false" ht="14.5" hidden="false" customHeight="false" outlineLevel="0" collapsed="false">
      <c r="B13" s="344" t="s">
        <v>713</v>
      </c>
      <c r="C13" s="142" t="n">
        <v>9.2301915</v>
      </c>
      <c r="D13" s="142" t="n">
        <v>8.9492196</v>
      </c>
      <c r="E13" s="142" t="n">
        <v>9.778128</v>
      </c>
      <c r="F13" s="142" t="n">
        <v>9.2906921823</v>
      </c>
      <c r="G13" s="142" t="n">
        <v>8.6343027298</v>
      </c>
      <c r="H13" s="142" t="n">
        <v>9.3188314215</v>
      </c>
      <c r="I13" s="142" t="n">
        <v>8.3445133995</v>
      </c>
      <c r="J13" s="142" t="n">
        <v>8.6976094481</v>
      </c>
      <c r="K13" s="142" t="n">
        <v>8.3579907389</v>
      </c>
      <c r="U13" s="1" t="s">
        <v>714</v>
      </c>
    </row>
    <row r="14" customFormat="false" ht="14.5" hidden="false" customHeight="false" outlineLevel="0" collapsed="false">
      <c r="B14" s="344" t="s">
        <v>715</v>
      </c>
      <c r="C14" s="142" t="n">
        <v>2.5308855</v>
      </c>
      <c r="D14" s="142" t="n">
        <v>2.4954885</v>
      </c>
      <c r="E14" s="142" t="n">
        <v>2.2924215</v>
      </c>
      <c r="F14" s="142" t="n">
        <v>2.239326</v>
      </c>
      <c r="G14" s="142" t="n">
        <v>2.3427225</v>
      </c>
      <c r="H14" s="142" t="n">
        <v>2.429352</v>
      </c>
      <c r="I14" s="142" t="n">
        <v>2.520639</v>
      </c>
      <c r="J14" s="142" t="n">
        <v>2.50115202</v>
      </c>
      <c r="K14" s="142" t="n">
        <v>2.3104804905</v>
      </c>
    </row>
    <row r="15" customFormat="false" ht="14.5" hidden="false" customHeight="false" outlineLevel="0" collapsed="false">
      <c r="B15" s="344" t="s">
        <v>716</v>
      </c>
      <c r="C15" s="142" t="n">
        <v>0.650040731199999</v>
      </c>
      <c r="D15" s="142" t="n">
        <v>0.620094522899999</v>
      </c>
      <c r="E15" s="142" t="n">
        <v>0.576149005800001</v>
      </c>
      <c r="F15" s="142" t="n">
        <v>0.590732534100001</v>
      </c>
      <c r="G15" s="142" t="n">
        <v>0.579968035599999</v>
      </c>
      <c r="H15" s="142" t="n">
        <v>0.5817637663</v>
      </c>
      <c r="I15" s="142" t="n">
        <v>0.5884836136</v>
      </c>
      <c r="J15" s="142" t="n">
        <v>0.476482699899997</v>
      </c>
      <c r="K15" s="142" t="n">
        <v>0.388065603499999</v>
      </c>
      <c r="L15" s="28"/>
    </row>
    <row r="16" customFormat="false" ht="14.5" hidden="false" customHeight="false" outlineLevel="0" collapsed="false">
      <c r="B16" s="1" t="s">
        <v>717</v>
      </c>
      <c r="C16" s="142" t="n">
        <v>14.0155737991278</v>
      </c>
      <c r="D16" s="142" t="n">
        <v>13.7121882965028</v>
      </c>
      <c r="E16" s="142" t="n">
        <v>14.3669927603142</v>
      </c>
      <c r="F16" s="142" t="n">
        <v>13.8715422894009</v>
      </c>
      <c r="G16" s="142" t="n">
        <v>13.3654523259331</v>
      </c>
      <c r="H16" s="142" t="n">
        <v>14.0923704224423</v>
      </c>
      <c r="I16" s="142" t="n">
        <v>13.2924073711611</v>
      </c>
      <c r="J16" s="142" t="n">
        <v>13.4161882791205</v>
      </c>
      <c r="K16" s="142" t="n">
        <v>12.6079316473389</v>
      </c>
    </row>
    <row r="18" customFormat="false" ht="14.5" hidden="false" customHeight="false" outlineLevel="0" collapsed="false">
      <c r="B18" s="1" t="s">
        <v>718</v>
      </c>
      <c r="C18" s="1" t="n">
        <v>12.7501993312</v>
      </c>
      <c r="D18" s="1" t="n">
        <v>12.3778010229</v>
      </c>
      <c r="E18" s="1" t="n">
        <v>12.9506681058</v>
      </c>
      <c r="F18" s="1" t="n">
        <v>12.4387651164</v>
      </c>
      <c r="G18" s="1" t="n">
        <v>11.8800236654</v>
      </c>
      <c r="H18" s="1" t="n">
        <v>12.6278975878</v>
      </c>
      <c r="I18" s="1" t="n">
        <v>11.7706472131</v>
      </c>
      <c r="J18" s="1" t="n">
        <v>11.971338648</v>
      </c>
      <c r="K18" s="1" t="n">
        <v>11.3255740057</v>
      </c>
    </row>
    <row r="20" s="345" customFormat="true" ht="14.5" hidden="false" customHeight="false" outlineLevel="0" collapsed="false"/>
    <row r="21" s="346" customFormat="true" ht="14.5" hidden="false" customHeight="false" outlineLevel="0" collapsed="false">
      <c r="B21" s="3" t="n">
        <v>2019</v>
      </c>
      <c r="C21" s="3"/>
      <c r="D21" s="3"/>
      <c r="E21" s="3"/>
    </row>
    <row r="22" s="345" customFormat="true" ht="14.5" hidden="false" customHeight="false" outlineLevel="0" collapsed="false"/>
    <row r="23" s="345" customFormat="true" ht="14.5" hidden="false" customHeight="false" outlineLevel="0" collapsed="false">
      <c r="B23" s="45" t="s">
        <v>719</v>
      </c>
      <c r="C23" s="45" t="s">
        <v>702</v>
      </c>
      <c r="D23" s="45" t="s">
        <v>720</v>
      </c>
      <c r="E23" s="45" t="s">
        <v>708</v>
      </c>
      <c r="F23" s="45" t="s">
        <v>721</v>
      </c>
      <c r="G23" s="45" t="s">
        <v>722</v>
      </c>
      <c r="H23" s="45" t="s">
        <v>52</v>
      </c>
      <c r="K23" s="45" t="s">
        <v>457</v>
      </c>
      <c r="L23" s="45" t="s">
        <v>702</v>
      </c>
      <c r="M23" s="45" t="s">
        <v>720</v>
      </c>
      <c r="N23" s="45" t="s">
        <v>708</v>
      </c>
      <c r="O23" s="45" t="s">
        <v>721</v>
      </c>
      <c r="P23" s="45" t="s">
        <v>722</v>
      </c>
      <c r="Q23" s="45" t="s">
        <v>52</v>
      </c>
    </row>
    <row r="24" s="345" customFormat="true" ht="14.5" hidden="false" customHeight="false" outlineLevel="0" collapsed="false">
      <c r="B24" s="45" t="s">
        <v>723</v>
      </c>
      <c r="C24" s="347" t="n">
        <f aca="false">J9</f>
        <v>0.26835721</v>
      </c>
      <c r="D24" s="347"/>
      <c r="E24" s="347"/>
      <c r="F24" s="347"/>
      <c r="G24" s="347"/>
      <c r="H24" s="347" t="n">
        <f aca="false">SUM(C24:G24)</f>
        <v>0.26835721</v>
      </c>
      <c r="K24" s="45" t="s">
        <v>723</v>
      </c>
      <c r="L24" s="347" t="n">
        <f aca="false">C24*11.63</f>
        <v>3.1209943523</v>
      </c>
      <c r="M24" s="347"/>
      <c r="N24" s="347"/>
      <c r="O24" s="347"/>
      <c r="P24" s="347"/>
      <c r="Q24" s="347" t="n">
        <f aca="false">H24*11.63</f>
        <v>3.1209943523</v>
      </c>
    </row>
    <row r="25" s="345" customFormat="true" ht="14.5" hidden="false" customHeight="false" outlineLevel="0" collapsed="false">
      <c r="B25" s="45" t="s">
        <v>14</v>
      </c>
      <c r="C25" s="347"/>
      <c r="D25" s="347" t="n">
        <f aca="false">J10*41%</f>
        <v>0.486648997635426</v>
      </c>
      <c r="E25" s="347"/>
      <c r="F25" s="347"/>
      <c r="G25" s="347"/>
      <c r="H25" s="347" t="n">
        <f aca="false">SUM(C25:G25)</f>
        <v>0.486648997635426</v>
      </c>
      <c r="K25" s="45" t="s">
        <v>14</v>
      </c>
      <c r="L25" s="347"/>
      <c r="M25" s="347" t="n">
        <f aca="false">D25*11.63</f>
        <v>5.6597278425</v>
      </c>
      <c r="N25" s="347"/>
      <c r="O25" s="347"/>
      <c r="P25" s="347"/>
      <c r="Q25" s="347" t="n">
        <f aca="false">H25*11.63</f>
        <v>5.6597278425</v>
      </c>
    </row>
    <row r="26" s="345" customFormat="true" ht="14.5" hidden="false" customHeight="false" outlineLevel="0" collapsed="false">
      <c r="B26" s="45" t="s">
        <v>724</v>
      </c>
      <c r="C26" s="347"/>
      <c r="D26" s="347" t="n">
        <f aca="false">J10*0.09</f>
        <v>0.10682538972485</v>
      </c>
      <c r="E26" s="347" t="n">
        <f aca="false">J13</f>
        <v>8.6976094481</v>
      </c>
      <c r="F26" s="347"/>
      <c r="G26" s="347"/>
      <c r="H26" s="347" t="n">
        <f aca="false">SUM(C26:G26)</f>
        <v>8.80443483782485</v>
      </c>
      <c r="K26" s="45" t="s">
        <v>724</v>
      </c>
      <c r="L26" s="347"/>
      <c r="M26" s="347" t="n">
        <f aca="false">D26*11.63</f>
        <v>1.2423792825</v>
      </c>
      <c r="N26" s="347" t="n">
        <f aca="false">E26*11.63</f>
        <v>101.153197881403</v>
      </c>
      <c r="O26" s="347"/>
      <c r="P26" s="347"/>
      <c r="Q26" s="347" t="n">
        <f aca="false">H26*11.63</f>
        <v>102.395577163903</v>
      </c>
    </row>
    <row r="27" s="345" customFormat="true" ht="14.5" hidden="false" customHeight="false" outlineLevel="0" collapsed="false">
      <c r="B27" s="45" t="s">
        <v>725</v>
      </c>
      <c r="C27" s="347"/>
      <c r="D27" s="347" t="n">
        <f aca="false">J10*0.5</f>
        <v>0.593474387360275</v>
      </c>
      <c r="E27" s="347" t="n">
        <f aca="false">J15*0.5</f>
        <v>0.238241349949998</v>
      </c>
      <c r="F27" s="347"/>
      <c r="G27" s="347"/>
      <c r="H27" s="347" t="n">
        <f aca="false">SUM(C27:G27)</f>
        <v>0.831715737310274</v>
      </c>
      <c r="K27" s="45" t="s">
        <v>725</v>
      </c>
      <c r="L27" s="347"/>
      <c r="M27" s="347" t="n">
        <f aca="false">D27*11.63</f>
        <v>6.902107125</v>
      </c>
      <c r="N27" s="347" t="n">
        <f aca="false">E27*11.63</f>
        <v>2.77074689991848</v>
      </c>
      <c r="O27" s="347"/>
      <c r="P27" s="347"/>
      <c r="Q27" s="347" t="n">
        <f aca="false">H27*11.63</f>
        <v>9.67285402491848</v>
      </c>
    </row>
    <row r="28" s="345" customFormat="true" ht="14.5" hidden="false" customHeight="false" outlineLevel="0" collapsed="false">
      <c r="B28" s="45" t="s">
        <v>726</v>
      </c>
      <c r="C28" s="347"/>
      <c r="D28" s="347"/>
      <c r="E28" s="347" t="n">
        <f aca="false">J14</f>
        <v>2.50115202</v>
      </c>
      <c r="F28" s="346"/>
      <c r="G28" s="347"/>
      <c r="H28" s="347" t="n">
        <f aca="false">SUM(C28:G28)</f>
        <v>2.50115202</v>
      </c>
      <c r="K28" s="45" t="s">
        <v>726</v>
      </c>
      <c r="L28" s="347"/>
      <c r="M28" s="347"/>
      <c r="N28" s="347" t="n">
        <f aca="false">E28*11.63</f>
        <v>29.0883979926</v>
      </c>
      <c r="O28" s="347"/>
      <c r="P28" s="347"/>
      <c r="Q28" s="347" t="n">
        <f aca="false">H28*11.63</f>
        <v>29.0883979926</v>
      </c>
    </row>
    <row r="29" s="345" customFormat="true" ht="14.5" hidden="false" customHeight="false" outlineLevel="0" collapsed="false">
      <c r="B29" s="45" t="s">
        <v>727</v>
      </c>
      <c r="C29" s="347"/>
      <c r="D29" s="347"/>
      <c r="E29" s="347" t="n">
        <f aca="false">J15*0.5</f>
        <v>0.238241349949998</v>
      </c>
      <c r="F29" s="347"/>
      <c r="G29" s="347"/>
      <c r="H29" s="347" t="n">
        <f aca="false">SUM(C29:G29)</f>
        <v>0.238241349949998</v>
      </c>
      <c r="K29" s="45" t="s">
        <v>727</v>
      </c>
      <c r="L29" s="347"/>
      <c r="M29" s="347"/>
      <c r="N29" s="347" t="n">
        <f aca="false">E29*11.63</f>
        <v>2.77074689991848</v>
      </c>
      <c r="O29" s="347"/>
      <c r="P29" s="347"/>
      <c r="Q29" s="347" t="n">
        <f aca="false">H29*11.63</f>
        <v>2.77074689991848</v>
      </c>
    </row>
    <row r="30" s="345" customFormat="true" ht="14.5" hidden="false" customHeight="false" outlineLevel="0" collapsed="false">
      <c r="B30" s="45" t="s">
        <v>52</v>
      </c>
      <c r="C30" s="347" t="n">
        <f aca="false">+SUM(C24:C29)</f>
        <v>0.26835721</v>
      </c>
      <c r="D30" s="347" t="n">
        <f aca="false">+SUM(D24:D29)</f>
        <v>1.18694877472055</v>
      </c>
      <c r="E30" s="347" t="n">
        <f aca="false">+SUM(E24:E29)</f>
        <v>11.675244168</v>
      </c>
      <c r="F30" s="347" t="n">
        <f aca="false">+SUM(F24:F29)</f>
        <v>0</v>
      </c>
      <c r="G30" s="347" t="n">
        <f aca="false">+SUM(G24:G29)</f>
        <v>0</v>
      </c>
      <c r="H30" s="347" t="n">
        <f aca="false">SUM(C30:G30)</f>
        <v>13.1305501527205</v>
      </c>
      <c r="K30" s="45" t="s">
        <v>52</v>
      </c>
      <c r="L30" s="347" t="n">
        <f aca="false">C30*11.63</f>
        <v>3.1209943523</v>
      </c>
      <c r="M30" s="347" t="n">
        <f aca="false">D30*11.63</f>
        <v>13.80421425</v>
      </c>
      <c r="N30" s="347" t="n">
        <f aca="false">E30*11.63</f>
        <v>135.78308967384</v>
      </c>
      <c r="O30" s="347"/>
      <c r="P30" s="347"/>
      <c r="Q30" s="347" t="n">
        <f aca="false">SUM(Q24:Q29)</f>
        <v>152.70829827614</v>
      </c>
    </row>
    <row r="31" s="345" customFormat="true" ht="14.5" hidden="false" customHeight="false" outlineLevel="0" collapsed="false"/>
    <row r="34" customFormat="false" ht="14.5" hidden="false" customHeight="false" outlineLevel="0" collapsed="false">
      <c r="B34" s="256" t="s">
        <v>728</v>
      </c>
    </row>
    <row r="37" customFormat="false" ht="14.5" hidden="false" customHeight="false" outlineLevel="0" collapsed="false">
      <c r="B37" s="3" t="s">
        <v>729</v>
      </c>
      <c r="C37" s="3"/>
      <c r="D37" s="3"/>
      <c r="E37" s="3"/>
    </row>
    <row r="39" customFormat="false" ht="14.5" hidden="false" customHeight="false" outlineLevel="0" collapsed="false">
      <c r="C39" s="174" t="s">
        <v>730</v>
      </c>
      <c r="D39" s="174"/>
      <c r="E39" s="174"/>
    </row>
    <row r="40" customFormat="false" ht="14.5" hidden="false" customHeight="false" outlineLevel="0" collapsed="false">
      <c r="C40" s="348" t="n">
        <v>2019</v>
      </c>
      <c r="D40" s="348" t="n">
        <v>2030</v>
      </c>
      <c r="E40" s="348" t="n">
        <v>2050</v>
      </c>
    </row>
    <row r="41" customFormat="false" ht="14.5" hidden="false" customHeight="false" outlineLevel="0" collapsed="false">
      <c r="B41" s="7" t="s">
        <v>723</v>
      </c>
      <c r="C41" s="349" t="s">
        <v>731</v>
      </c>
    </row>
    <row r="42" customFormat="false" ht="14.5" hidden="false" customHeight="false" outlineLevel="0" collapsed="false">
      <c r="B42" s="350" t="s">
        <v>10</v>
      </c>
      <c r="C42" s="351"/>
      <c r="D42" s="351"/>
      <c r="E42" s="351"/>
    </row>
    <row r="43" customFormat="false" ht="14.5" hidden="false" customHeight="false" outlineLevel="0" collapsed="false">
      <c r="B43" s="352" t="s">
        <v>732</v>
      </c>
      <c r="C43" s="353" t="n">
        <v>1</v>
      </c>
      <c r="D43" s="353" t="n">
        <v>0</v>
      </c>
      <c r="E43" s="353" t="n">
        <v>0</v>
      </c>
    </row>
    <row r="44" customFormat="false" ht="14.5" hidden="false" customHeight="false" outlineLevel="0" collapsed="false">
      <c r="B44" s="352" t="s">
        <v>733</v>
      </c>
      <c r="C44" s="353" t="n">
        <v>0</v>
      </c>
      <c r="D44" s="353" t="n">
        <v>0</v>
      </c>
      <c r="E44" s="353" t="n">
        <v>0</v>
      </c>
    </row>
    <row r="45" customFormat="false" ht="14.5" hidden="false" customHeight="false" outlineLevel="0" collapsed="false">
      <c r="B45" s="352" t="s">
        <v>734</v>
      </c>
      <c r="C45" s="353" t="n">
        <v>0</v>
      </c>
      <c r="D45" s="353" t="n">
        <v>0</v>
      </c>
      <c r="E45" s="353" t="n">
        <v>0</v>
      </c>
    </row>
    <row r="46" customFormat="false" ht="14.5" hidden="false" customHeight="false" outlineLevel="0" collapsed="false">
      <c r="B46" s="350" t="s">
        <v>14</v>
      </c>
      <c r="C46" s="351"/>
      <c r="D46" s="351"/>
      <c r="E46" s="351"/>
    </row>
    <row r="47" customFormat="false" ht="14.5" hidden="false" customHeight="false" outlineLevel="0" collapsed="false">
      <c r="B47" s="352" t="s">
        <v>735</v>
      </c>
      <c r="C47" s="353" t="n">
        <v>1</v>
      </c>
      <c r="D47" s="353" t="n">
        <v>0</v>
      </c>
      <c r="E47" s="353" t="n">
        <v>0</v>
      </c>
    </row>
    <row r="48" customFormat="false" ht="14.5" hidden="false" customHeight="false" outlineLevel="0" collapsed="false">
      <c r="B48" s="352" t="s">
        <v>736</v>
      </c>
      <c r="C48" s="353" t="n">
        <v>0</v>
      </c>
      <c r="D48" s="353" t="n">
        <v>0</v>
      </c>
      <c r="E48" s="353" t="n">
        <v>0</v>
      </c>
    </row>
    <row r="49" customFormat="false" ht="14.5" hidden="false" customHeight="false" outlineLevel="0" collapsed="false">
      <c r="B49" s="350" t="s">
        <v>724</v>
      </c>
      <c r="C49" s="351"/>
      <c r="D49" s="351"/>
      <c r="E49" s="351"/>
    </row>
    <row r="50" customFormat="false" ht="14.5" hidden="false" customHeight="false" outlineLevel="0" collapsed="false">
      <c r="B50" s="352" t="s">
        <v>737</v>
      </c>
      <c r="C50" s="353" t="n">
        <v>1</v>
      </c>
      <c r="D50" s="353" t="n">
        <v>0</v>
      </c>
      <c r="E50" s="353" t="n">
        <v>0</v>
      </c>
    </row>
    <row r="51" customFormat="false" ht="14.5" hidden="false" customHeight="false" outlineLevel="0" collapsed="false">
      <c r="B51" s="352" t="s">
        <v>738</v>
      </c>
      <c r="C51" s="353" t="n">
        <v>0</v>
      </c>
      <c r="D51" s="353" t="n">
        <v>0</v>
      </c>
      <c r="E51" s="353" t="n">
        <v>0</v>
      </c>
    </row>
    <row r="52" customFormat="false" ht="14.5" hidden="false" customHeight="false" outlineLevel="0" collapsed="false">
      <c r="B52" s="352" t="s">
        <v>739</v>
      </c>
      <c r="C52" s="353" t="n">
        <v>0</v>
      </c>
      <c r="D52" s="353" t="n">
        <v>0</v>
      </c>
      <c r="E52" s="353" t="n">
        <v>0</v>
      </c>
    </row>
    <row r="53" customFormat="false" ht="14.5" hidden="false" customHeight="false" outlineLevel="0" collapsed="false">
      <c r="B53" s="350" t="s">
        <v>725</v>
      </c>
      <c r="C53" s="351"/>
      <c r="D53" s="351"/>
      <c r="E53" s="351"/>
    </row>
    <row r="54" customFormat="false" ht="14.5" hidden="false" customHeight="false" outlineLevel="0" collapsed="false">
      <c r="B54" s="352" t="s">
        <v>708</v>
      </c>
      <c r="C54" s="353" t="n">
        <v>0.286445643941353</v>
      </c>
      <c r="D54" s="353" t="n">
        <v>0.286445643941353</v>
      </c>
      <c r="E54" s="353" t="n">
        <v>0.286445643941353</v>
      </c>
    </row>
    <row r="55" customFormat="false" ht="14.5" hidden="false" customHeight="false" outlineLevel="0" collapsed="false">
      <c r="B55" s="352" t="s">
        <v>442</v>
      </c>
      <c r="C55" s="353" t="n">
        <v>0.713554356058647</v>
      </c>
      <c r="D55" s="353" t="n">
        <v>0.713554356058647</v>
      </c>
      <c r="E55" s="353" t="n">
        <f aca="false">D55-E58</f>
        <v>0.563554356058647</v>
      </c>
    </row>
    <row r="56" customFormat="false" ht="14.5" hidden="false" customHeight="false" outlineLevel="0" collapsed="false">
      <c r="B56" s="352" t="s">
        <v>740</v>
      </c>
      <c r="C56" s="353" t="n">
        <v>0</v>
      </c>
      <c r="D56" s="353" t="n">
        <v>0</v>
      </c>
      <c r="E56" s="353" t="n">
        <v>0</v>
      </c>
    </row>
    <row r="57" customFormat="false" ht="14.5" hidden="false" customHeight="false" outlineLevel="0" collapsed="false">
      <c r="B57" s="352" t="s">
        <v>741</v>
      </c>
      <c r="C57" s="353" t="n">
        <v>0</v>
      </c>
      <c r="D57" s="353" t="n">
        <v>0</v>
      </c>
      <c r="E57" s="353" t="n">
        <v>0</v>
      </c>
    </row>
    <row r="58" customFormat="false" ht="14.5" hidden="false" customHeight="false" outlineLevel="0" collapsed="false">
      <c r="B58" s="352" t="s">
        <v>448</v>
      </c>
      <c r="C58" s="353" t="n">
        <v>0</v>
      </c>
      <c r="D58" s="353" t="n">
        <v>0</v>
      </c>
      <c r="E58" s="353" t="n">
        <f aca="false">15%</f>
        <v>0.15</v>
      </c>
    </row>
    <row r="59" customFormat="false" ht="14.5" hidden="false" customHeight="false" outlineLevel="0" collapsed="false">
      <c r="B59" s="350" t="s">
        <v>726</v>
      </c>
      <c r="C59" s="351"/>
      <c r="D59" s="351"/>
      <c r="E59" s="351"/>
    </row>
    <row r="60" customFormat="false" ht="14.5" hidden="false" customHeight="false" outlineLevel="0" collapsed="false">
      <c r="B60" s="352" t="s">
        <v>742</v>
      </c>
      <c r="C60" s="353" t="n">
        <v>1</v>
      </c>
      <c r="D60" s="353" t="n">
        <f aca="false">C60</f>
        <v>1</v>
      </c>
      <c r="E60" s="353" t="n">
        <f aca="false">D60</f>
        <v>1</v>
      </c>
    </row>
    <row r="61" customFormat="false" ht="14.5" hidden="false" customHeight="false" outlineLevel="0" collapsed="false">
      <c r="B61" s="352" t="s">
        <v>743</v>
      </c>
      <c r="C61" s="353" t="n">
        <v>0</v>
      </c>
      <c r="D61" s="353" t="n">
        <v>0</v>
      </c>
      <c r="E61" s="353" t="n">
        <v>0</v>
      </c>
    </row>
    <row r="62" customFormat="false" ht="14.5" hidden="false" customHeight="false" outlineLevel="0" collapsed="false">
      <c r="B62" s="352" t="s">
        <v>744</v>
      </c>
      <c r="C62" s="353" t="n">
        <v>0</v>
      </c>
      <c r="D62" s="353" t="n">
        <v>0</v>
      </c>
      <c r="E62" s="353" t="n">
        <v>0</v>
      </c>
    </row>
    <row r="63" customFormat="false" ht="14.5" hidden="false" customHeight="false" outlineLevel="0" collapsed="false">
      <c r="B63" s="350" t="s">
        <v>727</v>
      </c>
      <c r="C63" s="351"/>
      <c r="D63" s="351"/>
      <c r="E63" s="351"/>
    </row>
    <row r="64" customFormat="false" ht="14.5" hidden="false" customHeight="false" outlineLevel="0" collapsed="false">
      <c r="B64" s="352" t="s">
        <v>745</v>
      </c>
      <c r="C64" s="353" t="n">
        <v>1</v>
      </c>
      <c r="D64" s="353" t="n">
        <f aca="false">C64</f>
        <v>1</v>
      </c>
      <c r="E64" s="353" t="n">
        <f aca="false">D64</f>
        <v>1</v>
      </c>
    </row>
    <row r="65" customFormat="false" ht="14.5" hidden="false" customHeight="false" outlineLevel="0" collapsed="false">
      <c r="B65" s="352" t="s">
        <v>746</v>
      </c>
      <c r="C65" s="353" t="n">
        <v>0</v>
      </c>
      <c r="D65" s="353" t="n">
        <v>0</v>
      </c>
      <c r="E65" s="353" t="n">
        <v>0</v>
      </c>
    </row>
    <row r="68" customFormat="false" ht="14.5" hidden="false" customHeight="false" outlineLevel="0" collapsed="false">
      <c r="B68" s="3" t="s">
        <v>747</v>
      </c>
      <c r="C68" s="3"/>
      <c r="D68" s="3"/>
      <c r="E68" s="3"/>
    </row>
    <row r="71" customFormat="false" ht="14.5" hidden="false" customHeight="false" outlineLevel="0" collapsed="false">
      <c r="C71" s="174" t="s">
        <v>730</v>
      </c>
      <c r="D71" s="174"/>
      <c r="E71" s="174"/>
    </row>
    <row r="72" customFormat="false" ht="14.5" hidden="false" customHeight="false" outlineLevel="0" collapsed="false">
      <c r="C72" s="348" t="n">
        <v>2019</v>
      </c>
      <c r="D72" s="348" t="n">
        <v>2030</v>
      </c>
      <c r="E72" s="348" t="n">
        <v>2050</v>
      </c>
    </row>
    <row r="73" customFormat="false" ht="14.5" hidden="false" customHeight="false" outlineLevel="0" collapsed="false">
      <c r="B73" s="354" t="s">
        <v>723</v>
      </c>
      <c r="C73" s="355" t="s">
        <v>731</v>
      </c>
      <c r="D73" s="288"/>
      <c r="E73" s="289"/>
    </row>
    <row r="74" customFormat="false" ht="14.5" hidden="false" customHeight="false" outlineLevel="0" collapsed="false">
      <c r="B74" s="356" t="s">
        <v>10</v>
      </c>
      <c r="C74" s="357"/>
      <c r="D74" s="357"/>
      <c r="E74" s="358"/>
    </row>
    <row r="75" customFormat="false" ht="14.5" hidden="false" customHeight="false" outlineLevel="0" collapsed="false">
      <c r="B75" s="359" t="s">
        <v>732</v>
      </c>
      <c r="C75" s="360" t="n">
        <v>1</v>
      </c>
      <c r="D75" s="360" t="n">
        <f aca="false">1-SUM(D76:D77)</f>
        <v>0.8</v>
      </c>
      <c r="E75" s="361" t="n">
        <f aca="false">1-SUM(E76:E77)</f>
        <v>0</v>
      </c>
    </row>
    <row r="76" customFormat="false" ht="14.5" hidden="false" customHeight="false" outlineLevel="0" collapsed="false">
      <c r="B76" s="359" t="s">
        <v>733</v>
      </c>
      <c r="C76" s="360" t="n">
        <v>0</v>
      </c>
      <c r="D76" s="360" t="n">
        <v>0.05</v>
      </c>
      <c r="E76" s="361" t="n">
        <v>0.3</v>
      </c>
    </row>
    <row r="77" customFormat="false" ht="14.5" hidden="false" customHeight="false" outlineLevel="0" collapsed="false">
      <c r="B77" s="359" t="s">
        <v>734</v>
      </c>
      <c r="C77" s="360" t="n">
        <v>0</v>
      </c>
      <c r="D77" s="360" t="n">
        <v>0.15</v>
      </c>
      <c r="E77" s="361" t="n">
        <v>0.7</v>
      </c>
      <c r="G77" s="362" t="s">
        <v>748</v>
      </c>
    </row>
    <row r="78" customFormat="false" ht="14.5" hidden="false" customHeight="false" outlineLevel="0" collapsed="false">
      <c r="B78" s="356" t="s">
        <v>14</v>
      </c>
      <c r="C78" s="357"/>
      <c r="D78" s="357"/>
      <c r="E78" s="358"/>
    </row>
    <row r="79" customFormat="false" ht="14.5" hidden="false" customHeight="false" outlineLevel="0" collapsed="false">
      <c r="B79" s="359" t="s">
        <v>735</v>
      </c>
      <c r="C79" s="363" t="n">
        <v>1</v>
      </c>
      <c r="D79" s="363" t="n">
        <f aca="false">1-D80</f>
        <v>0.25</v>
      </c>
      <c r="E79" s="364" t="n">
        <f aca="false">1-E80</f>
        <v>0</v>
      </c>
    </row>
    <row r="80" customFormat="false" ht="14.5" hidden="false" customHeight="false" outlineLevel="0" collapsed="false">
      <c r="B80" s="359" t="s">
        <v>736</v>
      </c>
      <c r="C80" s="363" t="n">
        <v>0</v>
      </c>
      <c r="D80" s="363" t="n">
        <v>0.75</v>
      </c>
      <c r="E80" s="365" t="n">
        <v>1</v>
      </c>
      <c r="G80" s="283"/>
      <c r="I80" s="216"/>
    </row>
    <row r="81" customFormat="false" ht="14.5" hidden="false" customHeight="false" outlineLevel="0" collapsed="false">
      <c r="B81" s="356" t="s">
        <v>724</v>
      </c>
      <c r="C81" s="357"/>
      <c r="D81" s="357"/>
      <c r="E81" s="358"/>
    </row>
    <row r="82" customFormat="false" ht="14.5" hidden="false" customHeight="false" outlineLevel="0" collapsed="false">
      <c r="B82" s="359" t="s">
        <v>737</v>
      </c>
      <c r="C82" s="363" t="n">
        <v>1</v>
      </c>
      <c r="D82" s="363" t="n">
        <f aca="false">1-SUM(D83:D84)</f>
        <v>0.85</v>
      </c>
      <c r="E82" s="364" t="n">
        <f aca="false">1-SUM(E83:E84)</f>
        <v>0.2</v>
      </c>
    </row>
    <row r="83" customFormat="false" ht="14.5" hidden="false" customHeight="false" outlineLevel="0" collapsed="false">
      <c r="B83" s="359" t="s">
        <v>749</v>
      </c>
      <c r="C83" s="360" t="n">
        <v>0</v>
      </c>
      <c r="D83" s="366" t="n">
        <v>0.1</v>
      </c>
      <c r="E83" s="365" t="n">
        <v>0.4</v>
      </c>
    </row>
    <row r="84" customFormat="false" ht="14.5" hidden="false" customHeight="false" outlineLevel="0" collapsed="false">
      <c r="B84" s="359" t="s">
        <v>739</v>
      </c>
      <c r="C84" s="360" t="n">
        <v>0</v>
      </c>
      <c r="D84" s="366" t="n">
        <v>0.05</v>
      </c>
      <c r="E84" s="365" t="n">
        <v>0.4</v>
      </c>
      <c r="G84" s="362" t="s">
        <v>750</v>
      </c>
      <c r="K84" s="1" t="s">
        <v>751</v>
      </c>
    </row>
    <row r="85" customFormat="false" ht="14.5" hidden="false" customHeight="false" outlineLevel="0" collapsed="false">
      <c r="B85" s="356" t="s">
        <v>725</v>
      </c>
      <c r="C85" s="357"/>
      <c r="D85" s="357"/>
      <c r="E85" s="358"/>
      <c r="G85" s="283"/>
      <c r="I85" s="216"/>
    </row>
    <row r="86" customFormat="false" ht="14.5" hidden="false" customHeight="false" outlineLevel="0" collapsed="false">
      <c r="B86" s="359" t="s">
        <v>708</v>
      </c>
      <c r="C86" s="363" t="n">
        <v>0.286445643941353</v>
      </c>
      <c r="D86" s="363" t="n">
        <f aca="false">C86-D88</f>
        <v>0.256445643941353</v>
      </c>
      <c r="E86" s="364" t="n">
        <f aca="false">D86-E88</f>
        <v>0.156445643941353</v>
      </c>
    </row>
    <row r="87" customFormat="false" ht="14.5" hidden="false" customHeight="false" outlineLevel="0" collapsed="false">
      <c r="B87" s="359" t="s">
        <v>442</v>
      </c>
      <c r="C87" s="363" t="n">
        <v>0.713554356058647</v>
      </c>
      <c r="D87" s="363" t="n">
        <f aca="false">C87-D89</f>
        <v>0.673554356058647</v>
      </c>
      <c r="E87" s="364" t="n">
        <f aca="false">D87-E90-E89</f>
        <v>0.123554356058647</v>
      </c>
    </row>
    <row r="88" customFormat="false" ht="14.5" hidden="false" customHeight="false" outlineLevel="0" collapsed="false">
      <c r="B88" s="359" t="s">
        <v>740</v>
      </c>
      <c r="C88" s="363" t="n">
        <v>0</v>
      </c>
      <c r="D88" s="366" t="n">
        <v>0.03</v>
      </c>
      <c r="E88" s="364" t="n">
        <v>0.1</v>
      </c>
    </row>
    <row r="89" customFormat="false" ht="14.5" hidden="false" customHeight="false" outlineLevel="0" collapsed="false">
      <c r="B89" s="359" t="s">
        <v>741</v>
      </c>
      <c r="C89" s="363" t="n">
        <v>0</v>
      </c>
      <c r="D89" s="366" t="n">
        <v>0.04</v>
      </c>
      <c r="E89" s="365" t="n">
        <v>0.15</v>
      </c>
      <c r="G89" s="283"/>
      <c r="I89" s="216"/>
    </row>
    <row r="90" customFormat="false" ht="14.5" hidden="false" customHeight="false" outlineLevel="0" collapsed="false">
      <c r="B90" s="359" t="s">
        <v>448</v>
      </c>
      <c r="C90" s="363" t="n">
        <v>0</v>
      </c>
      <c r="D90" s="363" t="n">
        <v>0</v>
      </c>
      <c r="E90" s="364" t="n">
        <v>0.4</v>
      </c>
    </row>
    <row r="91" customFormat="false" ht="14.5" hidden="false" customHeight="false" outlineLevel="0" collapsed="false">
      <c r="B91" s="356" t="s">
        <v>726</v>
      </c>
      <c r="C91" s="357"/>
      <c r="D91" s="357"/>
      <c r="E91" s="358"/>
    </row>
    <row r="92" customFormat="false" ht="14.5" hidden="false" customHeight="false" outlineLevel="0" collapsed="false">
      <c r="B92" s="359" t="s">
        <v>742</v>
      </c>
      <c r="C92" s="363" t="n">
        <v>1</v>
      </c>
      <c r="D92" s="363" t="n">
        <f aca="false">1-D94</f>
        <v>0.95</v>
      </c>
      <c r="E92" s="364" t="n">
        <f aca="false">1-E94</f>
        <v>0.8</v>
      </c>
    </row>
    <row r="93" customFormat="false" ht="14.5" hidden="false" customHeight="false" outlineLevel="0" collapsed="false">
      <c r="B93" s="359" t="s">
        <v>743</v>
      </c>
      <c r="C93" s="363" t="n">
        <v>0</v>
      </c>
      <c r="D93" s="363" t="n">
        <v>0</v>
      </c>
      <c r="E93" s="364" t="n">
        <v>0</v>
      </c>
    </row>
    <row r="94" customFormat="false" ht="14.5" hidden="false" customHeight="false" outlineLevel="0" collapsed="false">
      <c r="B94" s="359" t="s">
        <v>752</v>
      </c>
      <c r="C94" s="363" t="n">
        <v>0</v>
      </c>
      <c r="D94" s="363" t="n">
        <v>0.05</v>
      </c>
      <c r="E94" s="364" t="n">
        <v>0.2</v>
      </c>
    </row>
    <row r="95" customFormat="false" ht="14.5" hidden="false" customHeight="false" outlineLevel="0" collapsed="false">
      <c r="B95" s="356" t="s">
        <v>727</v>
      </c>
      <c r="C95" s="357"/>
      <c r="D95" s="357"/>
      <c r="E95" s="358"/>
    </row>
    <row r="96" customFormat="false" ht="14.5" hidden="false" customHeight="false" outlineLevel="0" collapsed="false">
      <c r="B96" s="359" t="s">
        <v>745</v>
      </c>
      <c r="C96" s="363" t="n">
        <v>1</v>
      </c>
      <c r="D96" s="363" t="n">
        <f aca="false">C96</f>
        <v>1</v>
      </c>
      <c r="E96" s="364" t="n">
        <v>0.8</v>
      </c>
    </row>
    <row r="97" customFormat="false" ht="14.5" hidden="false" customHeight="false" outlineLevel="0" collapsed="false">
      <c r="B97" s="367" t="s">
        <v>746</v>
      </c>
      <c r="C97" s="368" t="n">
        <v>0</v>
      </c>
      <c r="D97" s="368" t="n">
        <v>0</v>
      </c>
      <c r="E97" s="369" t="n">
        <v>0.2</v>
      </c>
    </row>
  </sheetData>
  <mergeCells count="7">
    <mergeCell ref="B2:M4"/>
    <mergeCell ref="B6:E6"/>
    <mergeCell ref="B21:E21"/>
    <mergeCell ref="B37:E37"/>
    <mergeCell ref="C39:E39"/>
    <mergeCell ref="B68:E68"/>
    <mergeCell ref="C71:E7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23c5334-5dad-4194-9e00-48b8d9851b34" xsi:nil="true"/>
    <lcf76f155ced4ddcb4097134ff3c332f xmlns="1daa9b06-e6e8-4a5f-a5d5-3619779892a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AAAC37BD05F7145AA350F90A845546C" ma:contentTypeVersion="10" ma:contentTypeDescription="Crée un document." ma:contentTypeScope="" ma:versionID="99c5e70cf19f0cf953806a4efe4c6525">
  <xsd:schema xmlns:xsd="http://www.w3.org/2001/XMLSchema" xmlns:xs="http://www.w3.org/2001/XMLSchema" xmlns:p="http://schemas.microsoft.com/office/2006/metadata/properties" xmlns:ns2="1daa9b06-e6e8-4a5f-a5d5-3619779892a5" xmlns:ns3="123c5334-5dad-4194-9e00-48b8d9851b34" targetNamespace="http://schemas.microsoft.com/office/2006/metadata/properties" ma:root="true" ma:fieldsID="5d50cabbd7ccf5fc9ec37e2ecb7e0313" ns2:_="" ns3:_="">
    <xsd:import namespace="1daa9b06-e6e8-4a5f-a5d5-3619779892a5"/>
    <xsd:import namespace="123c5334-5dad-4194-9e00-48b8d9851b3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aa9b06-e6e8-4a5f-a5d5-361977989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23c5334-5dad-4194-9e00-48b8d9851b3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060bf3e5-5c79-4e71-8885-e5cbcb3687cd}" ma:internalName="TaxCatchAll" ma:showField="CatchAllData" ma:web="123c5334-5dad-4194-9e00-48b8d9851b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74607C-E3EE-4BEA-BA77-5264D88CD321}">
  <ds:schemaRefs>
    <ds:schemaRef ds:uri="http://purl.org/dc/elements/1.1/"/>
    <ds:schemaRef ds:uri="http://www.w3.org/XML/1998/namespace"/>
    <ds:schemaRef ds:uri="http://schemas.microsoft.com/office/2006/documentManagement/types"/>
    <ds:schemaRef ds:uri="http://schemas.microsoft.com/office/2006/metadata/properties"/>
    <ds:schemaRef ds:uri="http://purl.org/dc/dcmitype/"/>
    <ds:schemaRef ds:uri="http://schemas.openxmlformats.org/package/2006/metadata/core-properties"/>
    <ds:schemaRef ds:uri="1daa9b06-e6e8-4a5f-a5d5-3619779892a5"/>
    <ds:schemaRef ds:uri="http://schemas.microsoft.com/office/infopath/2007/PartnerControls"/>
    <ds:schemaRef ds:uri="123c5334-5dad-4194-9e00-48b8d9851b34"/>
    <ds:schemaRef ds:uri="http://purl.org/dc/terms/"/>
  </ds:schemaRefs>
</ds:datastoreItem>
</file>

<file path=customXml/itemProps2.xml><?xml version="1.0" encoding="utf-8"?>
<ds:datastoreItem xmlns:ds="http://schemas.openxmlformats.org/officeDocument/2006/customXml" ds:itemID="{8425F3CE-A8E6-4FA2-9AA0-BB6ED1F27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aa9b06-e6e8-4a5f-a5d5-3619779892a5"/>
    <ds:schemaRef ds:uri="123c5334-5dad-4194-9e00-48b8d9851b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24D8E0-0D5E-4781-B584-512CC658BB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LibreOffice/6.1.6.3.M15$Windows_X86_64 LibreOffice_project/95438ce04607f41c3e15ad262432388b710622b2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2023-01-30T12:30:44Z</dcterms:created>
  <dc:creator/>
  <dc:description/>
  <dc:language>fr-FR</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0x010100DAAAC37BD05F7145AA350F90A845546C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ProgId">
    <vt:lpwstr>Excel.Sheet</vt:lpwstr>
  </property>
  <property fmtid="{D5CDD505-2E9C-101B-9397-08002B2CF9AE}" pid="9" name="ScaleCrop">
    <vt:bool>0</vt:bool>
  </property>
  <property fmtid="{D5CDD505-2E9C-101B-9397-08002B2CF9AE}" pid="10" name="ShareDoc">
    <vt:bool>0</vt:bool>
  </property>
</Properties>
</file>