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00 - Docs essentiels RUN2 AME\Pour RESANA\004_Agriculture\"/>
    </mc:Choice>
  </mc:AlternateContent>
  <bookViews>
    <workbookView xWindow="0" yWindow="0" windowWidth="23040" windowHeight="8616" firstSheet="1" activeTab="4"/>
  </bookViews>
  <sheets>
    <sheet name="EN_Tracteurs AME" sheetId="5" r:id="rId1"/>
    <sheet name="EN_Hyp MOSUT" sheetId="1" r:id="rId2"/>
    <sheet name="BI_bioenergies AME" sheetId="6" r:id="rId3"/>
    <sheet name="BI_valo biomasse" sheetId="2" r:id="rId4"/>
    <sheet name="AL_alimentationAME" sheetId="7" r:id="rId5"/>
    <sheet name="AL_régimes article" sheetId="8" r:id="rId6"/>
  </sheet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8" l="1"/>
  <c r="K21" i="8"/>
  <c r="J21" i="8"/>
  <c r="I21" i="8"/>
  <c r="H21" i="8"/>
  <c r="G21" i="8"/>
  <c r="F21" i="8"/>
  <c r="E21" i="8"/>
  <c r="D21" i="8"/>
  <c r="C21" i="8"/>
  <c r="B21" i="8"/>
  <c r="D68" i="7"/>
  <c r="D66" i="7"/>
  <c r="C63" i="7"/>
  <c r="B63" i="7"/>
  <c r="C62" i="7"/>
  <c r="B62" i="7"/>
  <c r="C61" i="7"/>
  <c r="B61" i="7"/>
  <c r="D59" i="7"/>
  <c r="D63" i="7" s="1"/>
  <c r="C59" i="7"/>
  <c r="B59" i="7"/>
  <c r="D58" i="7"/>
  <c r="D62" i="7" s="1"/>
  <c r="C58" i="7"/>
  <c r="B58" i="7"/>
  <c r="D57" i="7"/>
  <c r="C57" i="7"/>
  <c r="B57" i="7"/>
  <c r="I56" i="7"/>
  <c r="D56" i="7"/>
  <c r="C56" i="7"/>
  <c r="B56" i="7"/>
  <c r="D55" i="7"/>
  <c r="C55" i="7"/>
  <c r="B55" i="7"/>
  <c r="D54" i="7"/>
  <c r="D61" i="7" s="1"/>
  <c r="C54" i="7"/>
  <c r="B54" i="7"/>
  <c r="H50" i="7"/>
  <c r="G50" i="7"/>
  <c r="F50" i="7"/>
  <c r="D50" i="7"/>
  <c r="C50" i="7"/>
  <c r="B50" i="7"/>
  <c r="I49" i="7"/>
  <c r="K49" i="7" s="1"/>
  <c r="E49" i="7"/>
  <c r="J49" i="7" s="1"/>
  <c r="I48" i="7"/>
  <c r="K48" i="7" s="1"/>
  <c r="E48" i="7"/>
  <c r="J48" i="7" s="1"/>
  <c r="I47" i="7"/>
  <c r="K47" i="7" s="1"/>
  <c r="E47" i="7"/>
  <c r="J47" i="7" s="1"/>
  <c r="I46" i="7"/>
  <c r="K46" i="7" s="1"/>
  <c r="E46" i="7"/>
  <c r="J46" i="7" s="1"/>
  <c r="I45" i="7"/>
  <c r="K45" i="7" s="1"/>
  <c r="E45" i="7"/>
  <c r="J45" i="7" s="1"/>
  <c r="I44" i="7"/>
  <c r="K44" i="7" s="1"/>
  <c r="E44" i="7"/>
  <c r="J44" i="7" s="1"/>
  <c r="I43" i="7"/>
  <c r="K43" i="7" s="1"/>
  <c r="E43" i="7"/>
  <c r="J43" i="7" s="1"/>
  <c r="I42" i="7"/>
  <c r="K42" i="7" s="1"/>
  <c r="E42" i="7"/>
  <c r="J42" i="7" s="1"/>
  <c r="I41" i="7"/>
  <c r="K41" i="7" s="1"/>
  <c r="E41" i="7"/>
  <c r="J41" i="7" s="1"/>
  <c r="I40" i="7"/>
  <c r="K40" i="7" s="1"/>
  <c r="E40" i="7"/>
  <c r="J40" i="7" s="1"/>
  <c r="I39" i="7"/>
  <c r="K39" i="7" s="1"/>
  <c r="E39" i="7"/>
  <c r="J39" i="7" s="1"/>
  <c r="I38" i="7"/>
  <c r="K38" i="7" s="1"/>
  <c r="E38" i="7"/>
  <c r="J38" i="7" s="1"/>
  <c r="I37" i="7"/>
  <c r="K37" i="7" s="1"/>
  <c r="E37" i="7"/>
  <c r="J37" i="7" s="1"/>
  <c r="I36" i="7"/>
  <c r="K36" i="7" s="1"/>
  <c r="E36" i="7"/>
  <c r="J36" i="7" s="1"/>
  <c r="I35" i="7"/>
  <c r="K35" i="7" s="1"/>
  <c r="E35" i="7"/>
  <c r="J35" i="7" s="1"/>
  <c r="I34" i="7"/>
  <c r="K34" i="7" s="1"/>
  <c r="E34" i="7"/>
  <c r="J34" i="7" s="1"/>
  <c r="I33" i="7"/>
  <c r="K33" i="7" s="1"/>
  <c r="E33" i="7"/>
  <c r="J33" i="7" s="1"/>
  <c r="I32" i="7"/>
  <c r="K32" i="7" s="1"/>
  <c r="E32" i="7"/>
  <c r="J32" i="7" s="1"/>
  <c r="I31" i="7"/>
  <c r="K31" i="7" s="1"/>
  <c r="E31" i="7"/>
  <c r="J31" i="7" s="1"/>
  <c r="I30" i="7"/>
  <c r="K30" i="7" s="1"/>
  <c r="E30" i="7"/>
  <c r="J30" i="7" s="1"/>
  <c r="I29" i="7"/>
  <c r="K29" i="7" s="1"/>
  <c r="E29" i="7"/>
  <c r="J29" i="7" s="1"/>
  <c r="I28" i="7"/>
  <c r="K28" i="7" s="1"/>
  <c r="E28" i="7"/>
  <c r="J28" i="7" s="1"/>
  <c r="I27" i="7"/>
  <c r="K27" i="7" s="1"/>
  <c r="E27" i="7"/>
  <c r="J27" i="7" s="1"/>
  <c r="I26" i="7"/>
  <c r="K26" i="7" s="1"/>
  <c r="E26" i="7"/>
  <c r="J26" i="7" s="1"/>
  <c r="I25" i="7"/>
  <c r="K25" i="7" s="1"/>
  <c r="E25" i="7"/>
  <c r="J25" i="7" s="1"/>
  <c r="I24" i="7"/>
  <c r="K24" i="7" s="1"/>
  <c r="E24" i="7"/>
  <c r="J24" i="7" s="1"/>
  <c r="I23" i="7"/>
  <c r="K23" i="7" s="1"/>
  <c r="E23" i="7"/>
  <c r="J23" i="7" s="1"/>
  <c r="I22" i="7"/>
  <c r="I55" i="7" s="1"/>
  <c r="E22" i="7"/>
  <c r="E55" i="7" s="1"/>
  <c r="I21" i="7"/>
  <c r="K21" i="7" s="1"/>
  <c r="E21" i="7"/>
  <c r="J21" i="7" s="1"/>
  <c r="I20" i="7"/>
  <c r="K20" i="7" s="1"/>
  <c r="E20" i="7"/>
  <c r="J20" i="7" s="1"/>
  <c r="I19" i="7"/>
  <c r="K19" i="7" s="1"/>
  <c r="K56" i="7" s="1"/>
  <c r="E19" i="7"/>
  <c r="J19" i="7" s="1"/>
  <c r="J56" i="7" s="1"/>
  <c r="I18" i="7"/>
  <c r="I54" i="7" s="1"/>
  <c r="E18" i="7"/>
  <c r="E59" i="7" s="1"/>
  <c r="I17" i="7"/>
  <c r="K17" i="7" s="1"/>
  <c r="E17" i="7"/>
  <c r="J17" i="7" s="1"/>
  <c r="I16" i="7"/>
  <c r="K16" i="7" s="1"/>
  <c r="E16" i="7"/>
  <c r="J16" i="7" s="1"/>
  <c r="I15" i="7"/>
  <c r="K15" i="7" s="1"/>
  <c r="E15" i="7"/>
  <c r="J15" i="7" s="1"/>
  <c r="I14" i="7"/>
  <c r="K14" i="7" s="1"/>
  <c r="E14" i="7"/>
  <c r="J14" i="7" s="1"/>
  <c r="I13" i="7"/>
  <c r="K13" i="7" s="1"/>
  <c r="E13" i="7"/>
  <c r="J13" i="7" s="1"/>
  <c r="I12" i="7"/>
  <c r="K12" i="7" s="1"/>
  <c r="E12" i="7"/>
  <c r="J12" i="7" s="1"/>
  <c r="I11" i="7"/>
  <c r="K11" i="7" s="1"/>
  <c r="E11" i="7"/>
  <c r="J11" i="7" s="1"/>
  <c r="I10" i="7"/>
  <c r="K10" i="7" s="1"/>
  <c r="E10" i="7"/>
  <c r="J10" i="7" s="1"/>
  <c r="I9" i="7"/>
  <c r="K9" i="7" s="1"/>
  <c r="E9" i="7"/>
  <c r="J9" i="7" s="1"/>
  <c r="I8" i="7"/>
  <c r="K8" i="7" s="1"/>
  <c r="E8" i="7"/>
  <c r="J8" i="7" s="1"/>
  <c r="I7" i="7"/>
  <c r="K7" i="7" s="1"/>
  <c r="E7" i="7"/>
  <c r="J7" i="7" s="1"/>
  <c r="I6" i="7"/>
  <c r="K6" i="7" s="1"/>
  <c r="E6" i="7"/>
  <c r="J6" i="7" s="1"/>
  <c r="J5" i="7"/>
  <c r="I5" i="7"/>
  <c r="I50" i="7" s="1"/>
  <c r="K50" i="7" s="1"/>
  <c r="E5" i="7"/>
  <c r="E50" i="7" s="1"/>
  <c r="J50" i="7" s="1"/>
  <c r="F4" i="7"/>
  <c r="B4" i="7"/>
  <c r="E63" i="7" l="1"/>
  <c r="J59" i="7"/>
  <c r="E58" i="7"/>
  <c r="I59" i="7"/>
  <c r="K59" i="7" s="1"/>
  <c r="J18" i="7"/>
  <c r="J54" i="7" s="1"/>
  <c r="J22" i="7"/>
  <c r="J55" i="7" s="1"/>
  <c r="E57" i="7"/>
  <c r="J57" i="7" s="1"/>
  <c r="I58" i="7"/>
  <c r="K58" i="7" s="1"/>
  <c r="K18" i="7"/>
  <c r="K54" i="7" s="1"/>
  <c r="K22" i="7"/>
  <c r="K55" i="7" s="1"/>
  <c r="E56" i="7"/>
  <c r="I57" i="7"/>
  <c r="K57" i="7" s="1"/>
  <c r="E54" i="7"/>
  <c r="E61" i="7" s="1"/>
  <c r="K5" i="7"/>
  <c r="E62" i="7" l="1"/>
  <c r="J58" i="7"/>
  <c r="W51" i="5" l="1"/>
  <c r="C75" i="5"/>
  <c r="C74" i="5"/>
  <c r="C73" i="5"/>
  <c r="C72" i="5"/>
  <c r="B66" i="5"/>
  <c r="B72" i="5" s="1"/>
  <c r="X55" i="5"/>
  <c r="Y55" i="5" s="1"/>
  <c r="Z55" i="5" s="1"/>
  <c r="AA55" i="5" s="1"/>
  <c r="AB55" i="5" s="1"/>
  <c r="AC55" i="5" s="1"/>
  <c r="AD55" i="5" s="1"/>
  <c r="AE55" i="5" s="1"/>
  <c r="AF55" i="5" s="1"/>
  <c r="N55" i="5"/>
  <c r="O55" i="5" s="1"/>
  <c r="P55" i="5" s="1"/>
  <c r="Q55" i="5" s="1"/>
  <c r="R55" i="5" s="1"/>
  <c r="S55" i="5" s="1"/>
  <c r="T55" i="5" s="1"/>
  <c r="U55" i="5" s="1"/>
  <c r="V55" i="5" s="1"/>
  <c r="K55" i="5"/>
  <c r="L55" i="5" s="1"/>
  <c r="J55" i="5"/>
  <c r="I55" i="5"/>
  <c r="G55" i="5"/>
  <c r="F55" i="5"/>
  <c r="E55" i="5"/>
  <c r="D55" i="5"/>
  <c r="X54" i="5"/>
  <c r="Y54" i="5" s="1"/>
  <c r="Z54" i="5" s="1"/>
  <c r="AA54" i="5" s="1"/>
  <c r="AB54" i="5" s="1"/>
  <c r="AC54" i="5" s="1"/>
  <c r="AD54" i="5" s="1"/>
  <c r="AE54" i="5" s="1"/>
  <c r="AF54" i="5" s="1"/>
  <c r="N54" i="5"/>
  <c r="O54" i="5" s="1"/>
  <c r="P54" i="5" s="1"/>
  <c r="Q54" i="5" s="1"/>
  <c r="R54" i="5" s="1"/>
  <c r="S54" i="5" s="1"/>
  <c r="T54" i="5" s="1"/>
  <c r="U54" i="5" s="1"/>
  <c r="V54" i="5" s="1"/>
  <c r="L54" i="5"/>
  <c r="K54" i="5"/>
  <c r="J54" i="5"/>
  <c r="I54" i="5"/>
  <c r="E54" i="5"/>
  <c r="F54" i="5" s="1"/>
  <c r="G54" i="5" s="1"/>
  <c r="D54" i="5"/>
  <c r="X53" i="5"/>
  <c r="Y53" i="5" s="1"/>
  <c r="Z53" i="5" s="1"/>
  <c r="AA53" i="5" s="1"/>
  <c r="AB53" i="5" s="1"/>
  <c r="AC53" i="5" s="1"/>
  <c r="AD53" i="5" s="1"/>
  <c r="AE53" i="5" s="1"/>
  <c r="AF53" i="5" s="1"/>
  <c r="N53" i="5"/>
  <c r="O53" i="5" s="1"/>
  <c r="I53" i="5"/>
  <c r="J53" i="5" s="1"/>
  <c r="K53" i="5" s="1"/>
  <c r="L53" i="5" s="1"/>
  <c r="E53" i="5"/>
  <c r="D53" i="5"/>
  <c r="X52" i="5"/>
  <c r="Y52" i="5" s="1"/>
  <c r="Z52" i="5" s="1"/>
  <c r="N52" i="5"/>
  <c r="N51" i="5" s="1"/>
  <c r="J52" i="5"/>
  <c r="I52" i="5"/>
  <c r="F52" i="5"/>
  <c r="E52" i="5"/>
  <c r="D52" i="5"/>
  <c r="AG51" i="5"/>
  <c r="M51" i="5"/>
  <c r="H51" i="5"/>
  <c r="D51" i="5"/>
  <c r="C51" i="5"/>
  <c r="B51" i="5"/>
  <c r="AE45" i="5"/>
  <c r="X44" i="5"/>
  <c r="Y44" i="5" s="1"/>
  <c r="Z44" i="5" s="1"/>
  <c r="AA44" i="5" s="1"/>
  <c r="AB44" i="5" s="1"/>
  <c r="AC44" i="5" s="1"/>
  <c r="AD44" i="5" s="1"/>
  <c r="AE44" i="5" s="1"/>
  <c r="AF44" i="5" s="1"/>
  <c r="N44" i="5"/>
  <c r="O44" i="5" s="1"/>
  <c r="P44" i="5" s="1"/>
  <c r="Q44" i="5" s="1"/>
  <c r="R44" i="5" s="1"/>
  <c r="S44" i="5" s="1"/>
  <c r="T44" i="5" s="1"/>
  <c r="U44" i="5" s="1"/>
  <c r="V44" i="5" s="1"/>
  <c r="I44" i="5"/>
  <c r="J44" i="5" s="1"/>
  <c r="K44" i="5" s="1"/>
  <c r="L44" i="5" s="1"/>
  <c r="AG39" i="5"/>
  <c r="AG38" i="5"/>
  <c r="AG37" i="5"/>
  <c r="AG36" i="5"/>
  <c r="AG35" i="5"/>
  <c r="AG33" i="5"/>
  <c r="W33" i="5"/>
  <c r="M33" i="5"/>
  <c r="H33" i="5"/>
  <c r="B33" i="5"/>
  <c r="X32" i="5"/>
  <c r="Y32" i="5" s="1"/>
  <c r="Z32" i="5" s="1"/>
  <c r="AA32" i="5" s="1"/>
  <c r="AB32" i="5" s="1"/>
  <c r="AC32" i="5" s="1"/>
  <c r="AD32" i="5" s="1"/>
  <c r="AE32" i="5" s="1"/>
  <c r="AF32" i="5" s="1"/>
  <c r="N32" i="5"/>
  <c r="O32" i="5" s="1"/>
  <c r="P32" i="5" s="1"/>
  <c r="Q32" i="5" s="1"/>
  <c r="R32" i="5" s="1"/>
  <c r="S32" i="5" s="1"/>
  <c r="T32" i="5" s="1"/>
  <c r="U32" i="5" s="1"/>
  <c r="V32" i="5" s="1"/>
  <c r="I32" i="5"/>
  <c r="J32" i="5" s="1"/>
  <c r="K32" i="5" s="1"/>
  <c r="L32" i="5" s="1"/>
  <c r="D32" i="5"/>
  <c r="E32" i="5" s="1"/>
  <c r="F32" i="5" s="1"/>
  <c r="G32" i="5" s="1"/>
  <c r="X31" i="5"/>
  <c r="Y31" i="5" s="1"/>
  <c r="Z31" i="5" s="1"/>
  <c r="AA31" i="5" s="1"/>
  <c r="AB31" i="5" s="1"/>
  <c r="AC31" i="5" s="1"/>
  <c r="AD31" i="5" s="1"/>
  <c r="AE31" i="5" s="1"/>
  <c r="AF31" i="5" s="1"/>
  <c r="O31" i="5"/>
  <c r="P31" i="5" s="1"/>
  <c r="Q31" i="5" s="1"/>
  <c r="R31" i="5" s="1"/>
  <c r="S31" i="5" s="1"/>
  <c r="T31" i="5" s="1"/>
  <c r="U31" i="5" s="1"/>
  <c r="V31" i="5" s="1"/>
  <c r="N31" i="5"/>
  <c r="I31" i="5"/>
  <c r="J31" i="5" s="1"/>
  <c r="K31" i="5" s="1"/>
  <c r="L31" i="5" s="1"/>
  <c r="D31" i="5"/>
  <c r="E31" i="5" s="1"/>
  <c r="F31" i="5" s="1"/>
  <c r="G31" i="5" s="1"/>
  <c r="X30" i="5"/>
  <c r="Y30" i="5" s="1"/>
  <c r="Z30" i="5" s="1"/>
  <c r="AA30" i="5" s="1"/>
  <c r="AB30" i="5" s="1"/>
  <c r="AC30" i="5" s="1"/>
  <c r="AD30" i="5" s="1"/>
  <c r="AE30" i="5" s="1"/>
  <c r="AF30" i="5" s="1"/>
  <c r="N30" i="5"/>
  <c r="O30" i="5" s="1"/>
  <c r="P30" i="5" s="1"/>
  <c r="Q30" i="5" s="1"/>
  <c r="R30" i="5" s="1"/>
  <c r="S30" i="5" s="1"/>
  <c r="T30" i="5" s="1"/>
  <c r="U30" i="5" s="1"/>
  <c r="V30" i="5" s="1"/>
  <c r="I30" i="5"/>
  <c r="J30" i="5" s="1"/>
  <c r="K30" i="5" s="1"/>
  <c r="L30" i="5" s="1"/>
  <c r="D30" i="5"/>
  <c r="E30" i="5" s="1"/>
  <c r="F30" i="5" s="1"/>
  <c r="G30" i="5" s="1"/>
  <c r="X29" i="5"/>
  <c r="Y29" i="5" s="1"/>
  <c r="Z29" i="5" s="1"/>
  <c r="AA29" i="5" s="1"/>
  <c r="AB29" i="5" s="1"/>
  <c r="AC29" i="5" s="1"/>
  <c r="AD29" i="5" s="1"/>
  <c r="AE29" i="5" s="1"/>
  <c r="AF29" i="5" s="1"/>
  <c r="N29" i="5"/>
  <c r="O29" i="5" s="1"/>
  <c r="P29" i="5" s="1"/>
  <c r="Q29" i="5" s="1"/>
  <c r="R29" i="5" s="1"/>
  <c r="S29" i="5" s="1"/>
  <c r="T29" i="5" s="1"/>
  <c r="U29" i="5" s="1"/>
  <c r="V29" i="5" s="1"/>
  <c r="I29" i="5"/>
  <c r="J29" i="5" s="1"/>
  <c r="K29" i="5" s="1"/>
  <c r="L29" i="5" s="1"/>
  <c r="D29" i="5"/>
  <c r="E29" i="5" s="1"/>
  <c r="F29" i="5" s="1"/>
  <c r="G29" i="5" s="1"/>
  <c r="X28" i="5"/>
  <c r="N28" i="5"/>
  <c r="I28" i="5"/>
  <c r="C28" i="5"/>
  <c r="C33" i="5" s="1"/>
  <c r="B24" i="5"/>
  <c r="B23" i="5"/>
  <c r="B22" i="5"/>
  <c r="B20" i="5"/>
  <c r="B18" i="5"/>
  <c r="M9" i="5"/>
  <c r="AI8" i="5"/>
  <c r="AG7" i="5"/>
  <c r="M7" i="5"/>
  <c r="M6" i="5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D4" i="5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B75" i="5" l="1"/>
  <c r="B73" i="5"/>
  <c r="B71" i="5"/>
  <c r="B74" i="5"/>
  <c r="I51" i="5"/>
  <c r="O52" i="5"/>
  <c r="P52" i="5" s="1"/>
  <c r="N33" i="5"/>
  <c r="O28" i="5"/>
  <c r="O33" i="5" s="1"/>
  <c r="E51" i="5"/>
  <c r="F53" i="5"/>
  <c r="G53" i="5" s="1"/>
  <c r="I33" i="5"/>
  <c r="F51" i="5"/>
  <c r="G52" i="5"/>
  <c r="G51" i="5" s="1"/>
  <c r="Y28" i="5"/>
  <c r="X33" i="5"/>
  <c r="O51" i="5"/>
  <c r="P53" i="5"/>
  <c r="Q53" i="5" s="1"/>
  <c r="R53" i="5" s="1"/>
  <c r="S53" i="5" s="1"/>
  <c r="T53" i="5" s="1"/>
  <c r="U53" i="5" s="1"/>
  <c r="V53" i="5" s="1"/>
  <c r="B27" i="5"/>
  <c r="B43" i="5"/>
  <c r="D28" i="5"/>
  <c r="X51" i="5"/>
  <c r="J51" i="5"/>
  <c r="K52" i="5"/>
  <c r="Y51" i="5"/>
  <c r="Z51" i="5"/>
  <c r="AA52" i="5"/>
  <c r="P51" i="5"/>
  <c r="B70" i="5"/>
  <c r="J28" i="5"/>
  <c r="Q52" i="5"/>
  <c r="P28" i="5" l="1"/>
  <c r="Q28" i="5" s="1"/>
  <c r="D33" i="5"/>
  <c r="E28" i="5"/>
  <c r="C43" i="5"/>
  <c r="B42" i="5"/>
  <c r="AA51" i="5"/>
  <c r="AB52" i="5"/>
  <c r="B37" i="5"/>
  <c r="B35" i="5"/>
  <c r="B39" i="5"/>
  <c r="C27" i="5"/>
  <c r="B38" i="5"/>
  <c r="Q51" i="5"/>
  <c r="R52" i="5"/>
  <c r="L52" i="5"/>
  <c r="K51" i="5"/>
  <c r="J33" i="5"/>
  <c r="K28" i="5"/>
  <c r="Z28" i="5"/>
  <c r="Y33" i="5"/>
  <c r="P33" i="5" l="1"/>
  <c r="AA28" i="5"/>
  <c r="Z33" i="5"/>
  <c r="R28" i="5"/>
  <c r="Q33" i="5"/>
  <c r="C35" i="5"/>
  <c r="AE43" i="5" s="1"/>
  <c r="C37" i="5"/>
  <c r="AE46" i="5" s="1"/>
  <c r="D27" i="5"/>
  <c r="C39" i="5"/>
  <c r="AE48" i="5" s="1"/>
  <c r="C38" i="5"/>
  <c r="AE47" i="5" s="1"/>
  <c r="F28" i="5"/>
  <c r="E33" i="5"/>
  <c r="AC52" i="5"/>
  <c r="AB51" i="5"/>
  <c r="K33" i="5"/>
  <c r="L28" i="5"/>
  <c r="L33" i="5" s="1"/>
  <c r="D43" i="5"/>
  <c r="C42" i="5"/>
  <c r="L51" i="5"/>
  <c r="K50" i="5"/>
  <c r="R51" i="5"/>
  <c r="S52" i="5"/>
  <c r="E43" i="5" l="1"/>
  <c r="D42" i="5"/>
  <c r="D35" i="5"/>
  <c r="AF43" i="5" s="1"/>
  <c r="D37" i="5"/>
  <c r="E27" i="5"/>
  <c r="D39" i="5"/>
  <c r="D38" i="5"/>
  <c r="D36" i="5"/>
  <c r="T52" i="5"/>
  <c r="S51" i="5"/>
  <c r="AE42" i="5"/>
  <c r="AD52" i="5"/>
  <c r="AC51" i="5"/>
  <c r="S28" i="5"/>
  <c r="R33" i="5"/>
  <c r="C20" i="5"/>
  <c r="G28" i="5"/>
  <c r="G33" i="5" s="1"/>
  <c r="F33" i="5"/>
  <c r="AA33" i="5"/>
  <c r="AB28" i="5"/>
  <c r="AH64" i="2"/>
  <c r="AG64" i="2"/>
  <c r="AF64" i="2"/>
  <c r="Y64" i="2"/>
  <c r="R64" i="2"/>
  <c r="Q64" i="2"/>
  <c r="P64" i="2"/>
  <c r="E64" i="2"/>
  <c r="I64" i="2" s="1"/>
  <c r="D64" i="2"/>
  <c r="H64" i="2" s="1"/>
  <c r="AL11" i="2"/>
  <c r="AK11" i="2"/>
  <c r="AJ11" i="2"/>
  <c r="AD11" i="2"/>
  <c r="AH11" i="2" s="1"/>
  <c r="AC11" i="2"/>
  <c r="AG11" i="2" s="1"/>
  <c r="AB11" i="2"/>
  <c r="AF11" i="2" s="1"/>
  <c r="V11" i="2"/>
  <c r="U11" i="2"/>
  <c r="T11" i="2"/>
  <c r="R11" i="2"/>
  <c r="Q11" i="2"/>
  <c r="N11" i="2"/>
  <c r="M11" i="2"/>
  <c r="L11" i="2"/>
  <c r="P11" i="2" s="1"/>
  <c r="I11" i="2"/>
  <c r="H11" i="2"/>
  <c r="F11" i="2"/>
  <c r="Z11" i="2" s="1"/>
  <c r="E11" i="2"/>
  <c r="Y11" i="2" s="1"/>
  <c r="D11" i="2"/>
  <c r="X11" i="2" s="1"/>
  <c r="AF48" i="5" l="1"/>
  <c r="D24" i="5"/>
  <c r="D21" i="5"/>
  <c r="AF45" i="5"/>
  <c r="E39" i="5"/>
  <c r="AG48" i="5" s="1"/>
  <c r="E38" i="5"/>
  <c r="AG47" i="5" s="1"/>
  <c r="E37" i="5"/>
  <c r="AG46" i="5" s="1"/>
  <c r="E36" i="5"/>
  <c r="AG45" i="5" s="1"/>
  <c r="F27" i="5"/>
  <c r="E35" i="5"/>
  <c r="AG43" i="5" s="1"/>
  <c r="D22" i="5"/>
  <c r="AF46" i="5"/>
  <c r="AF47" i="5"/>
  <c r="D23" i="5"/>
  <c r="AF42" i="5"/>
  <c r="AB33" i="5"/>
  <c r="AC28" i="5"/>
  <c r="C71" i="5"/>
  <c r="C70" i="5" s="1"/>
  <c r="D20" i="5"/>
  <c r="C12" i="5"/>
  <c r="C13" i="5" s="1"/>
  <c r="S33" i="5"/>
  <c r="T28" i="5"/>
  <c r="AE52" i="5"/>
  <c r="AD51" i="5"/>
  <c r="U52" i="5"/>
  <c r="T51" i="5"/>
  <c r="F43" i="5"/>
  <c r="E42" i="5"/>
  <c r="X64" i="2"/>
  <c r="F64" i="2"/>
  <c r="J11" i="2"/>
  <c r="AF52" i="5" l="1"/>
  <c r="AF51" i="5" s="1"/>
  <c r="AE51" i="5"/>
  <c r="E20" i="5"/>
  <c r="D71" i="5"/>
  <c r="D12" i="5"/>
  <c r="D17" i="5" s="1"/>
  <c r="T33" i="5"/>
  <c r="U28" i="5"/>
  <c r="D73" i="5"/>
  <c r="E22" i="5"/>
  <c r="D72" i="5"/>
  <c r="E21" i="5"/>
  <c r="C14" i="5"/>
  <c r="C15" i="5"/>
  <c r="C16" i="5"/>
  <c r="C17" i="5"/>
  <c r="V52" i="5"/>
  <c r="V51" i="5" s="1"/>
  <c r="U51" i="5"/>
  <c r="AG42" i="5"/>
  <c r="D75" i="5"/>
  <c r="E24" i="5"/>
  <c r="D74" i="5"/>
  <c r="E23" i="5"/>
  <c r="G43" i="5"/>
  <c r="F42" i="5"/>
  <c r="AC33" i="5"/>
  <c r="AD28" i="5"/>
  <c r="F39" i="5"/>
  <c r="F38" i="5"/>
  <c r="F37" i="5"/>
  <c r="F36" i="5"/>
  <c r="G27" i="5"/>
  <c r="F35" i="5"/>
  <c r="J64" i="2"/>
  <c r="Z64" i="2"/>
  <c r="C18" i="5" l="1"/>
  <c r="AG50" i="5"/>
  <c r="W50" i="5"/>
  <c r="D14" i="5"/>
  <c r="D13" i="5"/>
  <c r="D16" i="5"/>
  <c r="E72" i="5"/>
  <c r="F21" i="5"/>
  <c r="G39" i="5"/>
  <c r="G38" i="5"/>
  <c r="G37" i="5"/>
  <c r="G36" i="5"/>
  <c r="G35" i="5"/>
  <c r="H27" i="5"/>
  <c r="G42" i="5"/>
  <c r="H43" i="5"/>
  <c r="D70" i="5"/>
  <c r="D15" i="5"/>
  <c r="E71" i="5"/>
  <c r="E12" i="5"/>
  <c r="E15" i="5" s="1"/>
  <c r="F20" i="5"/>
  <c r="E74" i="5"/>
  <c r="F23" i="5"/>
  <c r="E73" i="5"/>
  <c r="F22" i="5"/>
  <c r="AD33" i="5"/>
  <c r="AE28" i="5"/>
  <c r="F24" i="5"/>
  <c r="E75" i="5"/>
  <c r="U33" i="5"/>
  <c r="V28" i="5"/>
  <c r="V33" i="5" s="1"/>
  <c r="H24" i="1"/>
  <c r="H23" i="1"/>
  <c r="E70" i="5" l="1"/>
  <c r="D18" i="5"/>
  <c r="E13" i="5"/>
  <c r="E17" i="5"/>
  <c r="E16" i="5"/>
  <c r="G23" i="5"/>
  <c r="F74" i="5"/>
  <c r="H42" i="5"/>
  <c r="I43" i="5"/>
  <c r="E14" i="5"/>
  <c r="F73" i="5"/>
  <c r="G22" i="5"/>
  <c r="F72" i="5"/>
  <c r="G21" i="5"/>
  <c r="G24" i="5"/>
  <c r="F75" i="5"/>
  <c r="AE33" i="5"/>
  <c r="AF28" i="5"/>
  <c r="AF33" i="5" s="1"/>
  <c r="G20" i="5"/>
  <c r="F71" i="5"/>
  <c r="F12" i="5"/>
  <c r="F17" i="5" s="1"/>
  <c r="H39" i="5"/>
  <c r="H37" i="5"/>
  <c r="H35" i="5"/>
  <c r="H38" i="5"/>
  <c r="H36" i="5"/>
  <c r="I27" i="5"/>
  <c r="H21" i="1"/>
  <c r="H22" i="1"/>
  <c r="H25" i="1"/>
  <c r="H26" i="1"/>
  <c r="H27" i="1"/>
  <c r="H28" i="1"/>
  <c r="H29" i="1"/>
  <c r="H30" i="1"/>
  <c r="H31" i="1"/>
  <c r="H35" i="1"/>
  <c r="H33" i="1"/>
  <c r="H34" i="1"/>
  <c r="H32" i="1"/>
  <c r="H12" i="1"/>
  <c r="H13" i="1"/>
  <c r="H14" i="1"/>
  <c r="H15" i="1"/>
  <c r="H16" i="1"/>
  <c r="H11" i="1"/>
  <c r="H4" i="1"/>
  <c r="H3" i="1"/>
  <c r="H10" i="1"/>
  <c r="H6" i="1"/>
  <c r="H7" i="1"/>
  <c r="H8" i="1"/>
  <c r="H9" i="1"/>
  <c r="F13" i="5" l="1"/>
  <c r="F70" i="5"/>
  <c r="J43" i="5"/>
  <c r="I42" i="5"/>
  <c r="F14" i="5"/>
  <c r="G75" i="5"/>
  <c r="H24" i="5"/>
  <c r="G72" i="5"/>
  <c r="H21" i="5"/>
  <c r="F16" i="5"/>
  <c r="I35" i="5"/>
  <c r="I39" i="5"/>
  <c r="I38" i="5"/>
  <c r="I36" i="5"/>
  <c r="J27" i="5"/>
  <c r="I37" i="5"/>
  <c r="G74" i="5"/>
  <c r="H23" i="5"/>
  <c r="G71" i="5"/>
  <c r="G12" i="5"/>
  <c r="G14" i="5" s="1"/>
  <c r="G13" i="5"/>
  <c r="H20" i="5"/>
  <c r="G73" i="5"/>
  <c r="H22" i="5"/>
  <c r="F15" i="5"/>
  <c r="E18" i="5"/>
  <c r="H5" i="1"/>
  <c r="F18" i="5" l="1"/>
  <c r="G70" i="5"/>
  <c r="H71" i="5"/>
  <c r="I20" i="5"/>
  <c r="H12" i="5"/>
  <c r="H15" i="5" s="1"/>
  <c r="J39" i="5"/>
  <c r="J38" i="5"/>
  <c r="J36" i="5"/>
  <c r="J37" i="5"/>
  <c r="J35" i="5"/>
  <c r="K27" i="5"/>
  <c r="H75" i="5"/>
  <c r="I24" i="5"/>
  <c r="H17" i="5"/>
  <c r="H73" i="5"/>
  <c r="I22" i="5"/>
  <c r="H72" i="5"/>
  <c r="I21" i="5"/>
  <c r="G17" i="5"/>
  <c r="G15" i="5"/>
  <c r="G16" i="5"/>
  <c r="H74" i="5"/>
  <c r="I23" i="5"/>
  <c r="K43" i="5"/>
  <c r="J42" i="5"/>
  <c r="G18" i="5" l="1"/>
  <c r="H13" i="5"/>
  <c r="H14" i="5"/>
  <c r="I75" i="5"/>
  <c r="J24" i="5"/>
  <c r="I71" i="5"/>
  <c r="J20" i="5"/>
  <c r="I12" i="5"/>
  <c r="I16" i="5" s="1"/>
  <c r="I74" i="5"/>
  <c r="J23" i="5"/>
  <c r="H70" i="5"/>
  <c r="L43" i="5"/>
  <c r="K42" i="5"/>
  <c r="K35" i="5"/>
  <c r="K39" i="5"/>
  <c r="K38" i="5"/>
  <c r="K36" i="5"/>
  <c r="L27" i="5"/>
  <c r="K37" i="5"/>
  <c r="H16" i="5"/>
  <c r="H18" i="5" s="1"/>
  <c r="I73" i="5"/>
  <c r="J22" i="5"/>
  <c r="I72" i="5"/>
  <c r="J21" i="5"/>
  <c r="I15" i="5" l="1"/>
  <c r="I13" i="5"/>
  <c r="I70" i="5"/>
  <c r="J74" i="5"/>
  <c r="K23" i="5"/>
  <c r="I17" i="5"/>
  <c r="J71" i="5"/>
  <c r="J12" i="5"/>
  <c r="J13" i="5" s="1"/>
  <c r="K20" i="5"/>
  <c r="J75" i="5"/>
  <c r="K24" i="5"/>
  <c r="I14" i="5"/>
  <c r="J73" i="5"/>
  <c r="K22" i="5"/>
  <c r="J15" i="5"/>
  <c r="M43" i="5"/>
  <c r="L42" i="5"/>
  <c r="L35" i="5"/>
  <c r="L39" i="5"/>
  <c r="L38" i="5"/>
  <c r="L36" i="5"/>
  <c r="M27" i="5"/>
  <c r="L37" i="5"/>
  <c r="J72" i="5"/>
  <c r="K21" i="5"/>
  <c r="J16" i="5" l="1"/>
  <c r="J14" i="5"/>
  <c r="J70" i="5"/>
  <c r="I18" i="5"/>
  <c r="J17" i="5"/>
  <c r="J18" i="5"/>
  <c r="K73" i="5"/>
  <c r="L22" i="5"/>
  <c r="M39" i="5"/>
  <c r="M38" i="5"/>
  <c r="M37" i="5"/>
  <c r="M36" i="5"/>
  <c r="N27" i="5"/>
  <c r="M35" i="5"/>
  <c r="K74" i="5"/>
  <c r="L23" i="5"/>
  <c r="K71" i="5"/>
  <c r="L20" i="5"/>
  <c r="K12" i="5"/>
  <c r="K16" i="5" s="1"/>
  <c r="K75" i="5"/>
  <c r="L24" i="5"/>
  <c r="K72" i="5"/>
  <c r="L21" i="5"/>
  <c r="N43" i="5"/>
  <c r="M42" i="5"/>
  <c r="K70" i="5" l="1"/>
  <c r="N39" i="5"/>
  <c r="N38" i="5"/>
  <c r="N37" i="5"/>
  <c r="N36" i="5"/>
  <c r="O27" i="5"/>
  <c r="N35" i="5"/>
  <c r="L72" i="5"/>
  <c r="M21" i="5"/>
  <c r="K13" i="5"/>
  <c r="K14" i="5"/>
  <c r="K17" i="5"/>
  <c r="K15" i="5"/>
  <c r="O43" i="5"/>
  <c r="N42" i="5"/>
  <c r="L75" i="5"/>
  <c r="M24" i="5"/>
  <c r="L73" i="5"/>
  <c r="M22" i="5"/>
  <c r="L71" i="5"/>
  <c r="M20" i="5"/>
  <c r="L12" i="5"/>
  <c r="L13" i="5" s="1"/>
  <c r="L74" i="5"/>
  <c r="M23" i="5"/>
  <c r="M71" i="5" l="1"/>
  <c r="N20" i="5"/>
  <c r="M12" i="5"/>
  <c r="M15" i="5" s="1"/>
  <c r="L15" i="5"/>
  <c r="O42" i="5"/>
  <c r="P43" i="5"/>
  <c r="L16" i="5"/>
  <c r="O39" i="5"/>
  <c r="O38" i="5"/>
  <c r="O37" i="5"/>
  <c r="O36" i="5"/>
  <c r="O35" i="5"/>
  <c r="P27" i="5"/>
  <c r="L14" i="5"/>
  <c r="M73" i="5"/>
  <c r="N22" i="5"/>
  <c r="K18" i="5"/>
  <c r="L70" i="5"/>
  <c r="N23" i="5"/>
  <c r="M74" i="5"/>
  <c r="M16" i="5"/>
  <c r="L17" i="5"/>
  <c r="N24" i="5"/>
  <c r="M75" i="5"/>
  <c r="M72" i="5"/>
  <c r="N21" i="5"/>
  <c r="M14" i="5"/>
  <c r="L18" i="5" l="1"/>
  <c r="P42" i="5"/>
  <c r="Q43" i="5"/>
  <c r="N74" i="5"/>
  <c r="O23" i="5"/>
  <c r="P39" i="5"/>
  <c r="P38" i="5"/>
  <c r="P37" i="5"/>
  <c r="P35" i="5"/>
  <c r="Q27" i="5"/>
  <c r="P36" i="5"/>
  <c r="N71" i="5"/>
  <c r="O20" i="5"/>
  <c r="N12" i="5"/>
  <c r="N15" i="5" s="1"/>
  <c r="M17" i="5"/>
  <c r="N73" i="5"/>
  <c r="O22" i="5"/>
  <c r="M13" i="5"/>
  <c r="O21" i="5"/>
  <c r="N72" i="5"/>
  <c r="M70" i="5"/>
  <c r="O24" i="5"/>
  <c r="N75" i="5"/>
  <c r="N13" i="5" l="1"/>
  <c r="N14" i="5"/>
  <c r="O71" i="5"/>
  <c r="P20" i="5"/>
  <c r="O12" i="5"/>
  <c r="O15" i="5" s="1"/>
  <c r="O13" i="5"/>
  <c r="O72" i="5"/>
  <c r="P21" i="5"/>
  <c r="N16" i="5"/>
  <c r="O74" i="5"/>
  <c r="P23" i="5"/>
  <c r="N17" i="5"/>
  <c r="N70" i="5"/>
  <c r="Q37" i="5"/>
  <c r="Q35" i="5"/>
  <c r="R27" i="5"/>
  <c r="Q36" i="5"/>
  <c r="Q38" i="5"/>
  <c r="Q39" i="5"/>
  <c r="R43" i="5"/>
  <c r="Q42" i="5"/>
  <c r="M18" i="5"/>
  <c r="O73" i="5"/>
  <c r="P22" i="5"/>
  <c r="O75" i="5"/>
  <c r="P24" i="5"/>
  <c r="O14" i="5" l="1"/>
  <c r="O16" i="5"/>
  <c r="N18" i="5"/>
  <c r="O17" i="5"/>
  <c r="S43" i="5"/>
  <c r="R42" i="5"/>
  <c r="P72" i="5"/>
  <c r="Q21" i="5"/>
  <c r="P75" i="5"/>
  <c r="Q24" i="5"/>
  <c r="P74" i="5"/>
  <c r="Q23" i="5"/>
  <c r="P73" i="5"/>
  <c r="Q22" i="5"/>
  <c r="P71" i="5"/>
  <c r="Q20" i="5"/>
  <c r="P12" i="5"/>
  <c r="P17" i="5" s="1"/>
  <c r="R37" i="5"/>
  <c r="R35" i="5"/>
  <c r="R36" i="5"/>
  <c r="R39" i="5"/>
  <c r="R38" i="5"/>
  <c r="S27" i="5"/>
  <c r="O70" i="5"/>
  <c r="P15" i="5" l="1"/>
  <c r="P13" i="5"/>
  <c r="P16" i="5"/>
  <c r="O18" i="5"/>
  <c r="P70" i="5"/>
  <c r="P14" i="5"/>
  <c r="Q73" i="5"/>
  <c r="R22" i="5"/>
  <c r="Q74" i="5"/>
  <c r="R23" i="5"/>
  <c r="Q75" i="5"/>
  <c r="R24" i="5"/>
  <c r="Q72" i="5"/>
  <c r="R21" i="5"/>
  <c r="P18" i="5"/>
  <c r="S35" i="5"/>
  <c r="S37" i="5"/>
  <c r="T27" i="5"/>
  <c r="S36" i="5"/>
  <c r="S39" i="5"/>
  <c r="S38" i="5"/>
  <c r="Q71" i="5"/>
  <c r="R20" i="5"/>
  <c r="Q12" i="5"/>
  <c r="Q14" i="5" s="1"/>
  <c r="T43" i="5"/>
  <c r="S42" i="5"/>
  <c r="Q13" i="5" l="1"/>
  <c r="Q17" i="5"/>
  <c r="T35" i="5"/>
  <c r="U27" i="5"/>
  <c r="T36" i="5"/>
  <c r="T39" i="5"/>
  <c r="T38" i="5"/>
  <c r="T37" i="5"/>
  <c r="U43" i="5"/>
  <c r="T42" i="5"/>
  <c r="R71" i="5"/>
  <c r="S20" i="5"/>
  <c r="R12" i="5"/>
  <c r="R14" i="5" s="1"/>
  <c r="Q70" i="5"/>
  <c r="Q15" i="5"/>
  <c r="R74" i="5"/>
  <c r="S23" i="5"/>
  <c r="R73" i="5"/>
  <c r="S22" i="5"/>
  <c r="Q16" i="5"/>
  <c r="R72" i="5"/>
  <c r="S21" i="5"/>
  <c r="R75" i="5"/>
  <c r="S24" i="5"/>
  <c r="Q18" i="5" l="1"/>
  <c r="R15" i="5"/>
  <c r="S75" i="5"/>
  <c r="T24" i="5"/>
  <c r="S72" i="5"/>
  <c r="T21" i="5"/>
  <c r="S71" i="5"/>
  <c r="T20" i="5"/>
  <c r="S12" i="5"/>
  <c r="S13" i="5" s="1"/>
  <c r="U39" i="5"/>
  <c r="U38" i="5"/>
  <c r="U37" i="5"/>
  <c r="U36" i="5"/>
  <c r="U35" i="5"/>
  <c r="V27" i="5"/>
  <c r="V43" i="5"/>
  <c r="U42" i="5"/>
  <c r="S73" i="5"/>
  <c r="T22" i="5"/>
  <c r="R17" i="5"/>
  <c r="R13" i="5"/>
  <c r="R16" i="5"/>
  <c r="S74" i="5"/>
  <c r="T23" i="5"/>
  <c r="R70" i="5"/>
  <c r="S70" i="5" l="1"/>
  <c r="S14" i="5"/>
  <c r="S15" i="5"/>
  <c r="S16" i="5"/>
  <c r="V39" i="5"/>
  <c r="V38" i="5"/>
  <c r="V37" i="5"/>
  <c r="V36" i="5"/>
  <c r="W27" i="5"/>
  <c r="V35" i="5"/>
  <c r="T72" i="5"/>
  <c r="U21" i="5"/>
  <c r="S17" i="5"/>
  <c r="R18" i="5"/>
  <c r="T73" i="5"/>
  <c r="U22" i="5"/>
  <c r="T75" i="5"/>
  <c r="U24" i="5"/>
  <c r="T71" i="5"/>
  <c r="U20" i="5"/>
  <c r="T12" i="5"/>
  <c r="T14" i="5" s="1"/>
  <c r="T74" i="5"/>
  <c r="U23" i="5"/>
  <c r="W43" i="5"/>
  <c r="V42" i="5"/>
  <c r="T15" i="5" l="1"/>
  <c r="S18" i="5"/>
  <c r="T13" i="5"/>
  <c r="V23" i="5"/>
  <c r="U74" i="5"/>
  <c r="U71" i="5"/>
  <c r="V20" i="5"/>
  <c r="U12" i="5"/>
  <c r="U14" i="5" s="1"/>
  <c r="W39" i="5"/>
  <c r="W38" i="5"/>
  <c r="W37" i="5"/>
  <c r="W36" i="5"/>
  <c r="W35" i="5"/>
  <c r="X27" i="5"/>
  <c r="W42" i="5"/>
  <c r="X43" i="5"/>
  <c r="T17" i="5"/>
  <c r="U72" i="5"/>
  <c r="V21" i="5"/>
  <c r="U73" i="5"/>
  <c r="V22" i="5"/>
  <c r="T70" i="5"/>
  <c r="T16" i="5"/>
  <c r="V24" i="5"/>
  <c r="U75" i="5"/>
  <c r="T18" i="5" l="1"/>
  <c r="U15" i="5"/>
  <c r="U13" i="5"/>
  <c r="V73" i="5"/>
  <c r="W22" i="5"/>
  <c r="U70" i="5"/>
  <c r="X42" i="5"/>
  <c r="Y43" i="5"/>
  <c r="X39" i="5"/>
  <c r="X38" i="5"/>
  <c r="X36" i="5"/>
  <c r="X35" i="5"/>
  <c r="X37" i="5"/>
  <c r="Y27" i="5"/>
  <c r="U17" i="5"/>
  <c r="U16" i="5"/>
  <c r="V72" i="5"/>
  <c r="W21" i="5"/>
  <c r="W20" i="5"/>
  <c r="V71" i="5"/>
  <c r="V12" i="5"/>
  <c r="V17" i="5" s="1"/>
  <c r="W24" i="5"/>
  <c r="V75" i="5"/>
  <c r="V74" i="5"/>
  <c r="W23" i="5"/>
  <c r="V70" i="5" l="1"/>
  <c r="V13" i="5"/>
  <c r="W75" i="5"/>
  <c r="X24" i="5"/>
  <c r="Z43" i="5"/>
  <c r="Y42" i="5"/>
  <c r="V16" i="5"/>
  <c r="V15" i="5"/>
  <c r="W71" i="5"/>
  <c r="W12" i="5"/>
  <c r="W13" i="5" s="1"/>
  <c r="X20" i="5"/>
  <c r="V14" i="5"/>
  <c r="Y36" i="5"/>
  <c r="Y39" i="5"/>
  <c r="Y38" i="5"/>
  <c r="Y35" i="5"/>
  <c r="Y37" i="5"/>
  <c r="Z27" i="5"/>
  <c r="W74" i="5"/>
  <c r="X23" i="5"/>
  <c r="U18" i="5"/>
  <c r="W73" i="5"/>
  <c r="X22" i="5"/>
  <c r="W72" i="5"/>
  <c r="X21" i="5"/>
  <c r="V18" i="5" l="1"/>
  <c r="W70" i="5"/>
  <c r="W15" i="5"/>
  <c r="W16" i="5"/>
  <c r="W14" i="5"/>
  <c r="W17" i="5"/>
  <c r="X72" i="5"/>
  <c r="Y21" i="5"/>
  <c r="X74" i="5"/>
  <c r="Y23" i="5"/>
  <c r="AA43" i="5"/>
  <c r="Z42" i="5"/>
  <c r="X71" i="5"/>
  <c r="Y20" i="5"/>
  <c r="X12" i="5"/>
  <c r="X14" i="5" s="1"/>
  <c r="Z36" i="5"/>
  <c r="Z39" i="5"/>
  <c r="Z38" i="5"/>
  <c r="Z35" i="5"/>
  <c r="Z37" i="5"/>
  <c r="AA27" i="5"/>
  <c r="X75" i="5"/>
  <c r="Y24" i="5"/>
  <c r="X73" i="5"/>
  <c r="Y22" i="5"/>
  <c r="X13" i="5" l="1"/>
  <c r="X17" i="5"/>
  <c r="X16" i="5"/>
  <c r="W18" i="5"/>
  <c r="X15" i="5"/>
  <c r="Y75" i="5"/>
  <c r="Z24" i="5"/>
  <c r="Y73" i="5"/>
  <c r="Z22" i="5"/>
  <c r="AB43" i="5"/>
  <c r="AA42" i="5"/>
  <c r="Y71" i="5"/>
  <c r="Z20" i="5"/>
  <c r="Y12" i="5"/>
  <c r="Y16" i="5" s="1"/>
  <c r="Y72" i="5"/>
  <c r="Z21" i="5"/>
  <c r="Y74" i="5"/>
  <c r="Z23" i="5"/>
  <c r="AA35" i="5"/>
  <c r="AA39" i="5"/>
  <c r="AA38" i="5"/>
  <c r="AA37" i="5"/>
  <c r="AB27" i="5"/>
  <c r="AA36" i="5"/>
  <c r="X70" i="5"/>
  <c r="Y14" i="5" l="1"/>
  <c r="X18" i="5"/>
  <c r="Y15" i="5"/>
  <c r="Y13" i="5"/>
  <c r="Z72" i="5"/>
  <c r="AA21" i="5"/>
  <c r="AC43" i="5"/>
  <c r="AB42" i="5"/>
  <c r="Z73" i="5"/>
  <c r="AA22" i="5"/>
  <c r="Z75" i="5"/>
  <c r="AA24" i="5"/>
  <c r="AB35" i="5"/>
  <c r="AB39" i="5"/>
  <c r="AB38" i="5"/>
  <c r="AB37" i="5"/>
  <c r="AC27" i="5"/>
  <c r="AB36" i="5"/>
  <c r="Z71" i="5"/>
  <c r="Z12" i="5"/>
  <c r="Z17" i="5" s="1"/>
  <c r="AA20" i="5"/>
  <c r="Y17" i="5"/>
  <c r="Y18" i="5" s="1"/>
  <c r="Z74" i="5"/>
  <c r="AA23" i="5"/>
  <c r="Y70" i="5"/>
  <c r="Z15" i="5" l="1"/>
  <c r="AA71" i="5"/>
  <c r="AB20" i="5"/>
  <c r="AA12" i="5"/>
  <c r="AA13" i="5" s="1"/>
  <c r="Z13" i="5"/>
  <c r="AC39" i="5"/>
  <c r="AC38" i="5"/>
  <c r="AC37" i="5"/>
  <c r="AC36" i="5"/>
  <c r="AD27" i="5"/>
  <c r="AC35" i="5"/>
  <c r="AA75" i="5"/>
  <c r="AB24" i="5"/>
  <c r="Z14" i="5"/>
  <c r="AD43" i="5"/>
  <c r="AD42" i="5" s="1"/>
  <c r="AC42" i="5"/>
  <c r="Z16" i="5"/>
  <c r="AA72" i="5"/>
  <c r="AB21" i="5"/>
  <c r="AA73" i="5"/>
  <c r="AB22" i="5"/>
  <c r="AA15" i="5"/>
  <c r="Z70" i="5"/>
  <c r="AA74" i="5"/>
  <c r="AB23" i="5"/>
  <c r="AA14" i="5" l="1"/>
  <c r="AA17" i="5"/>
  <c r="AA16" i="5"/>
  <c r="Z18" i="5"/>
  <c r="AB75" i="5"/>
  <c r="AC24" i="5"/>
  <c r="AB74" i="5"/>
  <c r="AC23" i="5"/>
  <c r="AB71" i="5"/>
  <c r="AC20" i="5"/>
  <c r="AB12" i="5"/>
  <c r="AB14" i="5" s="1"/>
  <c r="AB73" i="5"/>
  <c r="AC22" i="5"/>
  <c r="AB15" i="5"/>
  <c r="AB72" i="5"/>
  <c r="AC21" i="5"/>
  <c r="AD39" i="5"/>
  <c r="AD38" i="5"/>
  <c r="AD37" i="5"/>
  <c r="AD36" i="5"/>
  <c r="AE27" i="5"/>
  <c r="AD35" i="5"/>
  <c r="AA70" i="5"/>
  <c r="AB17" i="5" l="1"/>
  <c r="AA18" i="5"/>
  <c r="AB13" i="5"/>
  <c r="AB70" i="5"/>
  <c r="AB16" i="5"/>
  <c r="AC75" i="5"/>
  <c r="AD24" i="5"/>
  <c r="AD23" i="5"/>
  <c r="AC74" i="5"/>
  <c r="AE39" i="5"/>
  <c r="AE38" i="5"/>
  <c r="AE37" i="5"/>
  <c r="AE36" i="5"/>
  <c r="AE35" i="5"/>
  <c r="AF27" i="5"/>
  <c r="AC73" i="5"/>
  <c r="AD22" i="5"/>
  <c r="AC72" i="5"/>
  <c r="AD21" i="5"/>
  <c r="AC71" i="5"/>
  <c r="AD20" i="5"/>
  <c r="AC12" i="5"/>
  <c r="AC17" i="5" s="1"/>
  <c r="AB18" i="5" l="1"/>
  <c r="AC13" i="5"/>
  <c r="AC16" i="5"/>
  <c r="AC15" i="5"/>
  <c r="AC70" i="5"/>
  <c r="AC14" i="5"/>
  <c r="AF39" i="5"/>
  <c r="AF38" i="5"/>
  <c r="AF37" i="5"/>
  <c r="AF36" i="5"/>
  <c r="AF35" i="5"/>
  <c r="AD75" i="5"/>
  <c r="AE24" i="5"/>
  <c r="AD73" i="5"/>
  <c r="AE22" i="5"/>
  <c r="AE20" i="5"/>
  <c r="AD71" i="5"/>
  <c r="AD12" i="5"/>
  <c r="AD14" i="5" s="1"/>
  <c r="AD74" i="5"/>
  <c r="AE23" i="5"/>
  <c r="AD72" i="5"/>
  <c r="AE21" i="5"/>
  <c r="AD16" i="5" l="1"/>
  <c r="AD17" i="5"/>
  <c r="AD13" i="5"/>
  <c r="AD15" i="5"/>
  <c r="AC18" i="5"/>
  <c r="AE74" i="5"/>
  <c r="AF23" i="5"/>
  <c r="AD70" i="5"/>
  <c r="AE73" i="5"/>
  <c r="AF22" i="5"/>
  <c r="AE75" i="5"/>
  <c r="AF24" i="5"/>
  <c r="AE72" i="5"/>
  <c r="AF21" i="5"/>
  <c r="AE71" i="5"/>
  <c r="AE12" i="5"/>
  <c r="AE14" i="5" s="1"/>
  <c r="AF20" i="5"/>
  <c r="AD18" i="5" l="1"/>
  <c r="AE70" i="5"/>
  <c r="AF72" i="5"/>
  <c r="AG21" i="5"/>
  <c r="AF74" i="5"/>
  <c r="AG23" i="5"/>
  <c r="AF73" i="5"/>
  <c r="AG22" i="5"/>
  <c r="AE15" i="5"/>
  <c r="AE16" i="5"/>
  <c r="AE13" i="5"/>
  <c r="AE17" i="5"/>
  <c r="AF75" i="5"/>
  <c r="AG24" i="5"/>
  <c r="AF71" i="5"/>
  <c r="AG20" i="5"/>
  <c r="AF12" i="5"/>
  <c r="AF14" i="5" s="1"/>
  <c r="AF17" i="5" l="1"/>
  <c r="AF15" i="5"/>
  <c r="AF16" i="5"/>
  <c r="AF13" i="5"/>
  <c r="AG75" i="5"/>
  <c r="AE18" i="5"/>
  <c r="AG71" i="5"/>
  <c r="AG12" i="5"/>
  <c r="AG14" i="5" s="1"/>
  <c r="AG72" i="5"/>
  <c r="AG74" i="5"/>
  <c r="AF70" i="5"/>
  <c r="AG73" i="5"/>
  <c r="AF18" i="5" l="1"/>
  <c r="AG17" i="5"/>
  <c r="AG13" i="5"/>
  <c r="AG15" i="5"/>
  <c r="AG70" i="5"/>
  <c r="AG16" i="5"/>
  <c r="AG18" i="5" l="1"/>
</calcChain>
</file>

<file path=xl/sharedStrings.xml><?xml version="1.0" encoding="utf-8"?>
<sst xmlns="http://schemas.openxmlformats.org/spreadsheetml/2006/main" count="590" uniqueCount="271">
  <si>
    <t>Intitulé_1</t>
  </si>
  <si>
    <t>Intitulé_2</t>
  </si>
  <si>
    <t>Unité</t>
  </si>
  <si>
    <t>Consommation d'énergie pour le chauffage des serres</t>
  </si>
  <si>
    <t>Serre chaude en maraîchage</t>
  </si>
  <si>
    <t>en kWh/m2</t>
  </si>
  <si>
    <t>Serre chaude en horticulture</t>
  </si>
  <si>
    <t xml:space="preserve">Consommation de fioul / ha </t>
  </si>
  <si>
    <t>Cultures annuelles</t>
  </si>
  <si>
    <t>EQF/ha</t>
  </si>
  <si>
    <t>Prairies temporaires</t>
  </si>
  <si>
    <t>Prairies naturelles productives</t>
  </si>
  <si>
    <t>Prairies naturelles peu productives, parcours</t>
  </si>
  <si>
    <t>Cultures permanentes</t>
  </si>
  <si>
    <t>Solution azotée</t>
  </si>
  <si>
    <t>Urée + perlurée</t>
  </si>
  <si>
    <t>Autres engrais azotés</t>
  </si>
  <si>
    <t xml:space="preserve">Coefficients d'énergie (electricité) pour les bâtiments d'élevage </t>
  </si>
  <si>
    <t>Vaches laitières</t>
  </si>
  <si>
    <t>kWh/vache</t>
  </si>
  <si>
    <t>Vaches allaitantes</t>
  </si>
  <si>
    <t xml:space="preserve">Coefficients d'énergie pour les bâtiments d'élevage </t>
  </si>
  <si>
    <t xml:space="preserve">Truie </t>
  </si>
  <si>
    <t>kWh/truie</t>
  </si>
  <si>
    <t>Porc engraissement</t>
  </si>
  <si>
    <t>kWh/porc produit</t>
  </si>
  <si>
    <t>Volailles pondeuses</t>
  </si>
  <si>
    <t>kWh/place (pondeuse)</t>
  </si>
  <si>
    <t>Volailles chair</t>
  </si>
  <si>
    <t>kWh/kg vif</t>
  </si>
  <si>
    <t xml:space="preserve">Veaux de boucherie </t>
  </si>
  <si>
    <t>kWh/veau</t>
  </si>
  <si>
    <t>Part de gaz dans les combustibles</t>
  </si>
  <si>
    <t>Part de biomasse dans les combustibles</t>
  </si>
  <si>
    <t>Consommation d'énergie sans amont</t>
  </si>
  <si>
    <t>Electricité - Mix France</t>
  </si>
  <si>
    <t>en GJ/kWh</t>
  </si>
  <si>
    <t>Consommation d'énergie avec amont</t>
  </si>
  <si>
    <t>Emissions de CO2 avec amont</t>
  </si>
  <si>
    <t>en t CO2/kWh</t>
  </si>
  <si>
    <t>Carburant (fioul, essence, gazole)</t>
  </si>
  <si>
    <t>en t CO2/litre</t>
  </si>
  <si>
    <t>Emissions de CO2 sans amont</t>
  </si>
  <si>
    <t>Gaz naturel</t>
  </si>
  <si>
    <t>en t CO2/m3</t>
  </si>
  <si>
    <t>Butane, propane, charbon</t>
  </si>
  <si>
    <t>en t CO2/kg</t>
  </si>
  <si>
    <t>Matériel</t>
  </si>
  <si>
    <t>en t CO2/GJ</t>
  </si>
  <si>
    <t>Emissions de N2O avec amont</t>
  </si>
  <si>
    <t>en t NO2/t N</t>
  </si>
  <si>
    <t>Ammonitrate 33,5</t>
  </si>
  <si>
    <t>en t CO2/t N</t>
  </si>
  <si>
    <t>GJ/tN</t>
  </si>
  <si>
    <t>valeur actuelle</t>
  </si>
  <si>
    <t>Tendanciel/AME</t>
  </si>
  <si>
    <t>AMS</t>
  </si>
  <si>
    <t>AME</t>
  </si>
  <si>
    <t>commentaire AMS</t>
  </si>
  <si>
    <t>reprise du gain unitaire d'EDF pour le passage aux PAC</t>
  </si>
  <si>
    <t>reprise du gain de conso unitaire du parc roulant PL AMS</t>
  </si>
  <si>
    <t>cohérent avec le gain unitaire d'EDF pour bâtiments d'élevage</t>
  </si>
  <si>
    <t>reprise hyp run1</t>
  </si>
  <si>
    <t>rajouter PAC?!</t>
  </si>
  <si>
    <t xml:space="preserve">reprise hyp run1AMS, AME : constant / 2019 </t>
  </si>
  <si>
    <t>Pourquoi AMS plus fort ?</t>
  </si>
  <si>
    <t>Rappel run1</t>
  </si>
  <si>
    <t>Filières de valorisation (%)</t>
  </si>
  <si>
    <t>Observé</t>
  </si>
  <si>
    <t>AME 2023 - run1</t>
  </si>
  <si>
    <t>AMS 2023 - run1</t>
  </si>
  <si>
    <t>2019/2020</t>
  </si>
  <si>
    <t>Combustion</t>
  </si>
  <si>
    <t>Biocarburant</t>
  </si>
  <si>
    <t>Méthanisation</t>
  </si>
  <si>
    <t>Pyrogéification</t>
  </si>
  <si>
    <t>Biomasse forestière</t>
  </si>
  <si>
    <t>Ressource primaire et connexes</t>
  </si>
  <si>
    <t>Déchets de bois en fin de vie</t>
  </si>
  <si>
    <t>Dérivés de l'industrie du bois (boues de papeterie, liqueur noire, etc.)</t>
  </si>
  <si>
    <t>Biomasse agricole</t>
  </si>
  <si>
    <t>Bois hors forêt (haies et agroforesterie)</t>
  </si>
  <si>
    <t>Résidus de culture</t>
  </si>
  <si>
    <t>Herbe et cultures fourragères</t>
  </si>
  <si>
    <t>Cultures dédiées</t>
  </si>
  <si>
    <t>Cultures intermédiaires</t>
  </si>
  <si>
    <t>Cultures lignocellulosiques</t>
  </si>
  <si>
    <t>Effluents d'élevage</t>
  </si>
  <si>
    <t>Déchets</t>
  </si>
  <si>
    <t>STEP</t>
  </si>
  <si>
    <t>Décharges</t>
  </si>
  <si>
    <t>Déchets alimentaires</t>
  </si>
  <si>
    <t>Autres déchets industriels</t>
  </si>
  <si>
    <t>Algues</t>
  </si>
  <si>
    <t>RUN 1 - post agrégation (V3)</t>
  </si>
  <si>
    <t xml:space="preserve">Bioénergies </t>
  </si>
  <si>
    <t>Bois - ressources primaires et produits connexes de scierie</t>
  </si>
  <si>
    <t>TWh</t>
  </si>
  <si>
    <t>Bois énergie issu de la forêt</t>
  </si>
  <si>
    <t>Produits connexes de scierie énergie</t>
  </si>
  <si>
    <t>Bois énergie issu de l'agroforesterie et des arbres hors forêt</t>
  </si>
  <si>
    <t>Autres biomasses solides - bois de rebut, déchets et produits dérivés du bois, résidus de culture</t>
  </si>
  <si>
    <t>Déchets de bois (2nde transformation, bois de rebut, emballages, déconstruction)</t>
  </si>
  <si>
    <t>Autres produits dérivés du bois boues de papeterie, liqueurs noires…)</t>
  </si>
  <si>
    <t>Résidus de culture usage combustion</t>
  </si>
  <si>
    <t>Résidus de culture biocarburants 2G</t>
  </si>
  <si>
    <t>Biogaz</t>
  </si>
  <si>
    <t>Déjections d'élevage méthanisées</t>
  </si>
  <si>
    <t>Résidus de culture méthanisés</t>
  </si>
  <si>
    <t>Cultures intermédiaires méthanisées</t>
  </si>
  <si>
    <t>Herbe et cultures fourragères méthanisées</t>
  </si>
  <si>
    <t>Autres biogaz</t>
  </si>
  <si>
    <t>Biogaz d'algues</t>
  </si>
  <si>
    <t>Biomasse liquide</t>
  </si>
  <si>
    <t>Ethanol</t>
  </si>
  <si>
    <t>Biodiesel</t>
  </si>
  <si>
    <t>Biocarburants 2nde generation</t>
  </si>
  <si>
    <t>Ethanol d'algues</t>
  </si>
  <si>
    <t>Biogazole d'algues</t>
  </si>
  <si>
    <t>TOTAL</t>
  </si>
  <si>
    <t>Total hors forêt et produits dérivés du bois</t>
  </si>
  <si>
    <t>Proposition run2</t>
  </si>
  <si>
    <t>run 1</t>
  </si>
  <si>
    <t>run2</t>
  </si>
  <si>
    <t>commentaire</t>
  </si>
  <si>
    <t>CGAER</t>
  </si>
  <si>
    <t>parc roulant</t>
  </si>
  <si>
    <t>dont PPR</t>
  </si>
  <si>
    <t>tracteurs actifs</t>
  </si>
  <si>
    <t>dont GNV</t>
  </si>
  <si>
    <t>ans de durée de vie moyenne</t>
  </si>
  <si>
    <t>dont H2</t>
  </si>
  <si>
    <t>ventes annuelles</t>
  </si>
  <si>
    <t>dont élec</t>
  </si>
  <si>
    <t>Parc roulant</t>
  </si>
  <si>
    <t>Total</t>
  </si>
  <si>
    <t>dont B100 (biocarb)</t>
  </si>
  <si>
    <t>Ventes</t>
  </si>
  <si>
    <t>Flux sortant</t>
  </si>
  <si>
    <t>dont PPR - fin de vie</t>
  </si>
  <si>
    <t>dont PPR - PAC</t>
  </si>
  <si>
    <t>Retrofit</t>
  </si>
  <si>
    <t>Flux cumulé</t>
  </si>
  <si>
    <t>PPR -&gt; B100</t>
  </si>
  <si>
    <t>PPR -&gt; GNV</t>
  </si>
  <si>
    <t>PPR -&gt; H2</t>
  </si>
  <si>
    <t>PPR -&gt; élec</t>
  </si>
  <si>
    <t>total</t>
  </si>
  <si>
    <t>Gains EE</t>
  </si>
  <si>
    <t>PPR</t>
  </si>
  <si>
    <t>B100</t>
  </si>
  <si>
    <t>GNV</t>
  </si>
  <si>
    <t>H2</t>
  </si>
  <si>
    <t>Elec</t>
  </si>
  <si>
    <t>kWh/100km</t>
  </si>
  <si>
    <t>km/an/engin</t>
  </si>
  <si>
    <t>Conso énergie</t>
  </si>
  <si>
    <t>TWh Ef</t>
  </si>
  <si>
    <t>Pas de mesures de rétrofit en AME</t>
  </si>
  <si>
    <t>Pas de PAC en AME</t>
  </si>
  <si>
    <t>index 2019 - reprise AME hypothèses poids lourds</t>
  </si>
  <si>
    <t>Les tracteurs classiques restent largement majoritaires</t>
  </si>
  <si>
    <t>Faible développement du GNV / B100</t>
  </si>
  <si>
    <t>Pas d'élec /H2</t>
  </si>
  <si>
    <t>On calibre pour atteindre un parc roulant de 600k en 2050 (hyp CGAER liée à la disparition d'exploitation, robotisation, sans la mutualisation)</t>
  </si>
  <si>
    <t>méthanisation</t>
  </si>
  <si>
    <t>2050 run 1 AME</t>
  </si>
  <si>
    <t>2050 run 2 AME</t>
  </si>
  <si>
    <t>Proportion de déjections méthanisées</t>
  </si>
  <si>
    <t>%</t>
  </si>
  <si>
    <t>Proportion de résidus de culture méthanisés</t>
  </si>
  <si>
    <t>Proportion de CIVE méthanisées</t>
  </si>
  <si>
    <t>Proportion d'herbe méthanisée</t>
  </si>
  <si>
    <t>Proportion de fourrages méthanisés</t>
  </si>
  <si>
    <t>Autres usages</t>
  </si>
  <si>
    <t>Résidus de culture utilisés en combustion</t>
  </si>
  <si>
    <t>ktMS</t>
  </si>
  <si>
    <t>Résidus de culture utilisés en carburant 2G</t>
  </si>
  <si>
    <t>Résidus de culture utilisés comme matériau</t>
  </si>
  <si>
    <t>Résidus de culture utilisés en litière</t>
  </si>
  <si>
    <t>Résidus de culture laissés au champ</t>
  </si>
  <si>
    <t>Cultures intermédiaires laissées au champ</t>
  </si>
  <si>
    <t>OK</t>
  </si>
  <si>
    <t>Biocarburants</t>
  </si>
  <si>
    <t>à déterminer : pas d'augmentation de la combustion des résidus</t>
  </si>
  <si>
    <t>~85 / 86%</t>
  </si>
  <si>
    <t>AME 2030 run 1</t>
  </si>
  <si>
    <t>AME 2050 run 1</t>
  </si>
  <si>
    <t>AME 2030 run 2</t>
  </si>
  <si>
    <t>AME 2050 run 2</t>
  </si>
  <si>
    <t>Biomasses solides agricoles</t>
  </si>
  <si>
    <t>Cultures lignocellulosiques (TCR, TTCR)</t>
  </si>
  <si>
    <r>
      <t xml:space="preserve">1/ il est nécessaire de vérifier </t>
    </r>
    <r>
      <rPr>
        <b/>
        <u/>
        <sz val="11"/>
        <color theme="1"/>
        <rFont val="Calibri"/>
        <family val="2"/>
        <scheme val="minor"/>
      </rPr>
      <t>l'ensemble des chiffres pour 2020 en lien avec la production de biogaz</t>
    </r>
    <r>
      <rPr>
        <b/>
        <sz val="11"/>
        <color theme="1"/>
        <rFont val="Calibri"/>
        <family val="2"/>
        <scheme val="minor"/>
      </rPr>
      <t xml:space="preserve"> (voir en pj les commentaires de l'AAMF notamment) ; il faut pouvoir objectiver le point de départ avec l'injection, l'électricité et la chaleur</t>
    </r>
  </si>
  <si>
    <r>
      <t xml:space="preserve">2/ Il est nécessaire </t>
    </r>
    <r>
      <rPr>
        <b/>
        <u/>
        <sz val="11"/>
        <color theme="1"/>
        <rFont val="Calibri"/>
        <family val="2"/>
        <scheme val="minor"/>
      </rPr>
      <t>de revoir à la hausse les chiffres AME 2030</t>
    </r>
    <r>
      <rPr>
        <b/>
        <sz val="11"/>
        <color theme="1"/>
        <rFont val="Calibri"/>
        <family val="2"/>
        <scheme val="minor"/>
      </rPr>
      <t>, pour éviter d'être en dessous des projections de production de biogaz pour 2023… (7 à 12 TWh)</t>
    </r>
  </si>
  <si>
    <t>3/ Baisse des résidus de culture méthanisés (division par deux, voir pourcentages) ; augmentation des CI méthanisés (même pourcentages mais augmentation des surfaces totales avec calade 2020) ; baisse des pourcentages herbes et cultures méthanisées</t>
  </si>
  <si>
    <t>Maintien des productions de biocarburant à environ 37 TWh
avec une baisse légère des carburants 1G et augmentation résidus 2G</t>
  </si>
  <si>
    <t>Total biomasse agricole</t>
  </si>
  <si>
    <t>2030 : nouveaux adultes = 15% population</t>
  </si>
  <si>
    <t>2050 : nouveaux adultes = 45% population</t>
  </si>
  <si>
    <t>Années</t>
  </si>
  <si>
    <t>différence 2030/2020 AME</t>
  </si>
  <si>
    <t>différence 2050/2020 AME</t>
  </si>
  <si>
    <t>Régimes</t>
  </si>
  <si>
    <t>régime observé INCA 3</t>
  </si>
  <si>
    <t>régime optimisé INCA 3 - flexitarien</t>
  </si>
  <si>
    <t>régime optimisé INCA 3 - pescetarien</t>
  </si>
  <si>
    <t>Assiette globale 2030 AME</t>
  </si>
  <si>
    <t>Assiette globale 2050 AME</t>
  </si>
  <si>
    <t>% de chaque régime</t>
  </si>
  <si>
    <t>Vegetables</t>
  </si>
  <si>
    <t>Fresh fruits</t>
  </si>
  <si>
    <t>Dried fruits</t>
  </si>
  <si>
    <t>Processed fruits: compotes and cooked fruits</t>
  </si>
  <si>
    <t>Nuts, seeds and oleaginous fruits</t>
  </si>
  <si>
    <t>Bread and refined bakery products</t>
  </si>
  <si>
    <t>Complete and semi-complete bread and bakery products</t>
  </si>
  <si>
    <t>Other refined starches</t>
  </si>
  <si>
    <t>Other complete and semi-complete starches</t>
  </si>
  <si>
    <t>Starch-based products, sweet/fat processed</t>
  </si>
  <si>
    <t>Salt/fat processed starch products</t>
  </si>
  <si>
    <t>Potatoes and other tubers</t>
  </si>
  <si>
    <t>Legumes</t>
  </si>
  <si>
    <t>Poultry</t>
  </si>
  <si>
    <t>Beef and calves</t>
  </si>
  <si>
    <t>Pork and other meats</t>
  </si>
  <si>
    <t>Offal</t>
  </si>
  <si>
    <t>Processed meat</t>
  </si>
  <si>
    <t>Oily fish</t>
  </si>
  <si>
    <t>Other fish</t>
  </si>
  <si>
    <t>Mollusks and crustaceans</t>
  </si>
  <si>
    <t>Eggs and egg-based dishes</t>
  </si>
  <si>
    <t>Milk</t>
  </si>
  <si>
    <t>Fresh natural dairy products</t>
  </si>
  <si>
    <t>Fresh sweetened dairy products</t>
  </si>
  <si>
    <t>Sweet milky desserts</t>
  </si>
  <si>
    <t>Cheeses</t>
  </si>
  <si>
    <t>Animal fats and assimilated fats</t>
  </si>
  <si>
    <t>Butters and light butters</t>
  </si>
  <si>
    <t>Vegetable fats rich in alpha-linoleic acid</t>
  </si>
  <si>
    <t>Vegetable fats low in alpha-linoleic acid</t>
  </si>
  <si>
    <t>Sauces and fresh creams</t>
  </si>
  <si>
    <t>Sweet products or Sweet and fatty products</t>
  </si>
  <si>
    <t>Drinking waters</t>
  </si>
  <si>
    <t>Sweetened soda type drinks</t>
  </si>
  <si>
    <t>Fruit juices</t>
  </si>
  <si>
    <t>Hot drinks</t>
  </si>
  <si>
    <t>Salt</t>
  </si>
  <si>
    <t>Condiments</t>
  </si>
  <si>
    <t>Aromatic herbs, Spices except salt</t>
  </si>
  <si>
    <t>Soups</t>
  </si>
  <si>
    <t>Bouillons</t>
  </si>
  <si>
    <t>Substitutes of animal products</t>
  </si>
  <si>
    <t>Other foods</t>
  </si>
  <si>
    <t>Alcoholic drinks</t>
  </si>
  <si>
    <t>détail viandes</t>
  </si>
  <si>
    <t>volaille</t>
  </si>
  <si>
    <t>charcuterie</t>
  </si>
  <si>
    <t>bœuf</t>
  </si>
  <si>
    <t>autres viandes</t>
  </si>
  <si>
    <t>total viandes hors volailles</t>
  </si>
  <si>
    <t>total viandes</t>
  </si>
  <si>
    <t>volaille /semaine</t>
  </si>
  <si>
    <t>hors volailles / semaine</t>
  </si>
  <si>
    <t>total viandes / semaine</t>
  </si>
  <si>
    <t>changements</t>
  </si>
  <si>
    <t>7,5% de 85%</t>
  </si>
  <si>
    <t>22,5% de 15%</t>
  </si>
  <si>
    <t>Observed diet</t>
  </si>
  <si>
    <t>Modeled diet with gradual meat reduction (%)</t>
  </si>
  <si>
    <t>Diet composition, g/d</t>
  </si>
  <si>
    <t>viandes hors volailles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</si>
</sst>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0.0"/>
    <numFmt numFmtId="165" formatCode="0.0000"/>
    <numFmt numFmtId="166" formatCode="0.0.E+00"/>
    <numFmt numFmtId="167" formatCode="0.0E+00;\_x0000_"/>
    <numFmt numFmtId="168" formatCode="0.E+00"/>
    <numFmt numFmtId="169" formatCode="#,##0.0"/>
    <numFmt numFmtId="170" formatCode="_-* #,##0.0000_-;\-* #,##0.0000_-;_-* &quot;-&quot;??_-;_-@_-"/>
    <numFmt numFmtId="171" formatCode="_-* #,##0_-;\-* #,##0_-;_-* &quot;-&quot;??_-;_-@_-"/>
    <numFmt numFmtId="173" formatCode="_-* #,##0.0\ _€_-;\-* #,##0.0\ _€_-;_-* &quot;-&quot;?\ _€_-;_-@_-"/>
    <numFmt numFmtId="174" formatCode="0.0%"/>
  </numFmts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16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1" tint="0.14999847407452621"/>
      <name val="Calibri"/>
      <family val="2"/>
    </font>
    <font>
      <sz val="11"/>
      <color rgb="FF262626"/>
      <name val="Calibri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1"/>
    </font>
    <font>
      <sz val="11"/>
      <name val="Arial"/>
      <family val="2"/>
    </font>
    <font>
      <sz val="12"/>
      <color rgb="FFFF0000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79998168889431442"/>
        <bgColor indexed="65"/>
      </patternFill>
    </fill>
    <fill>
      <patternFill patternType="solid">
        <fgColor rgb="FFC5D9F1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4D79B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0" fillId="0" borderId="0"/>
    <xf numFmtId="3" fontId="13" fillId="9" borderId="0">
      <alignment horizontal="center" vertical="center"/>
      <protection locked="0"/>
    </xf>
    <xf numFmtId="0" fontId="17" fillId="0" borderId="0" applyNumberFormat="0" applyBorder="0" applyProtection="0"/>
    <xf numFmtId="0" fontId="1" fillId="0" borderId="0"/>
    <xf numFmtId="3" fontId="13" fillId="15" borderId="0">
      <alignment horizontal="left" vertical="center"/>
      <protection locked="0"/>
    </xf>
    <xf numFmtId="0" fontId="18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/>
    </xf>
    <xf numFmtId="9" fontId="4" fillId="4" borderId="1" xfId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 wrapText="1"/>
    </xf>
    <xf numFmtId="166" fontId="4" fillId="4" borderId="1" xfId="0" applyNumberFormat="1" applyFont="1" applyFill="1" applyBorder="1" applyAlignment="1">
      <alignment horizontal="center" vertical="center" wrapText="1"/>
    </xf>
    <xf numFmtId="167" fontId="4" fillId="4" borderId="1" xfId="0" applyNumberFormat="1" applyFont="1" applyFill="1" applyBorder="1" applyAlignment="1">
      <alignment horizontal="center" vertical="center" wrapText="1"/>
    </xf>
    <xf numFmtId="168" fontId="4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shrinkToFit="1"/>
    </xf>
    <xf numFmtId="4" fontId="4" fillId="4" borderId="1" xfId="0" applyNumberFormat="1" applyFont="1" applyFill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168" fontId="5" fillId="4" borderId="1" xfId="0" applyNumberFormat="1" applyFont="1" applyFill="1" applyBorder="1" applyAlignment="1">
      <alignment horizontal="center" vertical="center" wrapText="1"/>
    </xf>
    <xf numFmtId="4" fontId="5" fillId="4" borderId="1" xfId="0" applyNumberFormat="1" applyFont="1" applyFill="1" applyBorder="1" applyAlignment="1">
      <alignment horizontal="center" vertical="center" wrapText="1"/>
    </xf>
    <xf numFmtId="3" fontId="5" fillId="4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169" fontId="0" fillId="0" borderId="0" xfId="0" applyNumberFormat="1"/>
    <xf numFmtId="166" fontId="0" fillId="0" borderId="0" xfId="0" applyNumberFormat="1"/>
    <xf numFmtId="167" fontId="0" fillId="0" borderId="0" xfId="0" applyNumberFormat="1"/>
    <xf numFmtId="170" fontId="4" fillId="4" borderId="1" xfId="2" applyNumberFormat="1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1" xfId="0" applyBorder="1"/>
    <xf numFmtId="0" fontId="7" fillId="0" borderId="1" xfId="0" applyFont="1" applyBorder="1"/>
    <xf numFmtId="9" fontId="0" fillId="0" borderId="1" xfId="0" applyNumberFormat="1" applyBorder="1"/>
    <xf numFmtId="0" fontId="0" fillId="0" borderId="0" xfId="0" applyFill="1" applyBorder="1"/>
    <xf numFmtId="9" fontId="0" fillId="0" borderId="1" xfId="1" applyNumberFormat="1" applyFont="1" applyBorder="1"/>
    <xf numFmtId="0" fontId="0" fillId="0" borderId="3" xfId="0" applyFill="1" applyBorder="1"/>
    <xf numFmtId="0" fontId="7" fillId="0" borderId="1" xfId="0" applyFont="1" applyBorder="1" applyAlignment="1">
      <alignment horizontal="center"/>
    </xf>
    <xf numFmtId="9" fontId="0" fillId="0" borderId="0" xfId="0" applyNumberFormat="1"/>
    <xf numFmtId="0" fontId="8" fillId="7" borderId="0" xfId="3" applyFont="1" applyFill="1" applyAlignment="1">
      <alignment horizontal="left" vertical="center"/>
    </xf>
    <xf numFmtId="0" fontId="9" fillId="7" borderId="0" xfId="3" applyFont="1" applyFill="1" applyAlignment="1">
      <alignment horizontal="left" vertical="center"/>
    </xf>
    <xf numFmtId="3" fontId="6" fillId="2" borderId="0" xfId="0" applyNumberFormat="1" applyFont="1" applyFill="1" applyAlignment="1">
      <alignment horizontal="center" vertical="center"/>
    </xf>
    <xf numFmtId="0" fontId="11" fillId="2" borderId="0" xfId="4" applyFont="1" applyFill="1"/>
    <xf numFmtId="1" fontId="9" fillId="2" borderId="0" xfId="3" applyNumberFormat="1" applyFont="1" applyFill="1" applyAlignment="1">
      <alignment vertical="center"/>
    </xf>
    <xf numFmtId="1" fontId="9" fillId="2" borderId="0" xfId="3" applyNumberFormat="1" applyFont="1" applyFill="1" applyAlignment="1">
      <alignment horizontal="left" vertical="center"/>
    </xf>
    <xf numFmtId="1" fontId="12" fillId="8" borderId="0" xfId="3" applyNumberFormat="1" applyFont="1" applyFill="1" applyAlignment="1">
      <alignment horizontal="center" vertical="center"/>
    </xf>
    <xf numFmtId="3" fontId="14" fillId="10" borderId="0" xfId="5" applyFont="1" applyFill="1">
      <alignment horizontal="center" vertical="center"/>
      <protection locked="0"/>
    </xf>
    <xf numFmtId="0" fontId="9" fillId="11" borderId="0" xfId="4" applyFont="1" applyFill="1"/>
    <xf numFmtId="1" fontId="9" fillId="11" borderId="0" xfId="3" applyNumberFormat="1" applyFont="1" applyFill="1" applyAlignment="1">
      <alignment vertical="center"/>
    </xf>
    <xf numFmtId="1" fontId="9" fillId="11" borderId="0" xfId="3" applyNumberFormat="1" applyFont="1" applyFill="1" applyAlignment="1">
      <alignment horizontal="left" vertical="center"/>
    </xf>
    <xf numFmtId="1" fontId="12" fillId="12" borderId="0" xfId="3" applyNumberFormat="1" applyFont="1" applyFill="1" applyAlignment="1">
      <alignment horizontal="center" vertical="center"/>
    </xf>
    <xf numFmtId="9" fontId="0" fillId="0" borderId="0" xfId="1" applyFont="1"/>
    <xf numFmtId="171" fontId="0" fillId="0" borderId="0" xfId="2" applyNumberFormat="1" applyFont="1"/>
    <xf numFmtId="171" fontId="0" fillId="0" borderId="0" xfId="0" applyNumberFormat="1"/>
    <xf numFmtId="0" fontId="15" fillId="0" borderId="0" xfId="0" applyFont="1"/>
    <xf numFmtId="9" fontId="15" fillId="0" borderId="0" xfId="1" applyFont="1"/>
    <xf numFmtId="0" fontId="0" fillId="14" borderId="0" xfId="0" applyFill="1"/>
    <xf numFmtId="9" fontId="0" fillId="14" borderId="0" xfId="0" applyNumberFormat="1" applyFill="1"/>
    <xf numFmtId="9" fontId="16" fillId="0" borderId="0" xfId="0" applyNumberFormat="1" applyFont="1"/>
    <xf numFmtId="171" fontId="0" fillId="14" borderId="0" xfId="2" applyNumberFormat="1" applyFont="1" applyFill="1"/>
    <xf numFmtId="2" fontId="0" fillId="0" borderId="0" xfId="0" applyNumberFormat="1"/>
    <xf numFmtId="173" fontId="0" fillId="0" borderId="0" xfId="0" applyNumberFormat="1"/>
    <xf numFmtId="0" fontId="7" fillId="0" borderId="0" xfId="7" applyFont="1"/>
    <xf numFmtId="0" fontId="1" fillId="0" borderId="0" xfId="7"/>
    <xf numFmtId="0" fontId="7" fillId="0" borderId="0" xfId="7" applyFont="1" applyAlignment="1">
      <alignment horizontal="center"/>
    </xf>
    <xf numFmtId="3" fontId="13" fillId="15" borderId="0" xfId="8">
      <alignment horizontal="left" vertical="center"/>
      <protection locked="0"/>
    </xf>
    <xf numFmtId="0" fontId="16" fillId="11" borderId="0" xfId="9" applyFont="1" applyFill="1" applyAlignment="1">
      <alignment horizontal="center"/>
    </xf>
    <xf numFmtId="0" fontId="9" fillId="11" borderId="0" xfId="3" applyFont="1" applyFill="1" applyAlignment="1">
      <alignment horizontal="left" vertical="center"/>
    </xf>
    <xf numFmtId="9" fontId="12" fillId="8" borderId="0" xfId="10" applyFont="1" applyFill="1" applyBorder="1" applyAlignment="1">
      <alignment horizontal="center" vertical="center"/>
    </xf>
    <xf numFmtId="9" fontId="19" fillId="0" borderId="0" xfId="10" applyFont="1"/>
    <xf numFmtId="9" fontId="20" fillId="8" borderId="0" xfId="10" applyFont="1" applyFill="1" applyBorder="1" applyAlignment="1">
      <alignment horizontal="center" vertical="center"/>
    </xf>
    <xf numFmtId="174" fontId="19" fillId="6" borderId="0" xfId="10" applyNumberFormat="1" applyFont="1" applyFill="1"/>
    <xf numFmtId="0" fontId="9" fillId="7" borderId="0" xfId="3" applyFont="1" applyFill="1" applyAlignment="1">
      <alignment horizontal="center" vertical="center"/>
    </xf>
    <xf numFmtId="0" fontId="12" fillId="16" borderId="0" xfId="3" applyFont="1" applyFill="1" applyAlignment="1">
      <alignment horizontal="left" vertical="center"/>
    </xf>
    <xf numFmtId="0" fontId="2" fillId="0" borderId="0" xfId="3"/>
    <xf numFmtId="3" fontId="12" fillId="8" borderId="0" xfId="3" applyNumberFormat="1" applyFont="1" applyFill="1" applyAlignment="1">
      <alignment horizontal="center" vertical="center"/>
    </xf>
    <xf numFmtId="171" fontId="19" fillId="6" borderId="0" xfId="11" applyNumberFormat="1" applyFont="1" applyFill="1"/>
    <xf numFmtId="171" fontId="19" fillId="0" borderId="0" xfId="11" applyNumberFormat="1" applyFont="1"/>
    <xf numFmtId="9" fontId="2" fillId="0" borderId="0" xfId="10" applyFont="1"/>
    <xf numFmtId="9" fontId="11" fillId="0" borderId="0" xfId="12" applyFont="1" applyAlignment="1">
      <alignment horizontal="center"/>
    </xf>
    <xf numFmtId="9" fontId="19" fillId="6" borderId="0" xfId="10" applyFont="1" applyFill="1"/>
    <xf numFmtId="0" fontId="1" fillId="6" borderId="0" xfId="7" applyFill="1"/>
    <xf numFmtId="9" fontId="19" fillId="6" borderId="0" xfId="10" applyFont="1" applyFill="1" applyAlignment="1">
      <alignment horizontal="right"/>
    </xf>
    <xf numFmtId="0" fontId="21" fillId="16" borderId="1" xfId="9" applyFont="1" applyFill="1" applyBorder="1" applyAlignment="1">
      <alignment horizontal="left" vertical="center"/>
    </xf>
    <xf numFmtId="3" fontId="9" fillId="17" borderId="1" xfId="9" applyNumberFormat="1" applyFont="1" applyFill="1" applyBorder="1" applyAlignment="1">
      <alignment horizontal="center" vertical="center"/>
    </xf>
    <xf numFmtId="169" fontId="9" fillId="17" borderId="1" xfId="9" applyNumberFormat="1" applyFont="1" applyFill="1" applyBorder="1" applyAlignment="1">
      <alignment horizontal="center" vertical="center" wrapText="1"/>
    </xf>
    <xf numFmtId="0" fontId="20" fillId="18" borderId="1" xfId="4" applyFont="1" applyFill="1" applyBorder="1" applyAlignment="1">
      <alignment vertical="center" wrapText="1"/>
    </xf>
    <xf numFmtId="1" fontId="20" fillId="19" borderId="1" xfId="9" applyNumberFormat="1" applyFont="1" applyFill="1" applyBorder="1" applyAlignment="1">
      <alignment horizontal="center" vertical="center"/>
    </xf>
    <xf numFmtId="1" fontId="22" fillId="19" borderId="1" xfId="9" applyNumberFormat="1" applyFont="1" applyFill="1" applyBorder="1" applyAlignment="1">
      <alignment horizontal="center" vertical="center"/>
    </xf>
    <xf numFmtId="0" fontId="12" fillId="20" borderId="1" xfId="4" applyFont="1" applyFill="1" applyBorder="1" applyAlignment="1">
      <alignment vertical="center" wrapText="1"/>
    </xf>
    <xf numFmtId="1" fontId="9" fillId="3" borderId="1" xfId="9" applyNumberFormat="1" applyFont="1" applyFill="1" applyBorder="1" applyAlignment="1">
      <alignment horizontal="center" vertical="center"/>
    </xf>
    <xf numFmtId="1" fontId="12" fillId="0" borderId="1" xfId="3" applyNumberFormat="1" applyFont="1" applyFill="1" applyBorder="1" applyAlignment="1">
      <alignment horizontal="center" vertical="center"/>
    </xf>
    <xf numFmtId="1" fontId="23" fillId="6" borderId="1" xfId="3" applyNumberFormat="1" applyFont="1" applyFill="1" applyBorder="1" applyAlignment="1">
      <alignment horizontal="center" vertical="center"/>
    </xf>
    <xf numFmtId="164" fontId="24" fillId="21" borderId="1" xfId="9" applyNumberFormat="1" applyFont="1" applyFill="1" applyBorder="1" applyAlignment="1">
      <alignment horizontal="center" vertical="center"/>
    </xf>
    <xf numFmtId="1" fontId="22" fillId="0" borderId="1" xfId="3" applyNumberFormat="1" applyFont="1" applyFill="1" applyBorder="1" applyAlignment="1">
      <alignment horizontal="center" vertical="center"/>
    </xf>
    <xf numFmtId="1" fontId="25" fillId="6" borderId="1" xfId="3" applyNumberFormat="1" applyFont="1" applyFill="1" applyBorder="1" applyAlignment="1">
      <alignment horizontal="center" vertical="center"/>
    </xf>
    <xf numFmtId="1" fontId="6" fillId="6" borderId="1" xfId="9" applyNumberFormat="1" applyFont="1" applyFill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center" vertical="center"/>
    </xf>
    <xf numFmtId="164" fontId="23" fillId="6" borderId="1" xfId="3" applyNumberFormat="1" applyFont="1" applyFill="1" applyBorder="1" applyAlignment="1">
      <alignment horizontal="center" vertical="center"/>
    </xf>
    <xf numFmtId="164" fontId="9" fillId="6" borderId="1" xfId="9" applyNumberFormat="1" applyFont="1" applyFill="1" applyBorder="1" applyAlignment="1">
      <alignment horizontal="center" vertical="center"/>
    </xf>
    <xf numFmtId="164" fontId="12" fillId="6" borderId="1" xfId="3" applyNumberFormat="1" applyFont="1" applyFill="1" applyBorder="1" applyAlignment="1">
      <alignment horizontal="center" vertical="center"/>
    </xf>
    <xf numFmtId="1" fontId="9" fillId="6" borderId="1" xfId="9" applyNumberFormat="1" applyFont="1" applyFill="1" applyBorder="1" applyAlignment="1">
      <alignment horizontal="center" vertical="center"/>
    </xf>
    <xf numFmtId="0" fontId="11" fillId="3" borderId="0" xfId="7" applyFont="1" applyFill="1" applyAlignment="1"/>
    <xf numFmtId="1" fontId="21" fillId="0" borderId="1" xfId="9" applyNumberFormat="1" applyFont="1" applyFill="1" applyBorder="1" applyAlignment="1">
      <alignment horizontal="center" vertical="center"/>
    </xf>
    <xf numFmtId="0" fontId="7" fillId="0" borderId="1" xfId="7" applyFont="1" applyBorder="1" applyAlignment="1">
      <alignment vertical="center"/>
    </xf>
    <xf numFmtId="9" fontId="27" fillId="0" borderId="1" xfId="12" applyFont="1" applyBorder="1" applyAlignment="1">
      <alignment vertical="center" wrapText="1"/>
    </xf>
    <xf numFmtId="9" fontId="1" fillId="0" borderId="1" xfId="12" applyNumberFormat="1" applyBorder="1" applyAlignment="1">
      <alignment vertical="center"/>
    </xf>
    <xf numFmtId="9" fontId="1" fillId="0" borderId="1" xfId="12" applyBorder="1" applyAlignment="1">
      <alignment vertical="center"/>
    </xf>
    <xf numFmtId="0" fontId="1" fillId="0" borderId="1" xfId="7" applyBorder="1"/>
    <xf numFmtId="1" fontId="1" fillId="0" borderId="1" xfId="7" applyNumberFormat="1" applyBorder="1"/>
    <xf numFmtId="9" fontId="0" fillId="0" borderId="1" xfId="12" applyFont="1" applyBorder="1"/>
    <xf numFmtId="9" fontId="7" fillId="6" borderId="1" xfId="12" applyFont="1" applyFill="1" applyBorder="1"/>
    <xf numFmtId="1" fontId="6" fillId="0" borderId="1" xfId="7" applyNumberFormat="1" applyFont="1" applyBorder="1"/>
    <xf numFmtId="0" fontId="6" fillId="0" borderId="1" xfId="7" applyFont="1" applyBorder="1"/>
    <xf numFmtId="9" fontId="0" fillId="6" borderId="1" xfId="12" applyFont="1" applyFill="1" applyBorder="1"/>
    <xf numFmtId="20" fontId="1" fillId="0" borderId="1" xfId="7" applyNumberFormat="1" applyBorder="1"/>
    <xf numFmtId="0" fontId="1" fillId="0" borderId="1" xfId="7" applyNumberFormat="1" applyBorder="1"/>
    <xf numFmtId="0" fontId="6" fillId="0" borderId="1" xfId="7" applyNumberFormat="1" applyFont="1" applyBorder="1"/>
    <xf numFmtId="20" fontId="1" fillId="0" borderId="0" xfId="7" applyNumberFormat="1"/>
    <xf numFmtId="1" fontId="1" fillId="0" borderId="2" xfId="7" applyNumberFormat="1" applyBorder="1"/>
    <xf numFmtId="1" fontId="1" fillId="0" borderId="4" xfId="7" applyNumberFormat="1" applyBorder="1"/>
    <xf numFmtId="1" fontId="1" fillId="0" borderId="0" xfId="7" applyNumberFormat="1"/>
    <xf numFmtId="9" fontId="0" fillId="0" borderId="1" xfId="12" applyNumberFormat="1" applyFont="1" applyBorder="1"/>
    <xf numFmtId="0" fontId="1" fillId="0" borderId="1" xfId="7" applyFont="1" applyBorder="1"/>
    <xf numFmtId="9" fontId="26" fillId="6" borderId="1" xfId="12" applyNumberFormat="1" applyFont="1" applyFill="1" applyBorder="1"/>
    <xf numFmtId="164" fontId="1" fillId="0" borderId="0" xfId="7" applyNumberFormat="1"/>
    <xf numFmtId="9" fontId="0" fillId="0" borderId="0" xfId="12" applyFont="1"/>
    <xf numFmtId="0" fontId="0" fillId="0" borderId="0" xfId="0" applyAlignment="1">
      <alignment horizontal="center"/>
    </xf>
    <xf numFmtId="0" fontId="7" fillId="13" borderId="0" xfId="0" applyFont="1" applyFill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7" applyBorder="1" applyAlignment="1">
      <alignment horizontal="center" vertical="center"/>
    </xf>
    <xf numFmtId="0" fontId="1" fillId="0" borderId="1" xfId="7" applyBorder="1" applyAlignment="1">
      <alignment horizontal="center" vertical="center" wrapText="1"/>
    </xf>
  </cellXfs>
  <cellStyles count="13">
    <cellStyle name="Excel Built-in Explanatory Text" xfId="6"/>
    <cellStyle name="IndexNbCtr" xfId="5"/>
    <cellStyle name="ListeV" xfId="8"/>
    <cellStyle name="Milliers" xfId="2" builtinId="3"/>
    <cellStyle name="Milliers 2" xfId="11"/>
    <cellStyle name="Normal" xfId="0" builtinId="0"/>
    <cellStyle name="Normal 2" xfId="7"/>
    <cellStyle name="Normal 2 2" xfId="4"/>
    <cellStyle name="Normal 2 3" xfId="9"/>
    <cellStyle name="Normal 3" xfId="3"/>
    <cellStyle name="Pourcentage" xfId="1" builtinId="5"/>
    <cellStyle name="Pourcentage 2" xfId="10"/>
    <cellStyle name="Pourcentage 3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zoomScale="55" zoomScaleNormal="55" workbookViewId="0">
      <pane ySplit="1" topLeftCell="A2" activePane="bottomLeft" state="frozen"/>
      <selection pane="bottomLeft" activeCell="E7" sqref="E7"/>
    </sheetView>
  </sheetViews>
  <sheetFormatPr baseColWidth="10" defaultRowHeight="15.6"/>
  <cols>
    <col min="2" max="2" width="24.69921875" bestFit="1" customWidth="1"/>
  </cols>
  <sheetData>
    <row r="1" spans="1:36" s="35" customFormat="1" ht="14.4">
      <c r="B1" s="35">
        <v>2019</v>
      </c>
      <c r="C1" s="35">
        <f>B1+1</f>
        <v>2020</v>
      </c>
      <c r="D1" s="35">
        <f t="shared" ref="D1:AF1" si="0">C1+1</f>
        <v>2021</v>
      </c>
      <c r="E1" s="35">
        <f t="shared" si="0"/>
        <v>2022</v>
      </c>
      <c r="F1" s="35">
        <f t="shared" si="0"/>
        <v>2023</v>
      </c>
      <c r="G1" s="35">
        <f t="shared" si="0"/>
        <v>2024</v>
      </c>
      <c r="H1" s="35">
        <f t="shared" si="0"/>
        <v>2025</v>
      </c>
      <c r="I1" s="35">
        <f t="shared" si="0"/>
        <v>2026</v>
      </c>
      <c r="J1" s="35">
        <f t="shared" si="0"/>
        <v>2027</v>
      </c>
      <c r="K1" s="35">
        <f t="shared" si="0"/>
        <v>2028</v>
      </c>
      <c r="L1" s="35">
        <f t="shared" si="0"/>
        <v>2029</v>
      </c>
      <c r="M1" s="35">
        <f t="shared" si="0"/>
        <v>2030</v>
      </c>
      <c r="N1" s="35">
        <f t="shared" si="0"/>
        <v>2031</v>
      </c>
      <c r="O1" s="35">
        <f t="shared" si="0"/>
        <v>2032</v>
      </c>
      <c r="P1" s="35">
        <f t="shared" si="0"/>
        <v>2033</v>
      </c>
      <c r="Q1" s="35">
        <f t="shared" si="0"/>
        <v>2034</v>
      </c>
      <c r="R1" s="35">
        <f t="shared" si="0"/>
        <v>2035</v>
      </c>
      <c r="S1" s="35">
        <f t="shared" si="0"/>
        <v>2036</v>
      </c>
      <c r="T1" s="35">
        <f t="shared" si="0"/>
        <v>2037</v>
      </c>
      <c r="U1" s="35">
        <f t="shared" si="0"/>
        <v>2038</v>
      </c>
      <c r="V1" s="35">
        <f t="shared" si="0"/>
        <v>2039</v>
      </c>
      <c r="W1" s="35">
        <f t="shared" si="0"/>
        <v>2040</v>
      </c>
      <c r="X1" s="35">
        <f>W1+1</f>
        <v>2041</v>
      </c>
      <c r="Y1" s="35">
        <f t="shared" si="0"/>
        <v>2042</v>
      </c>
      <c r="Z1" s="35">
        <f t="shared" si="0"/>
        <v>2043</v>
      </c>
      <c r="AA1" s="35">
        <f t="shared" si="0"/>
        <v>2044</v>
      </c>
      <c r="AB1" s="35">
        <f t="shared" si="0"/>
        <v>2045</v>
      </c>
      <c r="AC1" s="35">
        <f t="shared" si="0"/>
        <v>2046</v>
      </c>
      <c r="AD1" s="35">
        <f t="shared" si="0"/>
        <v>2047</v>
      </c>
      <c r="AE1" s="35">
        <f t="shared" si="0"/>
        <v>2048</v>
      </c>
      <c r="AF1" s="35">
        <f t="shared" si="0"/>
        <v>2049</v>
      </c>
      <c r="AG1" s="35">
        <f>AF1+1</f>
        <v>2050</v>
      </c>
      <c r="AI1" s="35" t="s">
        <v>124</v>
      </c>
    </row>
    <row r="3" spans="1:36">
      <c r="A3" t="s">
        <v>125</v>
      </c>
    </row>
    <row r="4" spans="1:36">
      <c r="A4" t="s">
        <v>126</v>
      </c>
      <c r="B4" s="30">
        <v>800000</v>
      </c>
      <c r="C4">
        <v>800000</v>
      </c>
      <c r="D4" s="28">
        <f>C4+($AG4-$C4)*1/30</f>
        <v>790000</v>
      </c>
      <c r="E4" s="28">
        <f t="shared" ref="E4:AF4" si="1">D4+($AG4-$C4)*1/30</f>
        <v>780000</v>
      </c>
      <c r="F4" s="28">
        <f t="shared" si="1"/>
        <v>770000</v>
      </c>
      <c r="G4" s="28">
        <f t="shared" si="1"/>
        <v>760000</v>
      </c>
      <c r="H4" s="28">
        <f t="shared" si="1"/>
        <v>750000</v>
      </c>
      <c r="I4" s="28">
        <f t="shared" si="1"/>
        <v>740000</v>
      </c>
      <c r="J4" s="28">
        <f t="shared" si="1"/>
        <v>730000</v>
      </c>
      <c r="K4" s="28">
        <f t="shared" si="1"/>
        <v>720000</v>
      </c>
      <c r="L4" s="28">
        <f t="shared" si="1"/>
        <v>710000</v>
      </c>
      <c r="M4" s="28">
        <f t="shared" si="1"/>
        <v>700000</v>
      </c>
      <c r="N4" s="28">
        <f t="shared" si="1"/>
        <v>690000</v>
      </c>
      <c r="O4" s="28">
        <f t="shared" si="1"/>
        <v>680000</v>
      </c>
      <c r="P4" s="28">
        <f t="shared" si="1"/>
        <v>670000</v>
      </c>
      <c r="Q4" s="28">
        <f t="shared" si="1"/>
        <v>660000</v>
      </c>
      <c r="R4" s="28">
        <f t="shared" si="1"/>
        <v>650000</v>
      </c>
      <c r="S4" s="28">
        <f t="shared" si="1"/>
        <v>640000</v>
      </c>
      <c r="T4" s="28">
        <f t="shared" si="1"/>
        <v>630000</v>
      </c>
      <c r="U4" s="28">
        <f t="shared" si="1"/>
        <v>620000</v>
      </c>
      <c r="V4" s="28">
        <f t="shared" si="1"/>
        <v>610000</v>
      </c>
      <c r="W4" s="28">
        <f t="shared" si="1"/>
        <v>600000</v>
      </c>
      <c r="X4" s="28">
        <f t="shared" si="1"/>
        <v>590000</v>
      </c>
      <c r="Y4" s="28">
        <f t="shared" si="1"/>
        <v>580000</v>
      </c>
      <c r="Z4" s="28">
        <f t="shared" si="1"/>
        <v>570000</v>
      </c>
      <c r="AA4" s="28">
        <f t="shared" si="1"/>
        <v>560000</v>
      </c>
      <c r="AB4" s="28">
        <f t="shared" si="1"/>
        <v>550000</v>
      </c>
      <c r="AC4" s="28">
        <f t="shared" si="1"/>
        <v>540000</v>
      </c>
      <c r="AD4" s="28">
        <f t="shared" si="1"/>
        <v>530000</v>
      </c>
      <c r="AE4" s="28">
        <f t="shared" si="1"/>
        <v>520000</v>
      </c>
      <c r="AF4" s="28">
        <f t="shared" si="1"/>
        <v>510000</v>
      </c>
      <c r="AG4">
        <v>500000</v>
      </c>
    </row>
    <row r="6" spans="1:36">
      <c r="A6" t="s">
        <v>127</v>
      </c>
      <c r="B6" s="43">
        <v>1</v>
      </c>
      <c r="M6" s="56">
        <f>5/7</f>
        <v>0.7142857142857143</v>
      </c>
      <c r="AG6" s="56">
        <v>0</v>
      </c>
      <c r="AI6" s="30">
        <v>800000</v>
      </c>
      <c r="AJ6" t="s">
        <v>128</v>
      </c>
    </row>
    <row r="7" spans="1:36">
      <c r="A7" t="s">
        <v>129</v>
      </c>
      <c r="M7" s="56">
        <f>2/7*0.75</f>
        <v>0.21428571428571427</v>
      </c>
      <c r="AG7" s="56">
        <f>0.5</f>
        <v>0.5</v>
      </c>
      <c r="AI7">
        <v>28</v>
      </c>
      <c r="AJ7" t="s">
        <v>130</v>
      </c>
    </row>
    <row r="8" spans="1:36">
      <c r="A8" t="s">
        <v>131</v>
      </c>
      <c r="M8" s="56"/>
      <c r="AG8" s="56"/>
      <c r="AI8" s="57">
        <f>AI6/AI7</f>
        <v>28571.428571428572</v>
      </c>
      <c r="AJ8" t="s">
        <v>132</v>
      </c>
    </row>
    <row r="9" spans="1:36">
      <c r="A9" t="s">
        <v>133</v>
      </c>
      <c r="M9" s="56">
        <f>2/7*0.25</f>
        <v>7.1428571428571425E-2</v>
      </c>
      <c r="AG9" s="56">
        <v>0.5</v>
      </c>
    </row>
    <row r="10" spans="1:36" ht="14.1" customHeight="1"/>
    <row r="11" spans="1:36" ht="14.1" customHeight="1">
      <c r="A11" s="133" t="s">
        <v>134</v>
      </c>
      <c r="B11" s="133"/>
      <c r="C11" s="133"/>
    </row>
    <row r="12" spans="1:36">
      <c r="A12" t="s">
        <v>135</v>
      </c>
      <c r="B12" s="30">
        <v>800000</v>
      </c>
      <c r="C12" s="58">
        <f>SUM(C20:C24)</f>
        <v>799804.14746543788</v>
      </c>
      <c r="D12" s="58">
        <f>SUM(D20:D24)</f>
        <v>799412.44239631353</v>
      </c>
      <c r="E12" s="58">
        <f>SUM(E20:E24)</f>
        <v>798824.88479262695</v>
      </c>
      <c r="F12" s="58">
        <f>SUM(F20:F24)</f>
        <v>798041.47465437814</v>
      </c>
      <c r="G12" s="58">
        <f t="shared" ref="G12:AG12" si="2">SUM(G20:G24)</f>
        <v>797062.21198156709</v>
      </c>
      <c r="H12" s="58">
        <f>SUM(H20:H24)</f>
        <v>795887.09677419392</v>
      </c>
      <c r="I12" s="58">
        <f t="shared" si="2"/>
        <v>794516.12903225853</v>
      </c>
      <c r="J12" s="58">
        <f t="shared" si="2"/>
        <v>792949.3087557609</v>
      </c>
      <c r="K12" s="58">
        <f t="shared" si="2"/>
        <v>791186.63594470103</v>
      </c>
      <c r="L12" s="58">
        <f t="shared" si="2"/>
        <v>789228.11059907894</v>
      </c>
      <c r="M12" s="58">
        <f t="shared" si="2"/>
        <v>787073.73271889472</v>
      </c>
      <c r="N12" s="58">
        <f t="shared" si="2"/>
        <v>784723.50230414828</v>
      </c>
      <c r="O12" s="58">
        <f t="shared" si="2"/>
        <v>782177.41935483948</v>
      </c>
      <c r="P12" s="58">
        <f t="shared" si="2"/>
        <v>779435.48387096857</v>
      </c>
      <c r="Q12" s="58">
        <f t="shared" si="2"/>
        <v>776497.69585253543</v>
      </c>
      <c r="R12" s="58">
        <f t="shared" si="2"/>
        <v>773364.05529954017</v>
      </c>
      <c r="S12" s="58">
        <f t="shared" si="2"/>
        <v>770034.56221198256</v>
      </c>
      <c r="T12" s="58">
        <f t="shared" si="2"/>
        <v>766509.21658986283</v>
      </c>
      <c r="U12" s="58">
        <f t="shared" si="2"/>
        <v>762788.01843318087</v>
      </c>
      <c r="V12" s="58">
        <f t="shared" si="2"/>
        <v>758870.96774193679</v>
      </c>
      <c r="W12" s="58">
        <f t="shared" si="2"/>
        <v>754758.06451613037</v>
      </c>
      <c r="X12" s="58">
        <f t="shared" si="2"/>
        <v>750449.30875576183</v>
      </c>
      <c r="Y12" s="58">
        <f t="shared" si="2"/>
        <v>745944.70046083094</v>
      </c>
      <c r="Z12" s="58">
        <f t="shared" si="2"/>
        <v>741244.23963133781</v>
      </c>
      <c r="AA12" s="58">
        <f t="shared" si="2"/>
        <v>736347.92626728269</v>
      </c>
      <c r="AB12" s="58">
        <f t="shared" si="2"/>
        <v>731255.7603686651</v>
      </c>
      <c r="AC12" s="58">
        <f t="shared" si="2"/>
        <v>725967.74193548539</v>
      </c>
      <c r="AD12" s="58">
        <f t="shared" si="2"/>
        <v>720483.87096774357</v>
      </c>
      <c r="AE12" s="58">
        <f t="shared" si="2"/>
        <v>715000.00000000163</v>
      </c>
      <c r="AF12" s="58">
        <f t="shared" si="2"/>
        <v>709516.12903225957</v>
      </c>
      <c r="AG12" s="58">
        <f t="shared" si="2"/>
        <v>704032.25806451763</v>
      </c>
    </row>
    <row r="13" spans="1:36">
      <c r="A13" t="s">
        <v>127</v>
      </c>
      <c r="B13" s="43">
        <v>1</v>
      </c>
      <c r="C13" s="56">
        <f t="shared" ref="C13:AG17" si="3">C20/C$12</f>
        <v>1</v>
      </c>
      <c r="D13" s="56">
        <f t="shared" si="3"/>
        <v>1</v>
      </c>
      <c r="E13" s="56">
        <f t="shared" si="3"/>
        <v>1</v>
      </c>
      <c r="F13" s="56">
        <f t="shared" si="3"/>
        <v>1</v>
      </c>
      <c r="G13" s="56">
        <f t="shared" si="3"/>
        <v>1</v>
      </c>
      <c r="H13" s="56">
        <f t="shared" si="3"/>
        <v>1</v>
      </c>
      <c r="I13" s="56">
        <f t="shared" si="3"/>
        <v>1</v>
      </c>
      <c r="J13" s="56">
        <f t="shared" si="3"/>
        <v>1</v>
      </c>
      <c r="K13" s="56">
        <f t="shared" si="3"/>
        <v>1</v>
      </c>
      <c r="L13" s="56">
        <f t="shared" si="3"/>
        <v>1</v>
      </c>
      <c r="M13" s="56">
        <f t="shared" si="3"/>
        <v>1</v>
      </c>
      <c r="N13" s="56">
        <f t="shared" si="3"/>
        <v>0.99989975629092398</v>
      </c>
      <c r="O13" s="56">
        <f t="shared" si="3"/>
        <v>0.99969979232026873</v>
      </c>
      <c r="P13" s="56">
        <f t="shared" si="3"/>
        <v>0.99940048776882717</v>
      </c>
      <c r="Q13" s="56">
        <f t="shared" si="3"/>
        <v>0.99900207715133538</v>
      </c>
      <c r="R13" s="56">
        <f t="shared" si="3"/>
        <v>0.99850464783696813</v>
      </c>
      <c r="S13" s="56">
        <f t="shared" si="3"/>
        <v>0.9979081374646539</v>
      </c>
      <c r="T13" s="56">
        <f t="shared" si="3"/>
        <v>0.99721233072309989</v>
      </c>
      <c r="U13" s="56">
        <f t="shared" si="3"/>
        <v>0.99641685545990044</v>
      </c>
      <c r="V13" s="56">
        <f t="shared" si="3"/>
        <v>0.99552117807803242</v>
      </c>
      <c r="W13" s="56">
        <f t="shared" si="3"/>
        <v>0.9945245981713553</v>
      </c>
      <c r="X13" s="56">
        <f t="shared" si="3"/>
        <v>0.99336158061990509</v>
      </c>
      <c r="Y13" s="56">
        <f t="shared" si="3"/>
        <v>0.99203095076295789</v>
      </c>
      <c r="Z13" s="56">
        <f t="shared" si="3"/>
        <v>0.99053124028598083</v>
      </c>
      <c r="AA13" s="56">
        <f t="shared" si="3"/>
        <v>0.98886067433309854</v>
      </c>
      <c r="AB13" s="56">
        <f t="shared" si="3"/>
        <v>0.98701715690135972</v>
      </c>
      <c r="AC13" s="56">
        <f t="shared" si="3"/>
        <v>0.98499825435617494</v>
      </c>
      <c r="AD13" s="56">
        <f t="shared" si="3"/>
        <v>0.98280117688445423</v>
      </c>
      <c r="AE13" s="56">
        <f t="shared" si="3"/>
        <v>0.98042812026682991</v>
      </c>
      <c r="AF13" s="56">
        <f t="shared" si="3"/>
        <v>0.97787776442698027</v>
      </c>
      <c r="AG13" s="56">
        <f t="shared" si="3"/>
        <v>0.97514874815905761</v>
      </c>
    </row>
    <row r="14" spans="1:36">
      <c r="A14" t="s">
        <v>136</v>
      </c>
      <c r="B14" s="43"/>
      <c r="C14" s="56">
        <f>C21/C$12</f>
        <v>0</v>
      </c>
      <c r="D14" s="56">
        <f t="shared" si="3"/>
        <v>0</v>
      </c>
      <c r="E14" s="56">
        <f t="shared" si="3"/>
        <v>0</v>
      </c>
      <c r="F14" s="56">
        <f t="shared" si="3"/>
        <v>0</v>
      </c>
      <c r="G14" s="56">
        <f t="shared" si="3"/>
        <v>0</v>
      </c>
      <c r="H14" s="56">
        <f t="shared" si="3"/>
        <v>0</v>
      </c>
      <c r="I14" s="56">
        <f t="shared" si="3"/>
        <v>0</v>
      </c>
      <c r="J14" s="56">
        <f t="shared" si="3"/>
        <v>0</v>
      </c>
      <c r="K14" s="56">
        <f t="shared" si="3"/>
        <v>0</v>
      </c>
      <c r="L14" s="56">
        <f t="shared" si="3"/>
        <v>0</v>
      </c>
      <c r="M14" s="56">
        <f t="shared" si="3"/>
        <v>0</v>
      </c>
      <c r="N14" s="56">
        <f t="shared" si="3"/>
        <v>6.6829139383973893E-5</v>
      </c>
      <c r="O14" s="56">
        <f t="shared" si="3"/>
        <v>2.0013845315422786E-4</v>
      </c>
      <c r="P14" s="56">
        <f t="shared" si="3"/>
        <v>3.9967482078190797E-4</v>
      </c>
      <c r="Q14" s="56">
        <f t="shared" si="3"/>
        <v>6.6528189910979182E-4</v>
      </c>
      <c r="R14" s="56">
        <f t="shared" si="3"/>
        <v>9.9690144202121229E-4</v>
      </c>
      <c r="S14" s="56">
        <f t="shared" si="3"/>
        <v>1.3945750235640857E-3</v>
      </c>
      <c r="T14" s="56">
        <f t="shared" si="3"/>
        <v>1.8584461846001218E-3</v>
      </c>
      <c r="U14" s="56">
        <f t="shared" si="3"/>
        <v>2.38876302673312E-3</v>
      </c>
      <c r="V14" s="56">
        <f t="shared" si="3"/>
        <v>2.9858812813116716E-3</v>
      </c>
      <c r="W14" s="56">
        <f t="shared" si="3"/>
        <v>3.6502678857631273E-3</v>
      </c>
      <c r="X14" s="56">
        <f t="shared" si="3"/>
        <v>4.4148359661646576E-3</v>
      </c>
      <c r="Y14" s="56">
        <f t="shared" si="3"/>
        <v>5.2803484277506576E-3</v>
      </c>
      <c r="Z14" s="56">
        <f t="shared" si="3"/>
        <v>6.2477463475287456E-3</v>
      </c>
      <c r="AA14" s="56">
        <f t="shared" si="3"/>
        <v>7.3181569271688861E-3</v>
      </c>
      <c r="AB14" s="56">
        <f t="shared" si="3"/>
        <v>8.4929024939738047E-3</v>
      </c>
      <c r="AC14" s="56">
        <f t="shared" si="3"/>
        <v>9.7735106484273214E-3</v>
      </c>
      <c r="AD14" s="56">
        <f t="shared" si="3"/>
        <v>1.1161725670792143E-2</v>
      </c>
      <c r="AE14" s="56">
        <f t="shared" si="3"/>
        <v>1.2656053623795543E-2</v>
      </c>
      <c r="AF14" s="56">
        <f t="shared" si="3"/>
        <v>1.4257298736725864E-2</v>
      </c>
      <c r="AG14" s="56">
        <f t="shared" si="3"/>
        <v>1.5966290296187183E-2</v>
      </c>
    </row>
    <row r="15" spans="1:36">
      <c r="A15" t="s">
        <v>129</v>
      </c>
      <c r="C15" s="56">
        <f>C22/C$12</f>
        <v>0</v>
      </c>
      <c r="D15" s="56">
        <f t="shared" si="3"/>
        <v>0</v>
      </c>
      <c r="E15" s="56">
        <f t="shared" si="3"/>
        <v>0</v>
      </c>
      <c r="F15" s="56">
        <f t="shared" si="3"/>
        <v>0</v>
      </c>
      <c r="G15" s="56">
        <f t="shared" si="3"/>
        <v>0</v>
      </c>
      <c r="H15" s="56">
        <f t="shared" si="3"/>
        <v>0</v>
      </c>
      <c r="I15" s="56">
        <f t="shared" si="3"/>
        <v>0</v>
      </c>
      <c r="J15" s="56">
        <f t="shared" si="3"/>
        <v>0</v>
      </c>
      <c r="K15" s="56">
        <f t="shared" si="3"/>
        <v>0</v>
      </c>
      <c r="L15" s="56">
        <f t="shared" si="3"/>
        <v>0</v>
      </c>
      <c r="M15" s="56">
        <f t="shared" si="3"/>
        <v>0</v>
      </c>
      <c r="N15" s="56">
        <f t="shared" si="3"/>
        <v>3.3414569691986946E-5</v>
      </c>
      <c r="O15" s="56">
        <f t="shared" si="3"/>
        <v>1.0006922657711393E-4</v>
      </c>
      <c r="P15" s="56">
        <f t="shared" si="3"/>
        <v>1.9983741039095399E-4</v>
      </c>
      <c r="Q15" s="56">
        <f t="shared" si="3"/>
        <v>3.3264094955489591E-4</v>
      </c>
      <c r="R15" s="56">
        <f t="shared" si="3"/>
        <v>4.9845072101060615E-4</v>
      </c>
      <c r="S15" s="56">
        <f t="shared" si="3"/>
        <v>6.9728751178204285E-4</v>
      </c>
      <c r="T15" s="56">
        <f t="shared" si="3"/>
        <v>9.292230923000609E-4</v>
      </c>
      <c r="U15" s="56">
        <f t="shared" si="3"/>
        <v>1.19438151336656E-3</v>
      </c>
      <c r="V15" s="56">
        <f t="shared" si="3"/>
        <v>1.4929406406558358E-3</v>
      </c>
      <c r="W15" s="56">
        <f t="shared" si="3"/>
        <v>1.8251339428815637E-3</v>
      </c>
      <c r="X15" s="56">
        <f t="shared" si="3"/>
        <v>2.2235834139302081E-3</v>
      </c>
      <c r="Y15" s="56">
        <f t="shared" si="3"/>
        <v>2.6887008092914035E-3</v>
      </c>
      <c r="Z15" s="56">
        <f t="shared" si="3"/>
        <v>3.2210133664905155E-3</v>
      </c>
      <c r="AA15" s="56">
        <f t="shared" si="3"/>
        <v>3.8211687397324517E-3</v>
      </c>
      <c r="AB15" s="56">
        <f t="shared" si="3"/>
        <v>4.4899406046665456E-3</v>
      </c>
      <c r="AC15" s="56">
        <f t="shared" si="3"/>
        <v>5.2282349953978414E-3</v>
      </c>
      <c r="AD15" s="56">
        <f t="shared" si="3"/>
        <v>6.0370974447535803E-3</v>
      </c>
      <c r="AE15" s="56">
        <f t="shared" si="3"/>
        <v>6.9158261093744851E-3</v>
      </c>
      <c r="AF15" s="56">
        <f t="shared" si="3"/>
        <v>7.8649368362939519E-3</v>
      </c>
      <c r="AG15" s="56">
        <f t="shared" si="3"/>
        <v>8.8849615447553452E-3</v>
      </c>
    </row>
    <row r="16" spans="1:36">
      <c r="A16" t="s">
        <v>131</v>
      </c>
      <c r="C16" s="56">
        <f>C23/C$12</f>
        <v>0</v>
      </c>
      <c r="D16" s="56">
        <f t="shared" si="3"/>
        <v>0</v>
      </c>
      <c r="E16" s="56">
        <f t="shared" si="3"/>
        <v>0</v>
      </c>
      <c r="F16" s="56">
        <f t="shared" si="3"/>
        <v>0</v>
      </c>
      <c r="G16" s="56">
        <f t="shared" si="3"/>
        <v>0</v>
      </c>
      <c r="H16" s="56">
        <f t="shared" si="3"/>
        <v>0</v>
      </c>
      <c r="I16" s="56">
        <f t="shared" si="3"/>
        <v>0</v>
      </c>
      <c r="J16" s="56">
        <f t="shared" si="3"/>
        <v>0</v>
      </c>
      <c r="K16" s="56">
        <f t="shared" si="3"/>
        <v>0</v>
      </c>
      <c r="L16" s="56">
        <f t="shared" si="3"/>
        <v>0</v>
      </c>
      <c r="M16" s="56">
        <f t="shared" si="3"/>
        <v>0</v>
      </c>
      <c r="N16" s="56">
        <f t="shared" si="3"/>
        <v>0</v>
      </c>
      <c r="O16" s="56">
        <f t="shared" si="3"/>
        <v>0</v>
      </c>
      <c r="P16" s="56">
        <f t="shared" si="3"/>
        <v>0</v>
      </c>
      <c r="Q16" s="56">
        <f t="shared" si="3"/>
        <v>0</v>
      </c>
      <c r="R16" s="56">
        <f t="shared" si="3"/>
        <v>0</v>
      </c>
      <c r="S16" s="56">
        <f t="shared" si="3"/>
        <v>0</v>
      </c>
      <c r="T16" s="56">
        <f t="shared" si="3"/>
        <v>0</v>
      </c>
      <c r="U16" s="56">
        <f t="shared" si="3"/>
        <v>0</v>
      </c>
      <c r="V16" s="56">
        <f t="shared" si="3"/>
        <v>0</v>
      </c>
      <c r="W16" s="56">
        <f t="shared" si="3"/>
        <v>0</v>
      </c>
      <c r="X16" s="56">
        <f t="shared" si="3"/>
        <v>0</v>
      </c>
      <c r="Y16" s="56">
        <f t="shared" si="3"/>
        <v>0</v>
      </c>
      <c r="Z16" s="56">
        <f t="shared" si="3"/>
        <v>0</v>
      </c>
      <c r="AA16" s="56">
        <f t="shared" si="3"/>
        <v>0</v>
      </c>
      <c r="AB16" s="56">
        <f t="shared" si="3"/>
        <v>0</v>
      </c>
      <c r="AC16" s="56">
        <f t="shared" si="3"/>
        <v>0</v>
      </c>
      <c r="AD16" s="56">
        <f t="shared" si="3"/>
        <v>0</v>
      </c>
      <c r="AE16" s="56">
        <f t="shared" si="3"/>
        <v>0</v>
      </c>
      <c r="AF16" s="56">
        <f t="shared" si="3"/>
        <v>0</v>
      </c>
      <c r="AG16" s="56">
        <f t="shared" si="3"/>
        <v>0</v>
      </c>
    </row>
    <row r="17" spans="1:35">
      <c r="A17" t="s">
        <v>133</v>
      </c>
      <c r="C17" s="56">
        <f>C24/C$12</f>
        <v>0</v>
      </c>
      <c r="D17" s="56">
        <f t="shared" si="3"/>
        <v>0</v>
      </c>
      <c r="E17" s="56">
        <f t="shared" si="3"/>
        <v>0</v>
      </c>
      <c r="F17" s="56">
        <f t="shared" si="3"/>
        <v>0</v>
      </c>
      <c r="G17" s="56">
        <f t="shared" si="3"/>
        <v>0</v>
      </c>
      <c r="H17" s="56">
        <f t="shared" si="3"/>
        <v>0</v>
      </c>
      <c r="I17" s="56">
        <f t="shared" si="3"/>
        <v>0</v>
      </c>
      <c r="J17" s="56">
        <f t="shared" si="3"/>
        <v>0</v>
      </c>
      <c r="K17" s="56">
        <f t="shared" si="3"/>
        <v>0</v>
      </c>
      <c r="L17" s="56">
        <f t="shared" si="3"/>
        <v>0</v>
      </c>
      <c r="M17" s="56">
        <f t="shared" si="3"/>
        <v>0</v>
      </c>
      <c r="N17" s="56">
        <f t="shared" si="3"/>
        <v>0</v>
      </c>
      <c r="O17" s="56">
        <f t="shared" si="3"/>
        <v>0</v>
      </c>
      <c r="P17" s="56">
        <f t="shared" si="3"/>
        <v>0</v>
      </c>
      <c r="Q17" s="56">
        <f t="shared" si="3"/>
        <v>0</v>
      </c>
      <c r="R17" s="56">
        <f t="shared" si="3"/>
        <v>0</v>
      </c>
      <c r="S17" s="56">
        <f t="shared" si="3"/>
        <v>0</v>
      </c>
      <c r="T17" s="56">
        <f t="shared" si="3"/>
        <v>0</v>
      </c>
      <c r="U17" s="56">
        <f t="shared" si="3"/>
        <v>0</v>
      </c>
      <c r="V17" s="56">
        <f t="shared" si="3"/>
        <v>0</v>
      </c>
      <c r="W17" s="56">
        <f t="shared" si="3"/>
        <v>0</v>
      </c>
      <c r="X17" s="56">
        <f t="shared" si="3"/>
        <v>0</v>
      </c>
      <c r="Y17" s="56">
        <f t="shared" si="3"/>
        <v>0</v>
      </c>
      <c r="Z17" s="56">
        <f t="shared" si="3"/>
        <v>0</v>
      </c>
      <c r="AA17" s="56">
        <f t="shared" si="3"/>
        <v>0</v>
      </c>
      <c r="AB17" s="56">
        <f t="shared" si="3"/>
        <v>0</v>
      </c>
      <c r="AC17" s="56">
        <f t="shared" si="3"/>
        <v>0</v>
      </c>
      <c r="AD17" s="56">
        <f t="shared" si="3"/>
        <v>0</v>
      </c>
      <c r="AE17" s="56">
        <f t="shared" si="3"/>
        <v>0</v>
      </c>
      <c r="AF17" s="56">
        <f t="shared" si="3"/>
        <v>0</v>
      </c>
      <c r="AG17" s="56">
        <f t="shared" si="3"/>
        <v>0</v>
      </c>
    </row>
    <row r="18" spans="1:35" s="59" customFormat="1" ht="10.199999999999999">
      <c r="B18" s="60">
        <f t="shared" ref="B18:AF18" si="4">SUM(B13:B17)</f>
        <v>1</v>
      </c>
      <c r="C18" s="60">
        <f t="shared" si="4"/>
        <v>1</v>
      </c>
      <c r="D18" s="60">
        <f t="shared" si="4"/>
        <v>1</v>
      </c>
      <c r="E18" s="60">
        <f t="shared" si="4"/>
        <v>1</v>
      </c>
      <c r="F18" s="60">
        <f t="shared" si="4"/>
        <v>1</v>
      </c>
      <c r="G18" s="60">
        <f t="shared" si="4"/>
        <v>1</v>
      </c>
      <c r="H18" s="60">
        <f t="shared" si="4"/>
        <v>1</v>
      </c>
      <c r="I18" s="60">
        <f t="shared" si="4"/>
        <v>1</v>
      </c>
      <c r="J18" s="60">
        <f t="shared" si="4"/>
        <v>1</v>
      </c>
      <c r="K18" s="60">
        <f t="shared" si="4"/>
        <v>1</v>
      </c>
      <c r="L18" s="60">
        <f t="shared" si="4"/>
        <v>1</v>
      </c>
      <c r="M18" s="60">
        <f>SUM(M13:M17)</f>
        <v>1</v>
      </c>
      <c r="N18" s="60">
        <f t="shared" si="4"/>
        <v>0.99999999999999989</v>
      </c>
      <c r="O18" s="60">
        <f t="shared" si="4"/>
        <v>1</v>
      </c>
      <c r="P18" s="60">
        <f t="shared" si="4"/>
        <v>1</v>
      </c>
      <c r="Q18" s="60">
        <f t="shared" si="4"/>
        <v>1</v>
      </c>
      <c r="R18" s="60">
        <f t="shared" si="4"/>
        <v>1</v>
      </c>
      <c r="S18" s="60">
        <f t="shared" si="4"/>
        <v>1</v>
      </c>
      <c r="T18" s="60">
        <f t="shared" si="4"/>
        <v>1</v>
      </c>
      <c r="U18" s="60">
        <f t="shared" si="4"/>
        <v>1</v>
      </c>
      <c r="V18" s="60">
        <f t="shared" si="4"/>
        <v>1</v>
      </c>
      <c r="W18" s="60">
        <f t="shared" si="4"/>
        <v>1</v>
      </c>
      <c r="X18" s="60">
        <f t="shared" si="4"/>
        <v>1</v>
      </c>
      <c r="Y18" s="60">
        <f t="shared" si="4"/>
        <v>0.99999999999999989</v>
      </c>
      <c r="Z18" s="60">
        <f t="shared" si="4"/>
        <v>1.0000000000000002</v>
      </c>
      <c r="AA18" s="60">
        <f t="shared" si="4"/>
        <v>0.99999999999999989</v>
      </c>
      <c r="AB18" s="60">
        <f t="shared" si="4"/>
        <v>1</v>
      </c>
      <c r="AC18" s="60">
        <f t="shared" si="4"/>
        <v>1.0000000000000002</v>
      </c>
      <c r="AD18" s="60">
        <f t="shared" si="4"/>
        <v>0.99999999999999989</v>
      </c>
      <c r="AE18" s="60">
        <f t="shared" si="4"/>
        <v>0.99999999999999989</v>
      </c>
      <c r="AF18" s="60">
        <f t="shared" si="4"/>
        <v>1</v>
      </c>
      <c r="AG18" s="60">
        <f>SUM(AG13:AG17)</f>
        <v>1.0000000000000002</v>
      </c>
    </row>
    <row r="19" spans="1:35"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</row>
    <row r="20" spans="1:35">
      <c r="A20" t="s">
        <v>127</v>
      </c>
      <c r="B20" s="57">
        <f>B$12*B13</f>
        <v>800000</v>
      </c>
      <c r="C20" s="58">
        <f>B20-C43-C44+C35-C51</f>
        <v>799804.14746543788</v>
      </c>
      <c r="D20" s="58">
        <f t="shared" ref="D20:AG20" si="5">C20-D43-D44+D35-D51</f>
        <v>799412.44239631353</v>
      </c>
      <c r="E20" s="58">
        <f t="shared" si="5"/>
        <v>798824.88479262695</v>
      </c>
      <c r="F20" s="58">
        <f t="shared" si="5"/>
        <v>798041.47465437814</v>
      </c>
      <c r="G20" s="58">
        <f t="shared" si="5"/>
        <v>797062.21198156709</v>
      </c>
      <c r="H20" s="58">
        <f t="shared" si="5"/>
        <v>795887.09677419392</v>
      </c>
      <c r="I20" s="58">
        <f t="shared" si="5"/>
        <v>794516.12903225853</v>
      </c>
      <c r="J20" s="58">
        <f t="shared" si="5"/>
        <v>792949.3087557609</v>
      </c>
      <c r="K20" s="58">
        <f t="shared" si="5"/>
        <v>791186.63594470103</v>
      </c>
      <c r="L20" s="58">
        <f t="shared" si="5"/>
        <v>789228.11059907894</v>
      </c>
      <c r="M20" s="58">
        <f t="shared" si="5"/>
        <v>787073.73271889472</v>
      </c>
      <c r="N20" s="58">
        <f t="shared" si="5"/>
        <v>784644.83870967815</v>
      </c>
      <c r="O20" s="58">
        <f t="shared" si="5"/>
        <v>781942.60368663678</v>
      </c>
      <c r="P20" s="58">
        <f t="shared" si="5"/>
        <v>778968.20276497782</v>
      </c>
      <c r="Q20" s="58">
        <f t="shared" si="5"/>
        <v>775722.81105990871</v>
      </c>
      <c r="R20" s="58">
        <f t="shared" si="5"/>
        <v>772207.6036866369</v>
      </c>
      <c r="S20" s="58">
        <f t="shared" si="5"/>
        <v>768423.75576036971</v>
      </c>
      <c r="T20" s="58">
        <f t="shared" si="5"/>
        <v>764372.44239631447</v>
      </c>
      <c r="U20" s="58">
        <f t="shared" si="5"/>
        <v>760054.83870967862</v>
      </c>
      <c r="V20" s="58">
        <f t="shared" si="5"/>
        <v>755472.11981566949</v>
      </c>
      <c r="W20" s="58">
        <f t="shared" si="5"/>
        <v>750625.4608294944</v>
      </c>
      <c r="X20" s="58">
        <f t="shared" si="5"/>
        <v>745467.51152073871</v>
      </c>
      <c r="Y20" s="58">
        <f t="shared" si="5"/>
        <v>740000.23041474796</v>
      </c>
      <c r="Z20" s="58">
        <f t="shared" si="5"/>
        <v>734225.5760368678</v>
      </c>
      <c r="AA20" s="58">
        <f t="shared" si="5"/>
        <v>728145.5069124439</v>
      </c>
      <c r="AB20" s="58">
        <f t="shared" si="5"/>
        <v>721761.98156682181</v>
      </c>
      <c r="AC20" s="58">
        <f t="shared" si="5"/>
        <v>715076.95852534717</v>
      </c>
      <c r="AD20" s="58">
        <f t="shared" si="5"/>
        <v>708092.39631336567</v>
      </c>
      <c r="AE20" s="58">
        <f t="shared" si="5"/>
        <v>701006.10599078494</v>
      </c>
      <c r="AF20" s="58">
        <f t="shared" si="5"/>
        <v>693820.0460829509</v>
      </c>
      <c r="AG20" s="58">
        <f t="shared" si="5"/>
        <v>686536.17511520896</v>
      </c>
    </row>
    <row r="21" spans="1:35">
      <c r="A21" t="s">
        <v>136</v>
      </c>
      <c r="B21" s="57"/>
      <c r="C21" s="58"/>
      <c r="D21" s="58">
        <f>C21+D36-D45+D52</f>
        <v>0</v>
      </c>
      <c r="E21" s="58">
        <f t="shared" ref="E21:AG24" si="6">D21+E36-E45+E52</f>
        <v>0</v>
      </c>
      <c r="F21" s="58">
        <f t="shared" si="6"/>
        <v>0</v>
      </c>
      <c r="G21" s="58">
        <f t="shared" si="6"/>
        <v>0</v>
      </c>
      <c r="H21" s="58">
        <f t="shared" si="6"/>
        <v>0</v>
      </c>
      <c r="I21" s="58">
        <f t="shared" si="6"/>
        <v>0</v>
      </c>
      <c r="J21" s="58">
        <f t="shared" si="6"/>
        <v>0</v>
      </c>
      <c r="K21" s="58">
        <f t="shared" si="6"/>
        <v>0</v>
      </c>
      <c r="L21" s="58">
        <f t="shared" si="6"/>
        <v>0</v>
      </c>
      <c r="M21" s="58">
        <f t="shared" si="6"/>
        <v>0</v>
      </c>
      <c r="N21" s="58">
        <f t="shared" si="6"/>
        <v>52.442396313364078</v>
      </c>
      <c r="O21" s="58">
        <f t="shared" si="6"/>
        <v>156.54377880184339</v>
      </c>
      <c r="P21" s="58">
        <f t="shared" si="6"/>
        <v>311.52073732718907</v>
      </c>
      <c r="Q21" s="58">
        <f t="shared" si="6"/>
        <v>516.58986175115228</v>
      </c>
      <c r="R21" s="58">
        <f t="shared" si="6"/>
        <v>770.96774193548424</v>
      </c>
      <c r="S21" s="58">
        <f t="shared" si="6"/>
        <v>1073.8709677419361</v>
      </c>
      <c r="T21" s="58">
        <f t="shared" si="6"/>
        <v>1424.516129032259</v>
      </c>
      <c r="U21" s="58">
        <f t="shared" si="6"/>
        <v>1822.119815668204</v>
      </c>
      <c r="V21" s="58">
        <f t="shared" si="6"/>
        <v>2265.8986175115224</v>
      </c>
      <c r="W21" s="58">
        <f t="shared" si="6"/>
        <v>2755.0691244239651</v>
      </c>
      <c r="X21" s="58">
        <f t="shared" si="6"/>
        <v>3313.1105990783435</v>
      </c>
      <c r="Y21" s="58">
        <f t="shared" si="6"/>
        <v>3938.847926267284</v>
      </c>
      <c r="Z21" s="58">
        <f t="shared" si="6"/>
        <v>4631.1059907834133</v>
      </c>
      <c r="AA21" s="58">
        <f t="shared" si="6"/>
        <v>5388.7096774193587</v>
      </c>
      <c r="AB21" s="58">
        <f t="shared" si="6"/>
        <v>6210.483870967747</v>
      </c>
      <c r="AC21" s="58">
        <f t="shared" si="6"/>
        <v>7095.253456221204</v>
      </c>
      <c r="AD21" s="58">
        <f t="shared" si="6"/>
        <v>8041.843317972357</v>
      </c>
      <c r="AE21" s="58">
        <f t="shared" si="6"/>
        <v>9049.0783410138338</v>
      </c>
      <c r="AF21" s="58">
        <f t="shared" si="6"/>
        <v>10115.78341013826</v>
      </c>
      <c r="AG21" s="58">
        <f t="shared" si="6"/>
        <v>11240.78341013826</v>
      </c>
    </row>
    <row r="22" spans="1:35">
      <c r="A22" t="s">
        <v>129</v>
      </c>
      <c r="B22" s="57">
        <f>B$12*B15</f>
        <v>0</v>
      </c>
      <c r="D22" s="58">
        <f>C22+D37-D46+D53</f>
        <v>0</v>
      </c>
      <c r="E22" s="58">
        <f t="shared" si="6"/>
        <v>0</v>
      </c>
      <c r="F22" s="58">
        <f t="shared" si="6"/>
        <v>0</v>
      </c>
      <c r="G22" s="58">
        <f t="shared" si="6"/>
        <v>0</v>
      </c>
      <c r="H22" s="58">
        <f t="shared" si="6"/>
        <v>0</v>
      </c>
      <c r="I22" s="58">
        <f t="shared" si="6"/>
        <v>0</v>
      </c>
      <c r="J22" s="58">
        <f t="shared" si="6"/>
        <v>0</v>
      </c>
      <c r="K22" s="58">
        <f t="shared" si="6"/>
        <v>0</v>
      </c>
      <c r="L22" s="58">
        <f t="shared" si="6"/>
        <v>0</v>
      </c>
      <c r="M22" s="58">
        <f t="shared" si="6"/>
        <v>0</v>
      </c>
      <c r="N22" s="58">
        <f t="shared" si="6"/>
        <v>26.221198156682039</v>
      </c>
      <c r="O22" s="58">
        <f t="shared" si="6"/>
        <v>78.271889400921694</v>
      </c>
      <c r="P22" s="58">
        <f t="shared" si="6"/>
        <v>155.76036866359453</v>
      </c>
      <c r="Q22" s="58">
        <f t="shared" si="6"/>
        <v>258.29493087557614</v>
      </c>
      <c r="R22" s="58">
        <f t="shared" si="6"/>
        <v>385.48387096774212</v>
      </c>
      <c r="S22" s="58">
        <f t="shared" si="6"/>
        <v>536.93548387096803</v>
      </c>
      <c r="T22" s="58">
        <f t="shared" si="6"/>
        <v>712.25806451612948</v>
      </c>
      <c r="U22" s="58">
        <f t="shared" si="6"/>
        <v>911.05990783410198</v>
      </c>
      <c r="V22" s="58">
        <f t="shared" si="6"/>
        <v>1132.9493087557612</v>
      </c>
      <c r="W22" s="58">
        <f t="shared" si="6"/>
        <v>1377.5345622119826</v>
      </c>
      <c r="X22" s="58">
        <f t="shared" si="6"/>
        <v>1668.6866359447017</v>
      </c>
      <c r="Y22" s="58">
        <f t="shared" si="6"/>
        <v>2005.6221198156697</v>
      </c>
      <c r="Z22" s="58">
        <f t="shared" si="6"/>
        <v>2387.5576036866378</v>
      </c>
      <c r="AA22" s="58">
        <f t="shared" si="6"/>
        <v>2813.7096774193569</v>
      </c>
      <c r="AB22" s="58">
        <f t="shared" si="6"/>
        <v>3283.2949308755788</v>
      </c>
      <c r="AC22" s="58">
        <f t="shared" si="6"/>
        <v>3795.5299539170537</v>
      </c>
      <c r="AD22" s="58">
        <f t="shared" si="6"/>
        <v>4349.6313364055331</v>
      </c>
      <c r="AE22" s="58">
        <f t="shared" si="6"/>
        <v>4944.8156682027684</v>
      </c>
      <c r="AF22" s="58">
        <f t="shared" si="6"/>
        <v>5580.2995391705108</v>
      </c>
      <c r="AG22" s="58">
        <f t="shared" si="6"/>
        <v>6255.2995391705108</v>
      </c>
    </row>
    <row r="23" spans="1:35">
      <c r="A23" t="s">
        <v>131</v>
      </c>
      <c r="B23" s="57">
        <f>B$12*B16</f>
        <v>0</v>
      </c>
      <c r="D23" s="58">
        <f>C23+D38-D47+D54</f>
        <v>0</v>
      </c>
      <c r="E23" s="58">
        <f t="shared" si="6"/>
        <v>0</v>
      </c>
      <c r="F23" s="58">
        <f t="shared" si="6"/>
        <v>0</v>
      </c>
      <c r="G23" s="58">
        <f t="shared" si="6"/>
        <v>0</v>
      </c>
      <c r="H23" s="58">
        <f t="shared" si="6"/>
        <v>0</v>
      </c>
      <c r="I23" s="58">
        <f t="shared" si="6"/>
        <v>0</v>
      </c>
      <c r="J23" s="58">
        <f t="shared" si="6"/>
        <v>0</v>
      </c>
      <c r="K23" s="58">
        <f t="shared" si="6"/>
        <v>0</v>
      </c>
      <c r="L23" s="58">
        <f t="shared" si="6"/>
        <v>0</v>
      </c>
      <c r="M23" s="58">
        <f t="shared" si="6"/>
        <v>0</v>
      </c>
      <c r="N23" s="58">
        <f t="shared" si="6"/>
        <v>0</v>
      </c>
      <c r="O23" s="58">
        <f t="shared" si="6"/>
        <v>0</v>
      </c>
      <c r="P23" s="58">
        <f t="shared" si="6"/>
        <v>0</v>
      </c>
      <c r="Q23" s="58">
        <f t="shared" si="6"/>
        <v>0</v>
      </c>
      <c r="R23" s="58">
        <f t="shared" si="6"/>
        <v>0</v>
      </c>
      <c r="S23" s="58">
        <f t="shared" si="6"/>
        <v>0</v>
      </c>
      <c r="T23" s="58">
        <f t="shared" si="6"/>
        <v>0</v>
      </c>
      <c r="U23" s="58">
        <f t="shared" si="6"/>
        <v>0</v>
      </c>
      <c r="V23" s="58">
        <f t="shared" si="6"/>
        <v>0</v>
      </c>
      <c r="W23" s="58">
        <f t="shared" si="6"/>
        <v>0</v>
      </c>
      <c r="X23" s="58">
        <f t="shared" si="6"/>
        <v>0</v>
      </c>
      <c r="Y23" s="58">
        <f t="shared" si="6"/>
        <v>0</v>
      </c>
      <c r="Z23" s="58">
        <f t="shared" si="6"/>
        <v>0</v>
      </c>
      <c r="AA23" s="58">
        <f t="shared" si="6"/>
        <v>0</v>
      </c>
      <c r="AB23" s="58">
        <f t="shared" si="6"/>
        <v>0</v>
      </c>
      <c r="AC23" s="58">
        <f t="shared" si="6"/>
        <v>0</v>
      </c>
      <c r="AD23" s="58">
        <f t="shared" si="6"/>
        <v>0</v>
      </c>
      <c r="AE23" s="58">
        <f t="shared" si="6"/>
        <v>0</v>
      </c>
      <c r="AF23" s="58">
        <f t="shared" si="6"/>
        <v>0</v>
      </c>
      <c r="AG23" s="58">
        <f t="shared" si="6"/>
        <v>0</v>
      </c>
    </row>
    <row r="24" spans="1:35">
      <c r="A24" t="s">
        <v>133</v>
      </c>
      <c r="B24" s="57">
        <f>B$12*B17</f>
        <v>0</v>
      </c>
      <c r="D24" s="58">
        <f>C24+D39-D48+D55</f>
        <v>0</v>
      </c>
      <c r="E24" s="58">
        <f t="shared" si="6"/>
        <v>0</v>
      </c>
      <c r="F24" s="58">
        <f t="shared" si="6"/>
        <v>0</v>
      </c>
      <c r="G24" s="58">
        <f t="shared" si="6"/>
        <v>0</v>
      </c>
      <c r="H24" s="58">
        <f t="shared" si="6"/>
        <v>0</v>
      </c>
      <c r="I24" s="58">
        <f t="shared" si="6"/>
        <v>0</v>
      </c>
      <c r="J24" s="58">
        <f t="shared" si="6"/>
        <v>0</v>
      </c>
      <c r="K24" s="58">
        <f t="shared" si="6"/>
        <v>0</v>
      </c>
      <c r="L24" s="58">
        <f t="shared" si="6"/>
        <v>0</v>
      </c>
      <c r="M24" s="58">
        <f t="shared" si="6"/>
        <v>0</v>
      </c>
      <c r="N24" s="58">
        <f t="shared" si="6"/>
        <v>0</v>
      </c>
      <c r="O24" s="58">
        <f t="shared" si="6"/>
        <v>0</v>
      </c>
      <c r="P24" s="58">
        <f t="shared" si="6"/>
        <v>0</v>
      </c>
      <c r="Q24" s="58">
        <f t="shared" si="6"/>
        <v>0</v>
      </c>
      <c r="R24" s="58">
        <f t="shared" si="6"/>
        <v>0</v>
      </c>
      <c r="S24" s="58">
        <f t="shared" si="6"/>
        <v>0</v>
      </c>
      <c r="T24" s="58">
        <f t="shared" si="6"/>
        <v>0</v>
      </c>
      <c r="U24" s="58">
        <f t="shared" si="6"/>
        <v>0</v>
      </c>
      <c r="V24" s="58">
        <f t="shared" si="6"/>
        <v>0</v>
      </c>
      <c r="W24" s="58">
        <f t="shared" si="6"/>
        <v>0</v>
      </c>
      <c r="X24" s="58">
        <f t="shared" si="6"/>
        <v>0</v>
      </c>
      <c r="Y24" s="58">
        <f t="shared" si="6"/>
        <v>0</v>
      </c>
      <c r="Z24" s="58">
        <f t="shared" si="6"/>
        <v>0</v>
      </c>
      <c r="AA24" s="58">
        <f t="shared" si="6"/>
        <v>0</v>
      </c>
      <c r="AB24" s="58">
        <f t="shared" si="6"/>
        <v>0</v>
      </c>
      <c r="AC24" s="58">
        <f t="shared" si="6"/>
        <v>0</v>
      </c>
      <c r="AD24" s="58">
        <f t="shared" si="6"/>
        <v>0</v>
      </c>
      <c r="AE24" s="58">
        <f t="shared" si="6"/>
        <v>0</v>
      </c>
      <c r="AF24" s="58">
        <f t="shared" si="6"/>
        <v>0</v>
      </c>
      <c r="AG24" s="58">
        <f t="shared" si="6"/>
        <v>0</v>
      </c>
    </row>
    <row r="25" spans="1:35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</row>
    <row r="26" spans="1:35">
      <c r="A26" s="133" t="s">
        <v>137</v>
      </c>
      <c r="B26" s="133"/>
      <c r="C26" s="133"/>
    </row>
    <row r="27" spans="1:35">
      <c r="A27" t="s">
        <v>135</v>
      </c>
      <c r="B27" s="58">
        <f>AI8</f>
        <v>28571.428571428572</v>
      </c>
      <c r="C27" s="28">
        <f>B27+($AG27-$B27)/31</f>
        <v>28375.576036866361</v>
      </c>
      <c r="D27" s="28">
        <f t="shared" ref="D27:AF27" si="7">C27+($AG27-$B27)/31</f>
        <v>28179.72350230415</v>
      </c>
      <c r="E27" s="28">
        <f t="shared" si="7"/>
        <v>27983.870967741939</v>
      </c>
      <c r="F27" s="28">
        <f t="shared" si="7"/>
        <v>27788.018433179728</v>
      </c>
      <c r="G27" s="28">
        <f t="shared" si="7"/>
        <v>27592.165898617517</v>
      </c>
      <c r="H27" s="28">
        <f t="shared" si="7"/>
        <v>27396.313364055306</v>
      </c>
      <c r="I27" s="28">
        <f t="shared" si="7"/>
        <v>27200.460829493095</v>
      </c>
      <c r="J27" s="28">
        <f t="shared" si="7"/>
        <v>27004.608294930884</v>
      </c>
      <c r="K27" s="28">
        <f t="shared" si="7"/>
        <v>26808.755760368673</v>
      </c>
      <c r="L27" s="28">
        <f t="shared" si="7"/>
        <v>26612.903225806462</v>
      </c>
      <c r="M27" s="28">
        <f t="shared" si="7"/>
        <v>26417.050691244251</v>
      </c>
      <c r="N27" s="28">
        <f t="shared" si="7"/>
        <v>26221.19815668204</v>
      </c>
      <c r="O27" s="28">
        <f t="shared" si="7"/>
        <v>26025.345622119828</v>
      </c>
      <c r="P27" s="28">
        <f t="shared" si="7"/>
        <v>25829.493087557617</v>
      </c>
      <c r="Q27" s="28">
        <f t="shared" si="7"/>
        <v>25633.640552995406</v>
      </c>
      <c r="R27" s="28">
        <f t="shared" si="7"/>
        <v>25437.788018433195</v>
      </c>
      <c r="S27" s="28">
        <f t="shared" si="7"/>
        <v>25241.935483870984</v>
      </c>
      <c r="T27" s="28">
        <f t="shared" si="7"/>
        <v>25046.082949308773</v>
      </c>
      <c r="U27" s="28">
        <f t="shared" si="7"/>
        <v>24850.230414746562</v>
      </c>
      <c r="V27" s="28">
        <f t="shared" si="7"/>
        <v>24654.377880184351</v>
      </c>
      <c r="W27" s="28">
        <f t="shared" si="7"/>
        <v>24458.52534562214</v>
      </c>
      <c r="X27" s="28">
        <f t="shared" si="7"/>
        <v>24262.672811059929</v>
      </c>
      <c r="Y27" s="28">
        <f t="shared" si="7"/>
        <v>24066.820276497718</v>
      </c>
      <c r="Z27" s="28">
        <f t="shared" si="7"/>
        <v>23870.967741935507</v>
      </c>
      <c r="AA27" s="28">
        <f t="shared" si="7"/>
        <v>23675.115207373296</v>
      </c>
      <c r="AB27" s="28">
        <f t="shared" si="7"/>
        <v>23479.262672811084</v>
      </c>
      <c r="AC27" s="28">
        <f t="shared" si="7"/>
        <v>23283.410138248873</v>
      </c>
      <c r="AD27" s="28">
        <f t="shared" si="7"/>
        <v>23087.557603686662</v>
      </c>
      <c r="AE27" s="28">
        <f t="shared" si="7"/>
        <v>22891.705069124451</v>
      </c>
      <c r="AF27" s="28">
        <f t="shared" si="7"/>
        <v>22695.85253456224</v>
      </c>
      <c r="AG27" s="61">
        <v>22500</v>
      </c>
      <c r="AI27" t="s">
        <v>164</v>
      </c>
    </row>
    <row r="28" spans="1:35">
      <c r="A28" t="s">
        <v>127</v>
      </c>
      <c r="B28" s="43">
        <v>1</v>
      </c>
      <c r="C28" s="43">
        <f>B28</f>
        <v>1</v>
      </c>
      <c r="D28" s="43">
        <f>C28+($H28-$C28)*1/5</f>
        <v>1</v>
      </c>
      <c r="E28" s="43">
        <f t="shared" ref="E28:G28" si="8">D28+($H28-$C28)*1/5</f>
        <v>1</v>
      </c>
      <c r="F28" s="43">
        <f t="shared" si="8"/>
        <v>1</v>
      </c>
      <c r="G28" s="43">
        <f t="shared" si="8"/>
        <v>1</v>
      </c>
      <c r="H28" s="62">
        <v>1</v>
      </c>
      <c r="I28" s="43">
        <f>H28+($M28-$H28)*1/5</f>
        <v>1</v>
      </c>
      <c r="J28" s="43">
        <f t="shared" ref="J28:L28" si="9">I28+($M28-$H28)*1/5</f>
        <v>1</v>
      </c>
      <c r="K28" s="43">
        <f t="shared" si="9"/>
        <v>1</v>
      </c>
      <c r="L28" s="43">
        <f t="shared" si="9"/>
        <v>1</v>
      </c>
      <c r="M28" s="62">
        <v>1</v>
      </c>
      <c r="N28" s="43">
        <f>M28+($W28-$M28)*1/10</f>
        <v>0.997</v>
      </c>
      <c r="O28" s="43">
        <f t="shared" ref="O28:V28" si="10">N28+($W28-$M28)*1/10</f>
        <v>0.99399999999999999</v>
      </c>
      <c r="P28" s="43">
        <f t="shared" si="10"/>
        <v>0.99099999999999999</v>
      </c>
      <c r="Q28" s="43">
        <f t="shared" si="10"/>
        <v>0.98799999999999999</v>
      </c>
      <c r="R28" s="43">
        <f t="shared" si="10"/>
        <v>0.98499999999999999</v>
      </c>
      <c r="S28" s="43">
        <f t="shared" si="10"/>
        <v>0.98199999999999998</v>
      </c>
      <c r="T28" s="43">
        <f t="shared" si="10"/>
        <v>0.97899999999999998</v>
      </c>
      <c r="U28" s="43">
        <f t="shared" si="10"/>
        <v>0.97599999999999998</v>
      </c>
      <c r="V28" s="43">
        <f t="shared" si="10"/>
        <v>0.97299999999999998</v>
      </c>
      <c r="W28" s="62">
        <v>0.97</v>
      </c>
      <c r="X28" s="43">
        <f>W28+($AG28-$W28)*1/10</f>
        <v>0.96499999999999997</v>
      </c>
      <c r="Y28" s="43">
        <f t="shared" ref="Y28:AF28" si="11">X28+($AG28-$W28)*1/10</f>
        <v>0.96</v>
      </c>
      <c r="Z28" s="43">
        <f t="shared" si="11"/>
        <v>0.95499999999999996</v>
      </c>
      <c r="AA28" s="43">
        <f t="shared" si="11"/>
        <v>0.95</v>
      </c>
      <c r="AB28" s="43">
        <f t="shared" si="11"/>
        <v>0.94499999999999995</v>
      </c>
      <c r="AC28" s="43">
        <f t="shared" si="11"/>
        <v>0.94</v>
      </c>
      <c r="AD28" s="43">
        <f t="shared" si="11"/>
        <v>0.93499999999999994</v>
      </c>
      <c r="AE28" s="43">
        <f t="shared" si="11"/>
        <v>0.92999999999999994</v>
      </c>
      <c r="AF28" s="43">
        <f t="shared" si="11"/>
        <v>0.92499999999999993</v>
      </c>
      <c r="AG28" s="62">
        <v>0.92</v>
      </c>
      <c r="AI28" t="s">
        <v>161</v>
      </c>
    </row>
    <row r="29" spans="1:35">
      <c r="A29" t="s">
        <v>136</v>
      </c>
      <c r="B29" s="43"/>
      <c r="C29" s="43"/>
      <c r="D29" s="43">
        <f t="shared" ref="D29:G32" si="12">C29+($H29-$C29)*1/5</f>
        <v>0</v>
      </c>
      <c r="E29" s="43">
        <f t="shared" si="12"/>
        <v>0</v>
      </c>
      <c r="F29" s="43">
        <f t="shared" si="12"/>
        <v>0</v>
      </c>
      <c r="G29" s="43">
        <f t="shared" si="12"/>
        <v>0</v>
      </c>
      <c r="H29" s="62">
        <v>0</v>
      </c>
      <c r="I29" s="43">
        <f t="shared" ref="I29:L32" si="13">H29+($M29-$H29)*1/5</f>
        <v>0</v>
      </c>
      <c r="J29" s="43">
        <f t="shared" si="13"/>
        <v>0</v>
      </c>
      <c r="K29" s="43">
        <f t="shared" si="13"/>
        <v>0</v>
      </c>
      <c r="L29" s="43">
        <f t="shared" si="13"/>
        <v>0</v>
      </c>
      <c r="M29" s="62">
        <v>0</v>
      </c>
      <c r="N29" s="43">
        <f t="shared" ref="N29:V32" si="14">M29+($W29-$M29)*1/10</f>
        <v>2E-3</v>
      </c>
      <c r="O29" s="43">
        <f t="shared" si="14"/>
        <v>4.0000000000000001E-3</v>
      </c>
      <c r="P29" s="43">
        <f t="shared" si="14"/>
        <v>6.0000000000000001E-3</v>
      </c>
      <c r="Q29" s="43">
        <f t="shared" si="14"/>
        <v>8.0000000000000002E-3</v>
      </c>
      <c r="R29" s="43">
        <f t="shared" si="14"/>
        <v>0.01</v>
      </c>
      <c r="S29" s="43">
        <f t="shared" si="14"/>
        <v>1.2E-2</v>
      </c>
      <c r="T29" s="43">
        <f t="shared" si="14"/>
        <v>1.4E-2</v>
      </c>
      <c r="U29" s="43">
        <f t="shared" si="14"/>
        <v>1.6E-2</v>
      </c>
      <c r="V29" s="43">
        <f t="shared" si="14"/>
        <v>1.8000000000000002E-2</v>
      </c>
      <c r="W29" s="62">
        <v>0.02</v>
      </c>
      <c r="X29" s="43">
        <f t="shared" ref="X29:AF32" si="15">W29+($AG29-$W29)*1/10</f>
        <v>2.3E-2</v>
      </c>
      <c r="Y29" s="43">
        <f t="shared" si="15"/>
        <v>2.5999999999999999E-2</v>
      </c>
      <c r="Z29" s="43">
        <f t="shared" si="15"/>
        <v>2.8999999999999998E-2</v>
      </c>
      <c r="AA29" s="43">
        <f t="shared" si="15"/>
        <v>3.2000000000000001E-2</v>
      </c>
      <c r="AB29" s="43">
        <f t="shared" si="15"/>
        <v>3.5000000000000003E-2</v>
      </c>
      <c r="AC29" s="43">
        <f t="shared" si="15"/>
        <v>3.8000000000000006E-2</v>
      </c>
      <c r="AD29" s="43">
        <f t="shared" si="15"/>
        <v>4.1000000000000009E-2</v>
      </c>
      <c r="AE29" s="43">
        <f t="shared" si="15"/>
        <v>4.4000000000000011E-2</v>
      </c>
      <c r="AF29" s="43">
        <f t="shared" si="15"/>
        <v>4.7000000000000014E-2</v>
      </c>
      <c r="AG29" s="62">
        <v>0.05</v>
      </c>
      <c r="AI29" t="s">
        <v>162</v>
      </c>
    </row>
    <row r="30" spans="1:35">
      <c r="A30" t="s">
        <v>129</v>
      </c>
      <c r="D30" s="43">
        <f t="shared" si="12"/>
        <v>0</v>
      </c>
      <c r="E30" s="43">
        <f t="shared" si="12"/>
        <v>0</v>
      </c>
      <c r="F30" s="43">
        <f t="shared" si="12"/>
        <v>0</v>
      </c>
      <c r="G30" s="43">
        <f t="shared" si="12"/>
        <v>0</v>
      </c>
      <c r="H30" s="62">
        <v>0</v>
      </c>
      <c r="I30" s="43">
        <f t="shared" si="13"/>
        <v>0</v>
      </c>
      <c r="J30" s="43">
        <f t="shared" si="13"/>
        <v>0</v>
      </c>
      <c r="K30" s="43">
        <f t="shared" si="13"/>
        <v>0</v>
      </c>
      <c r="L30" s="43">
        <f t="shared" si="13"/>
        <v>0</v>
      </c>
      <c r="M30" s="62">
        <v>0</v>
      </c>
      <c r="N30" s="43">
        <f t="shared" si="14"/>
        <v>1E-3</v>
      </c>
      <c r="O30" s="43">
        <f t="shared" si="14"/>
        <v>2E-3</v>
      </c>
      <c r="P30" s="43">
        <f t="shared" si="14"/>
        <v>3.0000000000000001E-3</v>
      </c>
      <c r="Q30" s="43">
        <f t="shared" si="14"/>
        <v>4.0000000000000001E-3</v>
      </c>
      <c r="R30" s="43">
        <f t="shared" si="14"/>
        <v>5.0000000000000001E-3</v>
      </c>
      <c r="S30" s="43">
        <f t="shared" si="14"/>
        <v>6.0000000000000001E-3</v>
      </c>
      <c r="T30" s="43">
        <f t="shared" si="14"/>
        <v>7.0000000000000001E-3</v>
      </c>
      <c r="U30" s="43">
        <f t="shared" si="14"/>
        <v>8.0000000000000002E-3</v>
      </c>
      <c r="V30" s="43">
        <f t="shared" si="14"/>
        <v>9.0000000000000011E-3</v>
      </c>
      <c r="W30" s="62">
        <v>0.01</v>
      </c>
      <c r="X30" s="43">
        <f t="shared" si="15"/>
        <v>1.2E-2</v>
      </c>
      <c r="Y30" s="43">
        <f t="shared" si="15"/>
        <v>1.4E-2</v>
      </c>
      <c r="Z30" s="43">
        <f t="shared" si="15"/>
        <v>1.6E-2</v>
      </c>
      <c r="AA30" s="43">
        <f t="shared" si="15"/>
        <v>1.7999999999999999E-2</v>
      </c>
      <c r="AB30" s="43">
        <f t="shared" si="15"/>
        <v>1.9999999999999997E-2</v>
      </c>
      <c r="AC30" s="43">
        <f t="shared" si="15"/>
        <v>2.1999999999999995E-2</v>
      </c>
      <c r="AD30" s="43">
        <f t="shared" si="15"/>
        <v>2.3999999999999994E-2</v>
      </c>
      <c r="AE30" s="43">
        <f t="shared" si="15"/>
        <v>2.5999999999999992E-2</v>
      </c>
      <c r="AF30" s="43">
        <f t="shared" si="15"/>
        <v>2.799999999999999E-2</v>
      </c>
      <c r="AG30" s="62">
        <v>0.03</v>
      </c>
    </row>
    <row r="31" spans="1:35">
      <c r="A31" t="s">
        <v>131</v>
      </c>
      <c r="D31" s="43">
        <f t="shared" si="12"/>
        <v>0</v>
      </c>
      <c r="E31" s="43">
        <f t="shared" si="12"/>
        <v>0</v>
      </c>
      <c r="F31" s="43">
        <f t="shared" si="12"/>
        <v>0</v>
      </c>
      <c r="G31" s="43">
        <f t="shared" si="12"/>
        <v>0</v>
      </c>
      <c r="H31" s="62">
        <v>0</v>
      </c>
      <c r="I31" s="43">
        <f t="shared" si="13"/>
        <v>0</v>
      </c>
      <c r="J31" s="43">
        <f t="shared" si="13"/>
        <v>0</v>
      </c>
      <c r="K31" s="43">
        <f t="shared" si="13"/>
        <v>0</v>
      </c>
      <c r="L31" s="43">
        <f t="shared" si="13"/>
        <v>0</v>
      </c>
      <c r="M31" s="62">
        <v>0</v>
      </c>
      <c r="N31" s="43">
        <f t="shared" si="14"/>
        <v>0</v>
      </c>
      <c r="O31" s="43">
        <f t="shared" si="14"/>
        <v>0</v>
      </c>
      <c r="P31" s="43">
        <f t="shared" si="14"/>
        <v>0</v>
      </c>
      <c r="Q31" s="43">
        <f t="shared" si="14"/>
        <v>0</v>
      </c>
      <c r="R31" s="43">
        <f t="shared" si="14"/>
        <v>0</v>
      </c>
      <c r="S31" s="43">
        <f t="shared" si="14"/>
        <v>0</v>
      </c>
      <c r="T31" s="43">
        <f t="shared" si="14"/>
        <v>0</v>
      </c>
      <c r="U31" s="43">
        <f t="shared" si="14"/>
        <v>0</v>
      </c>
      <c r="V31" s="43">
        <f t="shared" si="14"/>
        <v>0</v>
      </c>
      <c r="W31" s="62">
        <v>0</v>
      </c>
      <c r="X31" s="43">
        <f t="shared" si="15"/>
        <v>0</v>
      </c>
      <c r="Y31" s="43">
        <f t="shared" si="15"/>
        <v>0</v>
      </c>
      <c r="Z31" s="43">
        <f t="shared" si="15"/>
        <v>0</v>
      </c>
      <c r="AA31" s="43">
        <f t="shared" si="15"/>
        <v>0</v>
      </c>
      <c r="AB31" s="43">
        <f t="shared" si="15"/>
        <v>0</v>
      </c>
      <c r="AC31" s="43">
        <f t="shared" si="15"/>
        <v>0</v>
      </c>
      <c r="AD31" s="43">
        <f t="shared" si="15"/>
        <v>0</v>
      </c>
      <c r="AE31" s="43">
        <f t="shared" si="15"/>
        <v>0</v>
      </c>
      <c r="AF31" s="43">
        <f t="shared" si="15"/>
        <v>0</v>
      </c>
      <c r="AG31" s="62">
        <v>0</v>
      </c>
    </row>
    <row r="32" spans="1:35">
      <c r="A32" t="s">
        <v>133</v>
      </c>
      <c r="D32" s="43">
        <f t="shared" si="12"/>
        <v>0</v>
      </c>
      <c r="E32" s="43">
        <f t="shared" si="12"/>
        <v>0</v>
      </c>
      <c r="F32" s="43">
        <f t="shared" si="12"/>
        <v>0</v>
      </c>
      <c r="G32" s="43">
        <f t="shared" si="12"/>
        <v>0</v>
      </c>
      <c r="H32" s="62">
        <v>0</v>
      </c>
      <c r="I32" s="43">
        <f t="shared" si="13"/>
        <v>0</v>
      </c>
      <c r="J32" s="43">
        <f t="shared" si="13"/>
        <v>0</v>
      </c>
      <c r="K32" s="43">
        <f t="shared" si="13"/>
        <v>0</v>
      </c>
      <c r="L32" s="43">
        <f t="shared" si="13"/>
        <v>0</v>
      </c>
      <c r="M32" s="62">
        <v>0</v>
      </c>
      <c r="N32" s="43">
        <f t="shared" si="14"/>
        <v>0</v>
      </c>
      <c r="O32" s="43">
        <f t="shared" si="14"/>
        <v>0</v>
      </c>
      <c r="P32" s="43">
        <f t="shared" si="14"/>
        <v>0</v>
      </c>
      <c r="Q32" s="43">
        <f t="shared" si="14"/>
        <v>0</v>
      </c>
      <c r="R32" s="43">
        <f t="shared" si="14"/>
        <v>0</v>
      </c>
      <c r="S32" s="43">
        <f t="shared" si="14"/>
        <v>0</v>
      </c>
      <c r="T32" s="43">
        <f t="shared" si="14"/>
        <v>0</v>
      </c>
      <c r="U32" s="43">
        <f t="shared" si="14"/>
        <v>0</v>
      </c>
      <c r="V32" s="43">
        <f t="shared" si="14"/>
        <v>0</v>
      </c>
      <c r="W32" s="62">
        <v>0</v>
      </c>
      <c r="X32" s="43">
        <f t="shared" si="15"/>
        <v>0</v>
      </c>
      <c r="Y32" s="43">
        <f t="shared" si="15"/>
        <v>0</v>
      </c>
      <c r="Z32" s="43">
        <f t="shared" si="15"/>
        <v>0</v>
      </c>
      <c r="AA32" s="43">
        <f t="shared" si="15"/>
        <v>0</v>
      </c>
      <c r="AB32" s="43">
        <f t="shared" si="15"/>
        <v>0</v>
      </c>
      <c r="AC32" s="43">
        <f t="shared" si="15"/>
        <v>0</v>
      </c>
      <c r="AD32" s="43">
        <f t="shared" si="15"/>
        <v>0</v>
      </c>
      <c r="AE32" s="43">
        <f t="shared" si="15"/>
        <v>0</v>
      </c>
      <c r="AF32" s="43">
        <f t="shared" si="15"/>
        <v>0</v>
      </c>
      <c r="AG32" s="62">
        <v>0</v>
      </c>
      <c r="AI32" t="s">
        <v>163</v>
      </c>
    </row>
    <row r="33" spans="1:35">
      <c r="B33" s="63">
        <f>SUM(B28:B32)</f>
        <v>1</v>
      </c>
      <c r="C33" s="63">
        <f t="shared" ref="C33:AG33" si="16">SUM(C28:C32)</f>
        <v>1</v>
      </c>
      <c r="D33" s="63">
        <f t="shared" si="16"/>
        <v>1</v>
      </c>
      <c r="E33" s="63">
        <f t="shared" si="16"/>
        <v>1</v>
      </c>
      <c r="F33" s="63">
        <f t="shared" si="16"/>
        <v>1</v>
      </c>
      <c r="G33" s="63">
        <f t="shared" si="16"/>
        <v>1</v>
      </c>
      <c r="H33" s="63">
        <f t="shared" si="16"/>
        <v>1</v>
      </c>
      <c r="I33" s="63">
        <f t="shared" si="16"/>
        <v>1</v>
      </c>
      <c r="J33" s="63">
        <f t="shared" si="16"/>
        <v>1</v>
      </c>
      <c r="K33" s="63">
        <f t="shared" si="16"/>
        <v>1</v>
      </c>
      <c r="L33" s="63">
        <f t="shared" si="16"/>
        <v>1</v>
      </c>
      <c r="M33" s="63">
        <f t="shared" si="16"/>
        <v>1</v>
      </c>
      <c r="N33" s="63">
        <f t="shared" si="16"/>
        <v>1</v>
      </c>
      <c r="O33" s="63">
        <f t="shared" si="16"/>
        <v>1</v>
      </c>
      <c r="P33" s="63">
        <f t="shared" si="16"/>
        <v>1</v>
      </c>
      <c r="Q33" s="63">
        <f t="shared" si="16"/>
        <v>1</v>
      </c>
      <c r="R33" s="63">
        <f t="shared" si="16"/>
        <v>1</v>
      </c>
      <c r="S33" s="63">
        <f t="shared" si="16"/>
        <v>1</v>
      </c>
      <c r="T33" s="63">
        <f t="shared" si="16"/>
        <v>1</v>
      </c>
      <c r="U33" s="63">
        <f t="shared" si="16"/>
        <v>1</v>
      </c>
      <c r="V33" s="63">
        <f t="shared" si="16"/>
        <v>1</v>
      </c>
      <c r="W33" s="63">
        <f t="shared" si="16"/>
        <v>1</v>
      </c>
      <c r="X33" s="63">
        <f t="shared" si="16"/>
        <v>1</v>
      </c>
      <c r="Y33" s="63">
        <f t="shared" si="16"/>
        <v>1</v>
      </c>
      <c r="Z33" s="63">
        <f t="shared" si="16"/>
        <v>1</v>
      </c>
      <c r="AA33" s="63">
        <f t="shared" si="16"/>
        <v>1</v>
      </c>
      <c r="AB33" s="63">
        <f t="shared" si="16"/>
        <v>1</v>
      </c>
      <c r="AC33" s="63">
        <f t="shared" si="16"/>
        <v>1</v>
      </c>
      <c r="AD33" s="63">
        <f t="shared" si="16"/>
        <v>1</v>
      </c>
      <c r="AE33" s="63">
        <f t="shared" si="16"/>
        <v>1</v>
      </c>
      <c r="AF33" s="63">
        <f t="shared" si="16"/>
        <v>1</v>
      </c>
      <c r="AG33" s="63">
        <f t="shared" si="16"/>
        <v>1</v>
      </c>
    </row>
    <row r="34" spans="1:35"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</row>
    <row r="35" spans="1:35">
      <c r="A35" t="s">
        <v>127</v>
      </c>
      <c r="B35" s="57">
        <f t="shared" ref="B35:AG39" si="17">B$27*B28</f>
        <v>28571.428571428572</v>
      </c>
      <c r="C35" s="57">
        <f t="shared" si="17"/>
        <v>28375.576036866361</v>
      </c>
      <c r="D35" s="57">
        <f t="shared" si="17"/>
        <v>28179.72350230415</v>
      </c>
      <c r="E35" s="57">
        <f t="shared" si="17"/>
        <v>27983.870967741939</v>
      </c>
      <c r="F35" s="57">
        <f t="shared" si="17"/>
        <v>27788.018433179728</v>
      </c>
      <c r="G35" s="57">
        <f t="shared" si="17"/>
        <v>27592.165898617517</v>
      </c>
      <c r="H35" s="57">
        <f t="shared" si="17"/>
        <v>27396.313364055306</v>
      </c>
      <c r="I35" s="57">
        <f t="shared" si="17"/>
        <v>27200.460829493095</v>
      </c>
      <c r="J35" s="57">
        <f t="shared" si="17"/>
        <v>27004.608294930884</v>
      </c>
      <c r="K35" s="57">
        <f t="shared" si="17"/>
        <v>26808.755760368673</v>
      </c>
      <c r="L35" s="57">
        <f t="shared" si="17"/>
        <v>26612.903225806462</v>
      </c>
      <c r="M35" s="57">
        <f t="shared" si="17"/>
        <v>26417.050691244251</v>
      </c>
      <c r="N35" s="57">
        <f t="shared" si="17"/>
        <v>26142.534562211993</v>
      </c>
      <c r="O35" s="57">
        <f t="shared" si="17"/>
        <v>25869.193548387109</v>
      </c>
      <c r="P35" s="57">
        <f t="shared" si="17"/>
        <v>25597.0276497696</v>
      </c>
      <c r="Q35" s="57">
        <f t="shared" si="17"/>
        <v>25326.03686635946</v>
      </c>
      <c r="R35" s="57">
        <f t="shared" si="17"/>
        <v>25056.221198156698</v>
      </c>
      <c r="S35" s="57">
        <f t="shared" si="17"/>
        <v>24787.580645161306</v>
      </c>
      <c r="T35" s="57">
        <f t="shared" si="17"/>
        <v>24520.115207373288</v>
      </c>
      <c r="U35" s="57">
        <f t="shared" si="17"/>
        <v>24253.824884792644</v>
      </c>
      <c r="V35" s="57">
        <f t="shared" si="17"/>
        <v>23988.709677419374</v>
      </c>
      <c r="W35" s="57">
        <f t="shared" si="17"/>
        <v>23724.769585253474</v>
      </c>
      <c r="X35" s="57">
        <f t="shared" si="17"/>
        <v>23413.47926267283</v>
      </c>
      <c r="Y35" s="57">
        <f t="shared" si="17"/>
        <v>23104.147465437807</v>
      </c>
      <c r="Z35" s="57">
        <f t="shared" si="17"/>
        <v>22796.774193548408</v>
      </c>
      <c r="AA35" s="57">
        <f t="shared" si="17"/>
        <v>22491.35944700463</v>
      </c>
      <c r="AB35" s="57">
        <f t="shared" si="17"/>
        <v>22187.903225806473</v>
      </c>
      <c r="AC35" s="57">
        <f t="shared" si="17"/>
        <v>21886.40552995394</v>
      </c>
      <c r="AD35" s="57">
        <f t="shared" si="17"/>
        <v>21586.866359447027</v>
      </c>
      <c r="AE35" s="57">
        <f t="shared" si="17"/>
        <v>21289.285714285739</v>
      </c>
      <c r="AF35" s="57">
        <f t="shared" si="17"/>
        <v>20993.663594470072</v>
      </c>
      <c r="AG35" s="57">
        <f t="shared" si="17"/>
        <v>20700</v>
      </c>
    </row>
    <row r="36" spans="1:35">
      <c r="A36" t="s">
        <v>136</v>
      </c>
      <c r="B36" s="57"/>
      <c r="C36" s="57"/>
      <c r="D36" s="57">
        <f>D$27*D29</f>
        <v>0</v>
      </c>
      <c r="E36" s="57">
        <f t="shared" si="17"/>
        <v>0</v>
      </c>
      <c r="F36" s="57">
        <f t="shared" si="17"/>
        <v>0</v>
      </c>
      <c r="G36" s="57">
        <f t="shared" si="17"/>
        <v>0</v>
      </c>
      <c r="H36" s="57">
        <f t="shared" si="17"/>
        <v>0</v>
      </c>
      <c r="I36" s="57">
        <f t="shared" si="17"/>
        <v>0</v>
      </c>
      <c r="J36" s="57">
        <f t="shared" si="17"/>
        <v>0</v>
      </c>
      <c r="K36" s="57">
        <f t="shared" si="17"/>
        <v>0</v>
      </c>
      <c r="L36" s="57">
        <f t="shared" si="17"/>
        <v>0</v>
      </c>
      <c r="M36" s="57">
        <f t="shared" si="17"/>
        <v>0</v>
      </c>
      <c r="N36" s="57">
        <f t="shared" si="17"/>
        <v>52.442396313364078</v>
      </c>
      <c r="O36" s="57">
        <f t="shared" si="17"/>
        <v>104.10138248847932</v>
      </c>
      <c r="P36" s="57">
        <f t="shared" si="17"/>
        <v>154.97695852534571</v>
      </c>
      <c r="Q36" s="57">
        <f t="shared" si="17"/>
        <v>205.06912442396325</v>
      </c>
      <c r="R36" s="57">
        <f t="shared" si="17"/>
        <v>254.37788018433196</v>
      </c>
      <c r="S36" s="57">
        <f t="shared" si="17"/>
        <v>302.90322580645181</v>
      </c>
      <c r="T36" s="57">
        <f t="shared" si="17"/>
        <v>350.64516129032285</v>
      </c>
      <c r="U36" s="57">
        <f t="shared" si="17"/>
        <v>397.603686635945</v>
      </c>
      <c r="V36" s="57">
        <f t="shared" si="17"/>
        <v>443.77880184331838</v>
      </c>
      <c r="W36" s="57">
        <f t="shared" si="17"/>
        <v>489.17050691244282</v>
      </c>
      <c r="X36" s="57">
        <f t="shared" si="17"/>
        <v>558.04147465437836</v>
      </c>
      <c r="Y36" s="57">
        <f t="shared" si="17"/>
        <v>625.73732718894064</v>
      </c>
      <c r="Z36" s="57">
        <f t="shared" si="17"/>
        <v>692.25806451612959</v>
      </c>
      <c r="AA36" s="57">
        <f t="shared" si="17"/>
        <v>757.60368663594545</v>
      </c>
      <c r="AB36" s="57">
        <f t="shared" si="17"/>
        <v>821.77419354838798</v>
      </c>
      <c r="AC36" s="57">
        <f t="shared" si="17"/>
        <v>884.76958525345731</v>
      </c>
      <c r="AD36" s="57">
        <f t="shared" si="17"/>
        <v>946.58986175115331</v>
      </c>
      <c r="AE36" s="57">
        <f t="shared" si="17"/>
        <v>1007.2350230414761</v>
      </c>
      <c r="AF36" s="57">
        <f t="shared" si="17"/>
        <v>1066.7050691244256</v>
      </c>
      <c r="AG36" s="57">
        <f t="shared" si="17"/>
        <v>1125</v>
      </c>
    </row>
    <row r="37" spans="1:35">
      <c r="A37" t="s">
        <v>129</v>
      </c>
      <c r="B37" s="57">
        <f t="shared" ref="B37:C39" si="18">B$27*B30</f>
        <v>0</v>
      </c>
      <c r="C37" s="57">
        <f t="shared" si="18"/>
        <v>0</v>
      </c>
      <c r="D37" s="57">
        <f>D$27*D30</f>
        <v>0</v>
      </c>
      <c r="E37" s="57">
        <f t="shared" si="17"/>
        <v>0</v>
      </c>
      <c r="F37" s="57">
        <f t="shared" si="17"/>
        <v>0</v>
      </c>
      <c r="G37" s="57">
        <f t="shared" si="17"/>
        <v>0</v>
      </c>
      <c r="H37" s="57">
        <f t="shared" si="17"/>
        <v>0</v>
      </c>
      <c r="I37" s="57">
        <f t="shared" si="17"/>
        <v>0</v>
      </c>
      <c r="J37" s="57">
        <f t="shared" si="17"/>
        <v>0</v>
      </c>
      <c r="K37" s="57">
        <f t="shared" si="17"/>
        <v>0</v>
      </c>
      <c r="L37" s="57">
        <f t="shared" si="17"/>
        <v>0</v>
      </c>
      <c r="M37" s="57">
        <f t="shared" si="17"/>
        <v>0</v>
      </c>
      <c r="N37" s="57">
        <f t="shared" si="17"/>
        <v>26.221198156682039</v>
      </c>
      <c r="O37" s="57">
        <f t="shared" si="17"/>
        <v>52.050691244239658</v>
      </c>
      <c r="P37" s="57">
        <f t="shared" si="17"/>
        <v>77.488479262672854</v>
      </c>
      <c r="Q37" s="57">
        <f t="shared" si="17"/>
        <v>102.53456221198162</v>
      </c>
      <c r="R37" s="57">
        <f t="shared" si="17"/>
        <v>127.18894009216598</v>
      </c>
      <c r="S37" s="57">
        <f t="shared" si="17"/>
        <v>151.45161290322591</v>
      </c>
      <c r="T37" s="57">
        <f t="shared" si="17"/>
        <v>175.32258064516142</v>
      </c>
      <c r="U37" s="57">
        <f t="shared" si="17"/>
        <v>198.8018433179725</v>
      </c>
      <c r="V37" s="57">
        <f t="shared" si="17"/>
        <v>221.88940092165919</v>
      </c>
      <c r="W37" s="57">
        <f t="shared" si="17"/>
        <v>244.58525345622141</v>
      </c>
      <c r="X37" s="57">
        <f t="shared" si="17"/>
        <v>291.15207373271915</v>
      </c>
      <c r="Y37" s="57">
        <f t="shared" si="17"/>
        <v>336.93548387096803</v>
      </c>
      <c r="Z37" s="57">
        <f t="shared" si="17"/>
        <v>381.93548387096814</v>
      </c>
      <c r="AA37" s="57">
        <f t="shared" si="17"/>
        <v>426.15207373271932</v>
      </c>
      <c r="AB37" s="57">
        <f t="shared" si="17"/>
        <v>469.58525345622161</v>
      </c>
      <c r="AC37" s="57">
        <f t="shared" si="17"/>
        <v>512.23502304147507</v>
      </c>
      <c r="AD37" s="57">
        <f t="shared" si="17"/>
        <v>554.10138248847977</v>
      </c>
      <c r="AE37" s="57">
        <f t="shared" si="17"/>
        <v>595.18433179723559</v>
      </c>
      <c r="AF37" s="57">
        <f t="shared" si="17"/>
        <v>635.48387096774252</v>
      </c>
      <c r="AG37" s="57">
        <f t="shared" si="17"/>
        <v>675</v>
      </c>
    </row>
    <row r="38" spans="1:35">
      <c r="A38" t="s">
        <v>131</v>
      </c>
      <c r="B38" s="57">
        <f t="shared" si="18"/>
        <v>0</v>
      </c>
      <c r="C38" s="57">
        <f t="shared" si="18"/>
        <v>0</v>
      </c>
      <c r="D38" s="57">
        <f>D$27*D31</f>
        <v>0</v>
      </c>
      <c r="E38" s="57">
        <f t="shared" si="17"/>
        <v>0</v>
      </c>
      <c r="F38" s="57">
        <f t="shared" si="17"/>
        <v>0</v>
      </c>
      <c r="G38" s="57">
        <f t="shared" si="17"/>
        <v>0</v>
      </c>
      <c r="H38" s="57">
        <f t="shared" si="17"/>
        <v>0</v>
      </c>
      <c r="I38" s="57">
        <f t="shared" si="17"/>
        <v>0</v>
      </c>
      <c r="J38" s="57">
        <f t="shared" si="17"/>
        <v>0</v>
      </c>
      <c r="K38" s="57">
        <f t="shared" si="17"/>
        <v>0</v>
      </c>
      <c r="L38" s="57">
        <f t="shared" si="17"/>
        <v>0</v>
      </c>
      <c r="M38" s="57">
        <f t="shared" si="17"/>
        <v>0</v>
      </c>
      <c r="N38" s="57">
        <f t="shared" si="17"/>
        <v>0</v>
      </c>
      <c r="O38" s="57">
        <f t="shared" si="17"/>
        <v>0</v>
      </c>
      <c r="P38" s="57">
        <f t="shared" si="17"/>
        <v>0</v>
      </c>
      <c r="Q38" s="57">
        <f t="shared" si="17"/>
        <v>0</v>
      </c>
      <c r="R38" s="57">
        <f t="shared" si="17"/>
        <v>0</v>
      </c>
      <c r="S38" s="57">
        <f t="shared" si="17"/>
        <v>0</v>
      </c>
      <c r="T38" s="57">
        <f t="shared" si="17"/>
        <v>0</v>
      </c>
      <c r="U38" s="57">
        <f t="shared" si="17"/>
        <v>0</v>
      </c>
      <c r="V38" s="57">
        <f t="shared" si="17"/>
        <v>0</v>
      </c>
      <c r="W38" s="57">
        <f t="shared" si="17"/>
        <v>0</v>
      </c>
      <c r="X38" s="57">
        <f t="shared" si="17"/>
        <v>0</v>
      </c>
      <c r="Y38" s="57">
        <f t="shared" si="17"/>
        <v>0</v>
      </c>
      <c r="Z38" s="57">
        <f t="shared" si="17"/>
        <v>0</v>
      </c>
      <c r="AA38" s="57">
        <f t="shared" si="17"/>
        <v>0</v>
      </c>
      <c r="AB38" s="57">
        <f t="shared" si="17"/>
        <v>0</v>
      </c>
      <c r="AC38" s="57">
        <f t="shared" si="17"/>
        <v>0</v>
      </c>
      <c r="AD38" s="57">
        <f t="shared" si="17"/>
        <v>0</v>
      </c>
      <c r="AE38" s="57">
        <f t="shared" si="17"/>
        <v>0</v>
      </c>
      <c r="AF38" s="57">
        <f t="shared" si="17"/>
        <v>0</v>
      </c>
      <c r="AG38" s="57">
        <f t="shared" si="17"/>
        <v>0</v>
      </c>
    </row>
    <row r="39" spans="1:35">
      <c r="A39" t="s">
        <v>133</v>
      </c>
      <c r="B39" s="57">
        <f t="shared" si="18"/>
        <v>0</v>
      </c>
      <c r="C39" s="57">
        <f t="shared" si="18"/>
        <v>0</v>
      </c>
      <c r="D39" s="57">
        <f>D$27*D32</f>
        <v>0</v>
      </c>
      <c r="E39" s="57">
        <f t="shared" si="17"/>
        <v>0</v>
      </c>
      <c r="F39" s="57">
        <f t="shared" si="17"/>
        <v>0</v>
      </c>
      <c r="G39" s="57">
        <f t="shared" si="17"/>
        <v>0</v>
      </c>
      <c r="H39" s="57">
        <f t="shared" si="17"/>
        <v>0</v>
      </c>
      <c r="I39" s="57">
        <f t="shared" si="17"/>
        <v>0</v>
      </c>
      <c r="J39" s="57">
        <f t="shared" si="17"/>
        <v>0</v>
      </c>
      <c r="K39" s="57">
        <f t="shared" si="17"/>
        <v>0</v>
      </c>
      <c r="L39" s="57">
        <f t="shared" si="17"/>
        <v>0</v>
      </c>
      <c r="M39" s="57">
        <f t="shared" si="17"/>
        <v>0</v>
      </c>
      <c r="N39" s="57">
        <f t="shared" si="17"/>
        <v>0</v>
      </c>
      <c r="O39" s="57">
        <f t="shared" si="17"/>
        <v>0</v>
      </c>
      <c r="P39" s="57">
        <f t="shared" si="17"/>
        <v>0</v>
      </c>
      <c r="Q39" s="57">
        <f t="shared" si="17"/>
        <v>0</v>
      </c>
      <c r="R39" s="57">
        <f t="shared" si="17"/>
        <v>0</v>
      </c>
      <c r="S39" s="57">
        <f t="shared" si="17"/>
        <v>0</v>
      </c>
      <c r="T39" s="57">
        <f t="shared" si="17"/>
        <v>0</v>
      </c>
      <c r="U39" s="57">
        <f t="shared" si="17"/>
        <v>0</v>
      </c>
      <c r="V39" s="57">
        <f t="shared" si="17"/>
        <v>0</v>
      </c>
      <c r="W39" s="57">
        <f t="shared" si="17"/>
        <v>0</v>
      </c>
      <c r="X39" s="57">
        <f t="shared" si="17"/>
        <v>0</v>
      </c>
      <c r="Y39" s="57">
        <f t="shared" si="17"/>
        <v>0</v>
      </c>
      <c r="Z39" s="57">
        <f t="shared" si="17"/>
        <v>0</v>
      </c>
      <c r="AA39" s="57">
        <f t="shared" si="17"/>
        <v>0</v>
      </c>
      <c r="AB39" s="57">
        <f t="shared" si="17"/>
        <v>0</v>
      </c>
      <c r="AC39" s="57">
        <f t="shared" si="17"/>
        <v>0</v>
      </c>
      <c r="AD39" s="57">
        <f t="shared" si="17"/>
        <v>0</v>
      </c>
      <c r="AE39" s="57">
        <f t="shared" si="17"/>
        <v>0</v>
      </c>
      <c r="AF39" s="57">
        <f t="shared" si="17"/>
        <v>0</v>
      </c>
      <c r="AG39" s="57">
        <f t="shared" si="17"/>
        <v>0</v>
      </c>
    </row>
    <row r="41" spans="1:35">
      <c r="A41" s="133" t="s">
        <v>138</v>
      </c>
      <c r="B41" s="133"/>
      <c r="C41" s="133"/>
    </row>
    <row r="42" spans="1:35">
      <c r="A42" t="s">
        <v>135</v>
      </c>
      <c r="B42" s="58">
        <f t="shared" ref="B42:AF42" si="19">SUM(B43:B48)</f>
        <v>28571.428571428572</v>
      </c>
      <c r="C42" s="58">
        <f t="shared" si="19"/>
        <v>28571.428571428572</v>
      </c>
      <c r="D42" s="58">
        <f t="shared" si="19"/>
        <v>28571.428571428572</v>
      </c>
      <c r="E42" s="58">
        <f t="shared" si="19"/>
        <v>28571.428571428572</v>
      </c>
      <c r="F42" s="58">
        <f t="shared" si="19"/>
        <v>28571.428571428572</v>
      </c>
      <c r="G42" s="58">
        <f t="shared" si="19"/>
        <v>28571.428571428572</v>
      </c>
      <c r="H42" s="58">
        <f t="shared" si="19"/>
        <v>28571.428571428572</v>
      </c>
      <c r="I42" s="58">
        <f t="shared" si="19"/>
        <v>28571.428571428572</v>
      </c>
      <c r="J42" s="58">
        <f t="shared" si="19"/>
        <v>28571.428571428572</v>
      </c>
      <c r="K42" s="58">
        <f t="shared" si="19"/>
        <v>28571.428571428572</v>
      </c>
      <c r="L42" s="58">
        <f t="shared" si="19"/>
        <v>28571.428571428572</v>
      </c>
      <c r="M42" s="58">
        <f t="shared" si="19"/>
        <v>28571.428571428572</v>
      </c>
      <c r="N42" s="58">
        <f t="shared" si="19"/>
        <v>28571.428571428572</v>
      </c>
      <c r="O42" s="58">
        <f t="shared" si="19"/>
        <v>28571.428571428572</v>
      </c>
      <c r="P42" s="58">
        <f t="shared" si="19"/>
        <v>28571.428571428572</v>
      </c>
      <c r="Q42" s="58">
        <f t="shared" si="19"/>
        <v>28571.428571428572</v>
      </c>
      <c r="R42" s="58">
        <f t="shared" si="19"/>
        <v>28571.428571428572</v>
      </c>
      <c r="S42" s="58">
        <f t="shared" si="19"/>
        <v>28571.428571428572</v>
      </c>
      <c r="T42" s="58">
        <f t="shared" si="19"/>
        <v>28571.428571428572</v>
      </c>
      <c r="U42" s="58">
        <f t="shared" si="19"/>
        <v>28571.428571428572</v>
      </c>
      <c r="V42" s="58">
        <f t="shared" si="19"/>
        <v>28571.428571428572</v>
      </c>
      <c r="W42" s="58">
        <f t="shared" si="19"/>
        <v>28571.428571428572</v>
      </c>
      <c r="X42" s="58">
        <f t="shared" si="19"/>
        <v>28571.428571428572</v>
      </c>
      <c r="Y42" s="58">
        <f t="shared" si="19"/>
        <v>28571.428571428572</v>
      </c>
      <c r="Z42" s="58">
        <f t="shared" si="19"/>
        <v>28571.428571428572</v>
      </c>
      <c r="AA42" s="58">
        <f t="shared" si="19"/>
        <v>28571.428571428572</v>
      </c>
      <c r="AB42" s="58">
        <f t="shared" si="19"/>
        <v>28571.428571428572</v>
      </c>
      <c r="AC42" s="58">
        <f t="shared" si="19"/>
        <v>28571.428571428572</v>
      </c>
      <c r="AD42" s="58">
        <f t="shared" si="19"/>
        <v>28571.428571428572</v>
      </c>
      <c r="AE42" s="58">
        <f t="shared" si="19"/>
        <v>28375.576036866361</v>
      </c>
      <c r="AF42" s="58">
        <f t="shared" si="19"/>
        <v>28179.72350230415</v>
      </c>
      <c r="AG42" s="58">
        <f>SUM(AG43:AG48)</f>
        <v>27983.870967741939</v>
      </c>
    </row>
    <row r="43" spans="1:35">
      <c r="A43" t="s">
        <v>139</v>
      </c>
      <c r="B43" s="58">
        <f>AI8</f>
        <v>28571.428571428572</v>
      </c>
      <c r="C43" s="58">
        <f>B43</f>
        <v>28571.428571428572</v>
      </c>
      <c r="D43" s="58">
        <f t="shared" ref="D43:AD43" si="20">C43</f>
        <v>28571.428571428572</v>
      </c>
      <c r="E43" s="58">
        <f>D43</f>
        <v>28571.428571428572</v>
      </c>
      <c r="F43" s="58">
        <f t="shared" si="20"/>
        <v>28571.428571428572</v>
      </c>
      <c r="G43" s="58">
        <f t="shared" si="20"/>
        <v>28571.428571428572</v>
      </c>
      <c r="H43" s="58">
        <f t="shared" si="20"/>
        <v>28571.428571428572</v>
      </c>
      <c r="I43" s="58">
        <f t="shared" si="20"/>
        <v>28571.428571428572</v>
      </c>
      <c r="J43" s="58">
        <f t="shared" si="20"/>
        <v>28571.428571428572</v>
      </c>
      <c r="K43" s="58">
        <f t="shared" si="20"/>
        <v>28571.428571428572</v>
      </c>
      <c r="L43" s="58">
        <f t="shared" si="20"/>
        <v>28571.428571428572</v>
      </c>
      <c r="M43" s="58">
        <f t="shared" si="20"/>
        <v>28571.428571428572</v>
      </c>
      <c r="N43" s="58">
        <f t="shared" si="20"/>
        <v>28571.428571428572</v>
      </c>
      <c r="O43" s="58">
        <f t="shared" si="20"/>
        <v>28571.428571428572</v>
      </c>
      <c r="P43" s="58">
        <f t="shared" si="20"/>
        <v>28571.428571428572</v>
      </c>
      <c r="Q43" s="58">
        <f t="shared" si="20"/>
        <v>28571.428571428572</v>
      </c>
      <c r="R43" s="58">
        <f t="shared" si="20"/>
        <v>28571.428571428572</v>
      </c>
      <c r="S43" s="58">
        <f t="shared" si="20"/>
        <v>28571.428571428572</v>
      </c>
      <c r="T43" s="58">
        <f t="shared" si="20"/>
        <v>28571.428571428572</v>
      </c>
      <c r="U43" s="58">
        <f t="shared" si="20"/>
        <v>28571.428571428572</v>
      </c>
      <c r="V43" s="58">
        <f t="shared" si="20"/>
        <v>28571.428571428572</v>
      </c>
      <c r="W43" s="58">
        <f t="shared" si="20"/>
        <v>28571.428571428572</v>
      </c>
      <c r="X43" s="58">
        <f t="shared" si="20"/>
        <v>28571.428571428572</v>
      </c>
      <c r="Y43" s="58">
        <f t="shared" si="20"/>
        <v>28571.428571428572</v>
      </c>
      <c r="Z43" s="58">
        <f t="shared" si="20"/>
        <v>28571.428571428572</v>
      </c>
      <c r="AA43" s="58">
        <f t="shared" si="20"/>
        <v>28571.428571428572</v>
      </c>
      <c r="AB43" s="58">
        <f t="shared" si="20"/>
        <v>28571.428571428572</v>
      </c>
      <c r="AC43" s="58">
        <f t="shared" si="20"/>
        <v>28571.428571428572</v>
      </c>
      <c r="AD43" s="58">
        <f t="shared" si="20"/>
        <v>28571.428571428572</v>
      </c>
      <c r="AE43" s="58">
        <f>C35</f>
        <v>28375.576036866361</v>
      </c>
      <c r="AF43" s="58">
        <f t="shared" ref="AF43:AG43" si="21">D35</f>
        <v>28179.72350230415</v>
      </c>
      <c r="AG43" s="58">
        <f t="shared" si="21"/>
        <v>27983.870967741939</v>
      </c>
    </row>
    <row r="44" spans="1:35">
      <c r="A44" t="s">
        <v>140</v>
      </c>
      <c r="B44" s="58"/>
      <c r="C44" s="58"/>
      <c r="D44" s="58"/>
      <c r="E44" s="58"/>
      <c r="F44" s="58"/>
      <c r="G44" s="58"/>
      <c r="H44" s="64">
        <v>0</v>
      </c>
      <c r="I44" s="58">
        <f>H44+($M44-$H44)/5</f>
        <v>0</v>
      </c>
      <c r="J44" s="58">
        <f t="shared" ref="J44:L44" si="22">I44+($M44-$H44)/5</f>
        <v>0</v>
      </c>
      <c r="K44" s="58">
        <f t="shared" si="22"/>
        <v>0</v>
      </c>
      <c r="L44" s="58">
        <f t="shared" si="22"/>
        <v>0</v>
      </c>
      <c r="M44" s="64">
        <v>0</v>
      </c>
      <c r="N44" s="58">
        <f>M44+($W44-$M44)/10</f>
        <v>0</v>
      </c>
      <c r="O44" s="58">
        <f t="shared" ref="O44:V44" si="23">N44+($W44-$M44)/10</f>
        <v>0</v>
      </c>
      <c r="P44" s="58">
        <f t="shared" si="23"/>
        <v>0</v>
      </c>
      <c r="Q44" s="58">
        <f t="shared" si="23"/>
        <v>0</v>
      </c>
      <c r="R44" s="58">
        <f t="shared" si="23"/>
        <v>0</v>
      </c>
      <c r="S44" s="58">
        <f t="shared" si="23"/>
        <v>0</v>
      </c>
      <c r="T44" s="58">
        <f t="shared" si="23"/>
        <v>0</v>
      </c>
      <c r="U44" s="58">
        <f t="shared" si="23"/>
        <v>0</v>
      </c>
      <c r="V44" s="58">
        <f t="shared" si="23"/>
        <v>0</v>
      </c>
      <c r="W44" s="64">
        <v>0</v>
      </c>
      <c r="X44" s="58">
        <f>W44+($AG44-$W44)/10</f>
        <v>0</v>
      </c>
      <c r="Y44" s="58">
        <f t="shared" ref="Y44:AF44" si="24">X44+($AG44-$W44)/10</f>
        <v>0</v>
      </c>
      <c r="Z44" s="58">
        <f t="shared" si="24"/>
        <v>0</v>
      </c>
      <c r="AA44" s="58">
        <f t="shared" si="24"/>
        <v>0</v>
      </c>
      <c r="AB44" s="58">
        <f t="shared" si="24"/>
        <v>0</v>
      </c>
      <c r="AC44" s="58">
        <f t="shared" si="24"/>
        <v>0</v>
      </c>
      <c r="AD44" s="58">
        <f t="shared" si="24"/>
        <v>0</v>
      </c>
      <c r="AE44" s="58">
        <f t="shared" si="24"/>
        <v>0</v>
      </c>
      <c r="AF44" s="58">
        <f t="shared" si="24"/>
        <v>0</v>
      </c>
      <c r="AG44" s="64">
        <v>0</v>
      </c>
      <c r="AI44" t="s">
        <v>159</v>
      </c>
    </row>
    <row r="45" spans="1:35">
      <c r="A45" t="s">
        <v>136</v>
      </c>
      <c r="B45" s="58">
        <v>0</v>
      </c>
      <c r="C45" s="58">
        <v>0</v>
      </c>
      <c r="D45" s="58">
        <v>0</v>
      </c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f t="shared" ref="AE45:AG48" si="25">C36</f>
        <v>0</v>
      </c>
      <c r="AF45" s="58">
        <f t="shared" si="25"/>
        <v>0</v>
      </c>
      <c r="AG45" s="58">
        <f t="shared" si="25"/>
        <v>0</v>
      </c>
    </row>
    <row r="46" spans="1:35">
      <c r="A46" t="s">
        <v>129</v>
      </c>
      <c r="B46" s="58">
        <v>0</v>
      </c>
      <c r="C46" s="58">
        <v>0</v>
      </c>
      <c r="D46" s="58">
        <v>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f t="shared" si="25"/>
        <v>0</v>
      </c>
      <c r="AF46" s="58">
        <f t="shared" si="25"/>
        <v>0</v>
      </c>
      <c r="AG46" s="58">
        <f t="shared" si="25"/>
        <v>0</v>
      </c>
    </row>
    <row r="47" spans="1:35">
      <c r="A47" t="s">
        <v>131</v>
      </c>
      <c r="B47" s="58">
        <v>0</v>
      </c>
      <c r="C47" s="58">
        <v>0</v>
      </c>
      <c r="D47" s="58">
        <v>0</v>
      </c>
      <c r="E47" s="58">
        <v>0</v>
      </c>
      <c r="F47" s="58">
        <v>0</v>
      </c>
      <c r="G47" s="58">
        <v>0</v>
      </c>
      <c r="H47" s="58">
        <v>0</v>
      </c>
      <c r="I47" s="58">
        <v>0</v>
      </c>
      <c r="J47" s="58">
        <v>0</v>
      </c>
      <c r="K47" s="58">
        <v>0</v>
      </c>
      <c r="L47" s="58">
        <v>0</v>
      </c>
      <c r="M47" s="58">
        <v>0</v>
      </c>
      <c r="N47" s="58">
        <v>0</v>
      </c>
      <c r="O47" s="58">
        <v>0</v>
      </c>
      <c r="P47" s="58">
        <v>0</v>
      </c>
      <c r="Q47" s="58">
        <v>0</v>
      </c>
      <c r="R47" s="58">
        <v>0</v>
      </c>
      <c r="S47" s="58">
        <v>0</v>
      </c>
      <c r="T47" s="58">
        <v>0</v>
      </c>
      <c r="U47" s="58">
        <v>0</v>
      </c>
      <c r="V47" s="58">
        <v>0</v>
      </c>
      <c r="W47" s="58">
        <v>0</v>
      </c>
      <c r="X47" s="58">
        <v>0</v>
      </c>
      <c r="Y47" s="58">
        <v>0</v>
      </c>
      <c r="Z47" s="58">
        <v>0</v>
      </c>
      <c r="AA47" s="58">
        <v>0</v>
      </c>
      <c r="AB47" s="58">
        <v>0</v>
      </c>
      <c r="AC47" s="58">
        <v>0</v>
      </c>
      <c r="AD47" s="58">
        <v>0</v>
      </c>
      <c r="AE47" s="58">
        <f t="shared" si="25"/>
        <v>0</v>
      </c>
      <c r="AF47" s="58">
        <f t="shared" si="25"/>
        <v>0</v>
      </c>
      <c r="AG47" s="58">
        <f t="shared" si="25"/>
        <v>0</v>
      </c>
    </row>
    <row r="48" spans="1:35">
      <c r="A48" t="s">
        <v>133</v>
      </c>
      <c r="B48" s="58">
        <v>0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f t="shared" si="25"/>
        <v>0</v>
      </c>
      <c r="AF48" s="58">
        <f t="shared" si="25"/>
        <v>0</v>
      </c>
      <c r="AG48" s="58">
        <f t="shared" si="25"/>
        <v>0</v>
      </c>
    </row>
    <row r="50" spans="1:35">
      <c r="A50" s="133" t="s">
        <v>141</v>
      </c>
      <c r="B50" s="133"/>
      <c r="C50" s="133"/>
      <c r="D50" t="s">
        <v>142</v>
      </c>
      <c r="K50" s="58">
        <f>SUM(C52:M52)</f>
        <v>0</v>
      </c>
      <c r="W50" s="58">
        <f>SUM(C52:W52)</f>
        <v>0</v>
      </c>
      <c r="AE50" s="58"/>
      <c r="AF50" s="58"/>
      <c r="AG50" s="58">
        <f>SUM(C52:AG52)</f>
        <v>0</v>
      </c>
    </row>
    <row r="51" spans="1:35">
      <c r="A51" t="s">
        <v>135</v>
      </c>
      <c r="B51">
        <f>SUM(B52:B55)</f>
        <v>0</v>
      </c>
      <c r="C51">
        <f t="shared" ref="C51:AG51" si="26">SUM(C52:C55)</f>
        <v>0</v>
      </c>
      <c r="D51">
        <f t="shared" si="26"/>
        <v>0</v>
      </c>
      <c r="E51">
        <f t="shared" si="26"/>
        <v>0</v>
      </c>
      <c r="F51">
        <f t="shared" si="26"/>
        <v>0</v>
      </c>
      <c r="G51">
        <f t="shared" si="26"/>
        <v>0</v>
      </c>
      <c r="H51">
        <f t="shared" si="26"/>
        <v>0</v>
      </c>
      <c r="I51">
        <f t="shared" si="26"/>
        <v>0</v>
      </c>
      <c r="J51">
        <f t="shared" si="26"/>
        <v>0</v>
      </c>
      <c r="K51">
        <f t="shared" si="26"/>
        <v>0</v>
      </c>
      <c r="L51">
        <f t="shared" si="26"/>
        <v>0</v>
      </c>
      <c r="M51">
        <f t="shared" si="26"/>
        <v>0</v>
      </c>
      <c r="N51">
        <f t="shared" si="26"/>
        <v>0</v>
      </c>
      <c r="O51">
        <f t="shared" si="26"/>
        <v>0</v>
      </c>
      <c r="P51">
        <f t="shared" si="26"/>
        <v>0</v>
      </c>
      <c r="Q51">
        <f t="shared" si="26"/>
        <v>0</v>
      </c>
      <c r="R51">
        <f t="shared" si="26"/>
        <v>0</v>
      </c>
      <c r="S51">
        <f t="shared" si="26"/>
        <v>0</v>
      </c>
      <c r="T51">
        <f t="shared" si="26"/>
        <v>0</v>
      </c>
      <c r="U51">
        <f t="shared" si="26"/>
        <v>0</v>
      </c>
      <c r="V51">
        <f t="shared" si="26"/>
        <v>0</v>
      </c>
      <c r="W51">
        <f t="shared" si="26"/>
        <v>0</v>
      </c>
      <c r="X51">
        <f t="shared" si="26"/>
        <v>0</v>
      </c>
      <c r="Y51">
        <f t="shared" si="26"/>
        <v>0</v>
      </c>
      <c r="Z51">
        <f t="shared" si="26"/>
        <v>0</v>
      </c>
      <c r="AA51">
        <f t="shared" si="26"/>
        <v>0</v>
      </c>
      <c r="AB51">
        <f t="shared" si="26"/>
        <v>0</v>
      </c>
      <c r="AC51">
        <f t="shared" si="26"/>
        <v>0</v>
      </c>
      <c r="AD51">
        <f t="shared" si="26"/>
        <v>0</v>
      </c>
      <c r="AE51">
        <f t="shared" si="26"/>
        <v>0</v>
      </c>
      <c r="AF51">
        <f t="shared" si="26"/>
        <v>0</v>
      </c>
      <c r="AG51">
        <f t="shared" si="26"/>
        <v>0</v>
      </c>
    </row>
    <row r="52" spans="1:35">
      <c r="A52" t="s">
        <v>143</v>
      </c>
      <c r="B52">
        <v>0</v>
      </c>
      <c r="C52" s="64">
        <v>0</v>
      </c>
      <c r="D52" s="58">
        <f>C52+($H52-$C52)/5</f>
        <v>0</v>
      </c>
      <c r="E52" s="58">
        <f t="shared" ref="E52:G52" si="27">D52+($H52-$C52)/5</f>
        <v>0</v>
      </c>
      <c r="F52" s="58">
        <f t="shared" si="27"/>
        <v>0</v>
      </c>
      <c r="G52" s="58">
        <f t="shared" si="27"/>
        <v>0</v>
      </c>
      <c r="H52" s="64">
        <v>0</v>
      </c>
      <c r="I52" s="58">
        <f>H52+($M52-$H52)/5</f>
        <v>0</v>
      </c>
      <c r="J52" s="58">
        <f t="shared" ref="J52:L52" si="28">I52+($M52-$H52)/5</f>
        <v>0</v>
      </c>
      <c r="K52" s="58">
        <f t="shared" si="28"/>
        <v>0</v>
      </c>
      <c r="L52" s="58">
        <f t="shared" si="28"/>
        <v>0</v>
      </c>
      <c r="M52" s="64">
        <v>0</v>
      </c>
      <c r="N52">
        <f>M52+($W52-$M52)/10</f>
        <v>0</v>
      </c>
      <c r="O52">
        <f t="shared" ref="O52:V52" si="29">N52+($W52-$M52)/10</f>
        <v>0</v>
      </c>
      <c r="P52">
        <f t="shared" si="29"/>
        <v>0</v>
      </c>
      <c r="Q52">
        <f t="shared" si="29"/>
        <v>0</v>
      </c>
      <c r="R52">
        <f t="shared" si="29"/>
        <v>0</v>
      </c>
      <c r="S52">
        <f t="shared" si="29"/>
        <v>0</v>
      </c>
      <c r="T52">
        <f t="shared" si="29"/>
        <v>0</v>
      </c>
      <c r="U52">
        <f t="shared" si="29"/>
        <v>0</v>
      </c>
      <c r="V52">
        <f t="shared" si="29"/>
        <v>0</v>
      </c>
      <c r="W52" s="64">
        <v>0</v>
      </c>
      <c r="X52" s="58">
        <f>W52+($AG52-$W52)/10</f>
        <v>0</v>
      </c>
      <c r="Y52" s="58">
        <f t="shared" ref="Y52:AF52" si="30">X52+($AG52-$W52)/10</f>
        <v>0</v>
      </c>
      <c r="Z52" s="58">
        <f t="shared" si="30"/>
        <v>0</v>
      </c>
      <c r="AA52" s="58">
        <f t="shared" si="30"/>
        <v>0</v>
      </c>
      <c r="AB52" s="58">
        <f t="shared" si="30"/>
        <v>0</v>
      </c>
      <c r="AC52" s="58">
        <f t="shared" si="30"/>
        <v>0</v>
      </c>
      <c r="AD52" s="58">
        <f t="shared" si="30"/>
        <v>0</v>
      </c>
      <c r="AE52" s="58">
        <f t="shared" si="30"/>
        <v>0</v>
      </c>
      <c r="AF52" s="58">
        <f t="shared" si="30"/>
        <v>0</v>
      </c>
      <c r="AG52" s="64">
        <v>0</v>
      </c>
      <c r="AI52" t="s">
        <v>158</v>
      </c>
    </row>
    <row r="53" spans="1:35">
      <c r="A53" t="s">
        <v>144</v>
      </c>
      <c r="B53">
        <v>0</v>
      </c>
      <c r="C53" s="64">
        <v>0</v>
      </c>
      <c r="D53" s="58">
        <f t="shared" ref="D53:G55" si="31">C53+($H53-$C53)/5</f>
        <v>0</v>
      </c>
      <c r="E53" s="58">
        <f t="shared" si="31"/>
        <v>0</v>
      </c>
      <c r="F53" s="58">
        <f t="shared" si="31"/>
        <v>0</v>
      </c>
      <c r="G53" s="58">
        <f t="shared" si="31"/>
        <v>0</v>
      </c>
      <c r="H53" s="64">
        <v>0</v>
      </c>
      <c r="I53" s="58">
        <f t="shared" ref="I53:L55" si="32">H53+($M53-$H53)/5</f>
        <v>0</v>
      </c>
      <c r="J53" s="58">
        <f t="shared" si="32"/>
        <v>0</v>
      </c>
      <c r="K53" s="58">
        <f t="shared" si="32"/>
        <v>0</v>
      </c>
      <c r="L53" s="58">
        <f t="shared" si="32"/>
        <v>0</v>
      </c>
      <c r="M53" s="64">
        <v>0</v>
      </c>
      <c r="N53">
        <f t="shared" ref="N53:V55" si="33">M53+($W53-$M53)/10</f>
        <v>0</v>
      </c>
      <c r="O53">
        <f t="shared" si="33"/>
        <v>0</v>
      </c>
      <c r="P53">
        <f t="shared" si="33"/>
        <v>0</v>
      </c>
      <c r="Q53">
        <f t="shared" si="33"/>
        <v>0</v>
      </c>
      <c r="R53">
        <f t="shared" si="33"/>
        <v>0</v>
      </c>
      <c r="S53">
        <f t="shared" si="33"/>
        <v>0</v>
      </c>
      <c r="T53">
        <f t="shared" si="33"/>
        <v>0</v>
      </c>
      <c r="U53">
        <f t="shared" si="33"/>
        <v>0</v>
      </c>
      <c r="V53">
        <f t="shared" si="33"/>
        <v>0</v>
      </c>
      <c r="W53" s="64">
        <v>0</v>
      </c>
      <c r="X53" s="58">
        <f t="shared" ref="X53:AF55" si="34">W53+($AG53-$W53)/10</f>
        <v>0</v>
      </c>
      <c r="Y53" s="58">
        <f t="shared" si="34"/>
        <v>0</v>
      </c>
      <c r="Z53" s="58">
        <f t="shared" si="34"/>
        <v>0</v>
      </c>
      <c r="AA53" s="58">
        <f t="shared" si="34"/>
        <v>0</v>
      </c>
      <c r="AB53" s="58">
        <f t="shared" si="34"/>
        <v>0</v>
      </c>
      <c r="AC53" s="58">
        <f t="shared" si="34"/>
        <v>0</v>
      </c>
      <c r="AD53" s="58">
        <f t="shared" si="34"/>
        <v>0</v>
      </c>
      <c r="AE53" s="58">
        <f t="shared" si="34"/>
        <v>0</v>
      </c>
      <c r="AF53" s="58">
        <f t="shared" si="34"/>
        <v>0</v>
      </c>
      <c r="AG53" s="64">
        <v>0</v>
      </c>
    </row>
    <row r="54" spans="1:35">
      <c r="A54" t="s">
        <v>145</v>
      </c>
      <c r="B54">
        <v>0</v>
      </c>
      <c r="C54" s="64">
        <v>0</v>
      </c>
      <c r="D54" s="58">
        <f t="shared" si="31"/>
        <v>0</v>
      </c>
      <c r="E54" s="58">
        <f t="shared" si="31"/>
        <v>0</v>
      </c>
      <c r="F54" s="58">
        <f t="shared" si="31"/>
        <v>0</v>
      </c>
      <c r="G54" s="58">
        <f t="shared" si="31"/>
        <v>0</v>
      </c>
      <c r="H54" s="64">
        <v>0</v>
      </c>
      <c r="I54" s="58">
        <f t="shared" si="32"/>
        <v>0</v>
      </c>
      <c r="J54" s="58">
        <f t="shared" si="32"/>
        <v>0</v>
      </c>
      <c r="K54" s="58">
        <f t="shared" si="32"/>
        <v>0</v>
      </c>
      <c r="L54" s="58">
        <f t="shared" si="32"/>
        <v>0</v>
      </c>
      <c r="M54" s="64">
        <v>0</v>
      </c>
      <c r="N54">
        <f t="shared" si="33"/>
        <v>0</v>
      </c>
      <c r="O54">
        <f t="shared" si="33"/>
        <v>0</v>
      </c>
      <c r="P54">
        <f t="shared" si="33"/>
        <v>0</v>
      </c>
      <c r="Q54">
        <f t="shared" si="33"/>
        <v>0</v>
      </c>
      <c r="R54">
        <f t="shared" si="33"/>
        <v>0</v>
      </c>
      <c r="S54">
        <f t="shared" si="33"/>
        <v>0</v>
      </c>
      <c r="T54">
        <f t="shared" si="33"/>
        <v>0</v>
      </c>
      <c r="U54">
        <f t="shared" si="33"/>
        <v>0</v>
      </c>
      <c r="V54">
        <f t="shared" si="33"/>
        <v>0</v>
      </c>
      <c r="W54" s="64">
        <v>0</v>
      </c>
      <c r="X54" s="58">
        <f t="shared" si="34"/>
        <v>0</v>
      </c>
      <c r="Y54" s="58">
        <f t="shared" si="34"/>
        <v>0</v>
      </c>
      <c r="Z54" s="58">
        <f t="shared" si="34"/>
        <v>0</v>
      </c>
      <c r="AA54" s="58">
        <f t="shared" si="34"/>
        <v>0</v>
      </c>
      <c r="AB54" s="58">
        <f t="shared" si="34"/>
        <v>0</v>
      </c>
      <c r="AC54" s="58">
        <f t="shared" si="34"/>
        <v>0</v>
      </c>
      <c r="AD54" s="58">
        <f t="shared" si="34"/>
        <v>0</v>
      </c>
      <c r="AE54" s="58">
        <f t="shared" si="34"/>
        <v>0</v>
      </c>
      <c r="AF54" s="58">
        <f t="shared" si="34"/>
        <v>0</v>
      </c>
      <c r="AG54" s="64">
        <v>0</v>
      </c>
    </row>
    <row r="55" spans="1:35">
      <c r="A55" t="s">
        <v>146</v>
      </c>
      <c r="B55">
        <v>0</v>
      </c>
      <c r="C55" s="64">
        <v>0</v>
      </c>
      <c r="D55" s="58">
        <f t="shared" si="31"/>
        <v>0</v>
      </c>
      <c r="E55" s="58">
        <f t="shared" si="31"/>
        <v>0</v>
      </c>
      <c r="F55" s="58">
        <f t="shared" si="31"/>
        <v>0</v>
      </c>
      <c r="G55" s="58">
        <f t="shared" si="31"/>
        <v>0</v>
      </c>
      <c r="H55" s="64">
        <v>0</v>
      </c>
      <c r="I55" s="58">
        <f t="shared" si="32"/>
        <v>0</v>
      </c>
      <c r="J55" s="58">
        <f t="shared" si="32"/>
        <v>0</v>
      </c>
      <c r="K55" s="58">
        <f t="shared" si="32"/>
        <v>0</v>
      </c>
      <c r="L55" s="58">
        <f t="shared" si="32"/>
        <v>0</v>
      </c>
      <c r="M55" s="64">
        <v>0</v>
      </c>
      <c r="N55">
        <f t="shared" si="33"/>
        <v>0</v>
      </c>
      <c r="O55">
        <f t="shared" si="33"/>
        <v>0</v>
      </c>
      <c r="P55">
        <f t="shared" si="33"/>
        <v>0</v>
      </c>
      <c r="Q55">
        <f t="shared" si="33"/>
        <v>0</v>
      </c>
      <c r="R55">
        <f t="shared" si="33"/>
        <v>0</v>
      </c>
      <c r="S55">
        <f t="shared" si="33"/>
        <v>0</v>
      </c>
      <c r="T55">
        <f t="shared" si="33"/>
        <v>0</v>
      </c>
      <c r="U55">
        <f t="shared" si="33"/>
        <v>0</v>
      </c>
      <c r="V55">
        <f t="shared" si="33"/>
        <v>0</v>
      </c>
      <c r="W55" s="64">
        <v>0</v>
      </c>
      <c r="X55" s="58">
        <f t="shared" si="34"/>
        <v>0</v>
      </c>
      <c r="Y55" s="58">
        <f t="shared" si="34"/>
        <v>0</v>
      </c>
      <c r="Z55" s="58">
        <f t="shared" si="34"/>
        <v>0</v>
      </c>
      <c r="AA55" s="58">
        <f t="shared" si="34"/>
        <v>0</v>
      </c>
      <c r="AB55" s="58">
        <f t="shared" si="34"/>
        <v>0</v>
      </c>
      <c r="AC55" s="58">
        <f t="shared" si="34"/>
        <v>0</v>
      </c>
      <c r="AD55" s="58">
        <f t="shared" si="34"/>
        <v>0</v>
      </c>
      <c r="AE55" s="58">
        <f t="shared" si="34"/>
        <v>0</v>
      </c>
      <c r="AF55" s="58">
        <f t="shared" si="34"/>
        <v>0</v>
      </c>
      <c r="AG55" s="64">
        <v>0</v>
      </c>
    </row>
    <row r="58" spans="1:35">
      <c r="A58" s="133" t="s">
        <v>148</v>
      </c>
      <c r="B58" s="133"/>
      <c r="C58" s="133"/>
      <c r="D58" t="s">
        <v>160</v>
      </c>
    </row>
    <row r="59" spans="1:35">
      <c r="A59" t="s">
        <v>154</v>
      </c>
    </row>
    <row r="60" spans="1:35">
      <c r="A60" t="s">
        <v>149</v>
      </c>
      <c r="B60" s="29">
        <v>327.50735160636276</v>
      </c>
      <c r="G60" s="29"/>
      <c r="H60" s="29">
        <v>319.55917580318135</v>
      </c>
      <c r="L60" s="29"/>
      <c r="M60" s="29">
        <v>299.40767580318141</v>
      </c>
      <c r="V60" s="29"/>
      <c r="W60" s="29">
        <v>278.2731758031814</v>
      </c>
      <c r="AF60" s="29"/>
      <c r="AG60" s="29">
        <v>272.37517580318138</v>
      </c>
    </row>
    <row r="61" spans="1:35">
      <c r="A61" t="s">
        <v>150</v>
      </c>
      <c r="B61" s="29">
        <v>327.50735160636276</v>
      </c>
      <c r="G61" s="29"/>
      <c r="H61" s="29">
        <v>319.55917580318135</v>
      </c>
      <c r="L61" s="29"/>
      <c r="M61" s="29">
        <v>299.40767580318141</v>
      </c>
      <c r="V61" s="29"/>
      <c r="W61" s="29">
        <v>278.2731758031814</v>
      </c>
      <c r="AF61" s="29"/>
      <c r="AG61" s="29">
        <v>272.37517580318138</v>
      </c>
    </row>
    <row r="62" spans="1:35">
      <c r="A62" t="s">
        <v>151</v>
      </c>
      <c r="B62" s="29">
        <v>386.22451597517738</v>
      </c>
      <c r="G62" s="29"/>
      <c r="H62" s="29">
        <v>365.61225798758869</v>
      </c>
      <c r="L62" s="29"/>
      <c r="M62" s="29">
        <v>352.50225798758868</v>
      </c>
      <c r="V62" s="29"/>
      <c r="W62" s="29">
        <v>333.18225798758874</v>
      </c>
      <c r="AF62" s="29"/>
      <c r="AG62" s="29">
        <v>325.59225798758871</v>
      </c>
    </row>
    <row r="63" spans="1:35">
      <c r="A63" t="s">
        <v>152</v>
      </c>
      <c r="B63" s="29">
        <v>230.43599999999998</v>
      </c>
      <c r="G63" s="29"/>
      <c r="H63" s="29">
        <v>228.43799999999999</v>
      </c>
      <c r="L63" s="29"/>
      <c r="M63" s="29">
        <v>216.78299999999996</v>
      </c>
      <c r="V63" s="29"/>
      <c r="W63" s="29">
        <v>215.11799999999999</v>
      </c>
      <c r="AF63" s="29"/>
      <c r="AG63" s="29">
        <v>215.11799999999999</v>
      </c>
    </row>
    <row r="64" spans="1:35">
      <c r="A64" t="s">
        <v>153</v>
      </c>
      <c r="B64" s="29">
        <v>144</v>
      </c>
      <c r="G64" s="29"/>
      <c r="H64" s="29">
        <v>144</v>
      </c>
      <c r="L64" s="29"/>
      <c r="M64" s="29">
        <v>144</v>
      </c>
      <c r="V64" s="29"/>
      <c r="W64" s="29">
        <v>144</v>
      </c>
      <c r="AF64" s="29"/>
      <c r="AG64" s="29">
        <v>144</v>
      </c>
    </row>
    <row r="66" spans="1:33">
      <c r="A66" t="s">
        <v>155</v>
      </c>
      <c r="B66" t="e">
        <f>#REF!/'EN_Tracteurs AME'!B60*10000000/B12</f>
        <v>#REF!</v>
      </c>
      <c r="H66" s="65">
        <v>1.03</v>
      </c>
      <c r="I66" s="65"/>
      <c r="J66" s="65"/>
      <c r="K66" s="65"/>
      <c r="L66" s="65"/>
      <c r="M66" s="65">
        <v>1.06</v>
      </c>
      <c r="W66" s="65">
        <v>1.1200000000000001</v>
      </c>
      <c r="AG66" s="65">
        <v>1.18</v>
      </c>
    </row>
    <row r="69" spans="1:33">
      <c r="A69" s="133" t="s">
        <v>156</v>
      </c>
      <c r="B69" s="133"/>
      <c r="C69" s="133"/>
      <c r="D69" t="s">
        <v>157</v>
      </c>
    </row>
    <row r="70" spans="1:33">
      <c r="A70" t="s">
        <v>135</v>
      </c>
      <c r="B70" s="66" t="e">
        <f>SUM(B71:B75)</f>
        <v>#REF!</v>
      </c>
      <c r="C70" s="66">
        <f t="shared" ref="C70:AG70" si="35">SUM(C71:C75)</f>
        <v>0</v>
      </c>
      <c r="D70" s="66">
        <f t="shared" si="35"/>
        <v>0</v>
      </c>
      <c r="E70" s="66">
        <f t="shared" si="35"/>
        <v>0</v>
      </c>
      <c r="F70" s="66">
        <f t="shared" si="35"/>
        <v>0</v>
      </c>
      <c r="G70" s="66">
        <f t="shared" si="35"/>
        <v>0</v>
      </c>
      <c r="H70" s="66">
        <f t="shared" si="35"/>
        <v>26.19630154178747</v>
      </c>
      <c r="I70" s="66">
        <f t="shared" si="35"/>
        <v>0</v>
      </c>
      <c r="J70" s="66">
        <f t="shared" si="35"/>
        <v>0</v>
      </c>
      <c r="K70" s="66">
        <f t="shared" si="35"/>
        <v>0</v>
      </c>
      <c r="L70" s="66">
        <f t="shared" si="35"/>
        <v>0</v>
      </c>
      <c r="M70" s="66">
        <f t="shared" si="35"/>
        <v>24.97952720190446</v>
      </c>
      <c r="N70" s="66">
        <f t="shared" si="35"/>
        <v>0</v>
      </c>
      <c r="O70" s="66">
        <f t="shared" si="35"/>
        <v>0</v>
      </c>
      <c r="P70" s="66">
        <f t="shared" si="35"/>
        <v>0</v>
      </c>
      <c r="Q70" s="66">
        <f t="shared" si="35"/>
        <v>0</v>
      </c>
      <c r="R70" s="66">
        <f t="shared" si="35"/>
        <v>0</v>
      </c>
      <c r="S70" s="66">
        <f t="shared" si="35"/>
        <v>0</v>
      </c>
      <c r="T70" s="66">
        <f t="shared" si="35"/>
        <v>0</v>
      </c>
      <c r="U70" s="66">
        <f t="shared" si="35"/>
        <v>0</v>
      </c>
      <c r="V70" s="66">
        <f t="shared" si="35"/>
        <v>0</v>
      </c>
      <c r="W70" s="66">
        <f t="shared" si="35"/>
        <v>23.5317110262589</v>
      </c>
      <c r="X70" s="66">
        <f t="shared" si="35"/>
        <v>0</v>
      </c>
      <c r="Y70" s="66">
        <f t="shared" si="35"/>
        <v>0</v>
      </c>
      <c r="Z70" s="66">
        <f t="shared" si="35"/>
        <v>0</v>
      </c>
      <c r="AA70" s="66">
        <f t="shared" si="35"/>
        <v>0</v>
      </c>
      <c r="AB70" s="66">
        <f t="shared" si="35"/>
        <v>0</v>
      </c>
      <c r="AC70" s="66">
        <f t="shared" si="35"/>
        <v>0</v>
      </c>
      <c r="AD70" s="66">
        <f t="shared" si="35"/>
        <v>0</v>
      </c>
      <c r="AE70" s="66">
        <f t="shared" si="35"/>
        <v>0</v>
      </c>
      <c r="AF70" s="66">
        <f t="shared" si="35"/>
        <v>0</v>
      </c>
      <c r="AG70" s="66">
        <f t="shared" si="35"/>
        <v>22.667068264429552</v>
      </c>
    </row>
    <row r="71" spans="1:33">
      <c r="A71" t="s">
        <v>149</v>
      </c>
      <c r="B71" s="66" t="e">
        <f>B60*B20*B$66/10000000</f>
        <v>#REF!</v>
      </c>
      <c r="C71" s="66">
        <f t="shared" ref="C71:AG75" si="36">C60*C20*C$66/10000000</f>
        <v>0</v>
      </c>
      <c r="D71" s="66">
        <f t="shared" si="36"/>
        <v>0</v>
      </c>
      <c r="E71" s="66">
        <f t="shared" si="36"/>
        <v>0</v>
      </c>
      <c r="F71" s="66">
        <f t="shared" si="36"/>
        <v>0</v>
      </c>
      <c r="G71" s="66">
        <f t="shared" si="36"/>
        <v>0</v>
      </c>
      <c r="H71" s="66">
        <f>H60*H20*H$66/10000000</f>
        <v>26.19630154178747</v>
      </c>
      <c r="I71" s="66">
        <f t="shared" si="36"/>
        <v>0</v>
      </c>
      <c r="J71" s="66">
        <f t="shared" si="36"/>
        <v>0</v>
      </c>
      <c r="K71" s="66">
        <f t="shared" si="36"/>
        <v>0</v>
      </c>
      <c r="L71" s="66">
        <f t="shared" si="36"/>
        <v>0</v>
      </c>
      <c r="M71" s="66">
        <f t="shared" si="36"/>
        <v>24.97952720190446</v>
      </c>
      <c r="N71" s="66">
        <f t="shared" si="36"/>
        <v>0</v>
      </c>
      <c r="O71" s="66">
        <f t="shared" si="36"/>
        <v>0</v>
      </c>
      <c r="P71" s="66">
        <f t="shared" si="36"/>
        <v>0</v>
      </c>
      <c r="Q71" s="66">
        <f t="shared" si="36"/>
        <v>0</v>
      </c>
      <c r="R71" s="66">
        <f t="shared" si="36"/>
        <v>0</v>
      </c>
      <c r="S71" s="66">
        <f t="shared" si="36"/>
        <v>0</v>
      </c>
      <c r="T71" s="66">
        <f t="shared" si="36"/>
        <v>0</v>
      </c>
      <c r="U71" s="66">
        <f t="shared" si="36"/>
        <v>0</v>
      </c>
      <c r="V71" s="66">
        <f t="shared" si="36"/>
        <v>0</v>
      </c>
      <c r="W71" s="66">
        <f t="shared" si="36"/>
        <v>23.394440252259997</v>
      </c>
      <c r="X71" s="66">
        <f t="shared" si="36"/>
        <v>0</v>
      </c>
      <c r="Y71" s="66">
        <f t="shared" si="36"/>
        <v>0</v>
      </c>
      <c r="Z71" s="66">
        <f t="shared" si="36"/>
        <v>0</v>
      </c>
      <c r="AA71" s="66">
        <f t="shared" si="36"/>
        <v>0</v>
      </c>
      <c r="AB71" s="66">
        <f t="shared" si="36"/>
        <v>0</v>
      </c>
      <c r="AC71" s="66">
        <f t="shared" si="36"/>
        <v>0</v>
      </c>
      <c r="AD71" s="66">
        <f t="shared" si="36"/>
        <v>0</v>
      </c>
      <c r="AE71" s="66">
        <f t="shared" si="36"/>
        <v>0</v>
      </c>
      <c r="AF71" s="66">
        <f t="shared" si="36"/>
        <v>0</v>
      </c>
      <c r="AG71" s="66">
        <f t="shared" si="36"/>
        <v>22.065458544285352</v>
      </c>
    </row>
    <row r="72" spans="1:33">
      <c r="A72" t="s">
        <v>150</v>
      </c>
      <c r="B72" s="66" t="e">
        <f t="shared" ref="B72:Q75" si="37">B61*B21*B$66/10000000</f>
        <v>#REF!</v>
      </c>
      <c r="C72" s="66">
        <f t="shared" si="37"/>
        <v>0</v>
      </c>
      <c r="D72" s="66">
        <f t="shared" si="37"/>
        <v>0</v>
      </c>
      <c r="E72" s="66">
        <f t="shared" si="37"/>
        <v>0</v>
      </c>
      <c r="F72" s="66">
        <f t="shared" si="37"/>
        <v>0</v>
      </c>
      <c r="G72" s="66">
        <f t="shared" si="37"/>
        <v>0</v>
      </c>
      <c r="H72" s="66">
        <f>H61*H21*H$66/10000000</f>
        <v>0</v>
      </c>
      <c r="I72" s="66">
        <f t="shared" si="37"/>
        <v>0</v>
      </c>
      <c r="J72" s="66">
        <f t="shared" si="37"/>
        <v>0</v>
      </c>
      <c r="K72" s="66">
        <f t="shared" si="37"/>
        <v>0</v>
      </c>
      <c r="L72" s="66">
        <f t="shared" si="37"/>
        <v>0</v>
      </c>
      <c r="M72" s="66">
        <f t="shared" si="37"/>
        <v>0</v>
      </c>
      <c r="N72" s="66">
        <f t="shared" si="37"/>
        <v>0</v>
      </c>
      <c r="O72" s="66">
        <f t="shared" si="37"/>
        <v>0</v>
      </c>
      <c r="P72" s="66">
        <f t="shared" si="37"/>
        <v>0</v>
      </c>
      <c r="Q72" s="66">
        <f t="shared" si="37"/>
        <v>0</v>
      </c>
      <c r="R72" s="66">
        <f t="shared" si="36"/>
        <v>0</v>
      </c>
      <c r="S72" s="66">
        <f t="shared" si="36"/>
        <v>0</v>
      </c>
      <c r="T72" s="66">
        <f t="shared" si="36"/>
        <v>0</v>
      </c>
      <c r="U72" s="66">
        <f t="shared" si="36"/>
        <v>0</v>
      </c>
      <c r="V72" s="66">
        <f t="shared" si="36"/>
        <v>0</v>
      </c>
      <c r="W72" s="66">
        <f t="shared" si="36"/>
        <v>8.586612549880368E-2</v>
      </c>
      <c r="X72" s="66">
        <f t="shared" si="36"/>
        <v>0</v>
      </c>
      <c r="Y72" s="66">
        <f t="shared" si="36"/>
        <v>0</v>
      </c>
      <c r="Z72" s="66">
        <f t="shared" si="36"/>
        <v>0</v>
      </c>
      <c r="AA72" s="66">
        <f t="shared" si="36"/>
        <v>0</v>
      </c>
      <c r="AB72" s="66">
        <f t="shared" si="36"/>
        <v>0</v>
      </c>
      <c r="AC72" s="66">
        <f t="shared" si="36"/>
        <v>0</v>
      </c>
      <c r="AD72" s="66">
        <f t="shared" si="36"/>
        <v>0</v>
      </c>
      <c r="AE72" s="66">
        <f t="shared" si="36"/>
        <v>0</v>
      </c>
      <c r="AF72" s="66">
        <f t="shared" si="36"/>
        <v>0</v>
      </c>
      <c r="AG72" s="66">
        <f t="shared" si="36"/>
        <v>0.36128182218522342</v>
      </c>
    </row>
    <row r="73" spans="1:33">
      <c r="A73" t="s">
        <v>151</v>
      </c>
      <c r="B73" s="66" t="e">
        <f t="shared" si="37"/>
        <v>#REF!</v>
      </c>
      <c r="C73" s="66">
        <f t="shared" si="36"/>
        <v>0</v>
      </c>
      <c r="D73" s="66">
        <f t="shared" si="36"/>
        <v>0</v>
      </c>
      <c r="E73" s="66">
        <f t="shared" si="36"/>
        <v>0</v>
      </c>
      <c r="F73" s="66">
        <f t="shared" si="36"/>
        <v>0</v>
      </c>
      <c r="G73" s="66">
        <f t="shared" si="36"/>
        <v>0</v>
      </c>
      <c r="H73" s="66">
        <f t="shared" si="36"/>
        <v>0</v>
      </c>
      <c r="I73" s="66">
        <f t="shared" si="36"/>
        <v>0</v>
      </c>
      <c r="J73" s="66">
        <f t="shared" si="36"/>
        <v>0</v>
      </c>
      <c r="K73" s="66">
        <f t="shared" si="36"/>
        <v>0</v>
      </c>
      <c r="L73" s="66">
        <f t="shared" si="36"/>
        <v>0</v>
      </c>
      <c r="M73" s="66">
        <f t="shared" si="36"/>
        <v>0</v>
      </c>
      <c r="N73" s="66">
        <f t="shared" si="36"/>
        <v>0</v>
      </c>
      <c r="O73" s="66">
        <f t="shared" si="36"/>
        <v>0</v>
      </c>
      <c r="P73" s="66">
        <f t="shared" si="36"/>
        <v>0</v>
      </c>
      <c r="Q73" s="66">
        <f t="shared" si="36"/>
        <v>0</v>
      </c>
      <c r="R73" s="66">
        <f t="shared" si="36"/>
        <v>0</v>
      </c>
      <c r="S73" s="66">
        <f t="shared" si="36"/>
        <v>0</v>
      </c>
      <c r="T73" s="66">
        <f t="shared" si="36"/>
        <v>0</v>
      </c>
      <c r="U73" s="66">
        <f t="shared" si="36"/>
        <v>0</v>
      </c>
      <c r="V73" s="66">
        <f t="shared" si="36"/>
        <v>0</v>
      </c>
      <c r="W73" s="66">
        <f t="shared" si="36"/>
        <v>5.1404648500098092E-2</v>
      </c>
      <c r="X73" s="66">
        <f t="shared" si="36"/>
        <v>0</v>
      </c>
      <c r="Y73" s="66">
        <f t="shared" si="36"/>
        <v>0</v>
      </c>
      <c r="Z73" s="66">
        <f t="shared" si="36"/>
        <v>0</v>
      </c>
      <c r="AA73" s="66">
        <f t="shared" si="36"/>
        <v>0</v>
      </c>
      <c r="AB73" s="66">
        <f t="shared" si="36"/>
        <v>0</v>
      </c>
      <c r="AC73" s="66">
        <f t="shared" si="36"/>
        <v>0</v>
      </c>
      <c r="AD73" s="66">
        <f t="shared" si="36"/>
        <v>0</v>
      </c>
      <c r="AE73" s="66">
        <f t="shared" si="36"/>
        <v>0</v>
      </c>
      <c r="AF73" s="66">
        <f t="shared" si="36"/>
        <v>0</v>
      </c>
      <c r="AG73" s="66">
        <f t="shared" si="36"/>
        <v>0.24032789795897547</v>
      </c>
    </row>
    <row r="74" spans="1:33">
      <c r="A74" t="s">
        <v>152</v>
      </c>
      <c r="B74" s="66" t="e">
        <f t="shared" si="37"/>
        <v>#REF!</v>
      </c>
      <c r="C74" s="66">
        <f t="shared" si="36"/>
        <v>0</v>
      </c>
      <c r="D74" s="66">
        <f t="shared" si="36"/>
        <v>0</v>
      </c>
      <c r="E74" s="66">
        <f t="shared" si="36"/>
        <v>0</v>
      </c>
      <c r="F74" s="66">
        <f t="shared" si="36"/>
        <v>0</v>
      </c>
      <c r="G74" s="66">
        <f t="shared" si="36"/>
        <v>0</v>
      </c>
      <c r="H74" s="66">
        <f t="shared" si="36"/>
        <v>0</v>
      </c>
      <c r="I74" s="66">
        <f t="shared" si="36"/>
        <v>0</v>
      </c>
      <c r="J74" s="66">
        <f t="shared" si="36"/>
        <v>0</v>
      </c>
      <c r="K74" s="66">
        <f t="shared" si="36"/>
        <v>0</v>
      </c>
      <c r="L74" s="66">
        <f t="shared" si="36"/>
        <v>0</v>
      </c>
      <c r="M74" s="66">
        <f t="shared" si="36"/>
        <v>0</v>
      </c>
      <c r="N74" s="66">
        <f t="shared" si="36"/>
        <v>0</v>
      </c>
      <c r="O74" s="66">
        <f t="shared" si="36"/>
        <v>0</v>
      </c>
      <c r="P74" s="66">
        <f t="shared" si="36"/>
        <v>0</v>
      </c>
      <c r="Q74" s="66">
        <f t="shared" si="36"/>
        <v>0</v>
      </c>
      <c r="R74" s="66">
        <f t="shared" si="36"/>
        <v>0</v>
      </c>
      <c r="S74" s="66">
        <f t="shared" si="36"/>
        <v>0</v>
      </c>
      <c r="T74" s="66">
        <f t="shared" si="36"/>
        <v>0</v>
      </c>
      <c r="U74" s="66">
        <f t="shared" si="36"/>
        <v>0</v>
      </c>
      <c r="V74" s="66">
        <f t="shared" si="36"/>
        <v>0</v>
      </c>
      <c r="W74" s="66">
        <f t="shared" si="36"/>
        <v>0</v>
      </c>
      <c r="X74" s="66">
        <f t="shared" si="36"/>
        <v>0</v>
      </c>
      <c r="Y74" s="66">
        <f t="shared" si="36"/>
        <v>0</v>
      </c>
      <c r="Z74" s="66">
        <f t="shared" si="36"/>
        <v>0</v>
      </c>
      <c r="AA74" s="66">
        <f t="shared" si="36"/>
        <v>0</v>
      </c>
      <c r="AB74" s="66">
        <f t="shared" si="36"/>
        <v>0</v>
      </c>
      <c r="AC74" s="66">
        <f t="shared" si="36"/>
        <v>0</v>
      </c>
      <c r="AD74" s="66">
        <f t="shared" si="36"/>
        <v>0</v>
      </c>
      <c r="AE74" s="66">
        <f t="shared" si="36"/>
        <v>0</v>
      </c>
      <c r="AF74" s="66">
        <f t="shared" si="36"/>
        <v>0</v>
      </c>
      <c r="AG74" s="66">
        <f t="shared" si="36"/>
        <v>0</v>
      </c>
    </row>
    <row r="75" spans="1:33">
      <c r="A75" t="s">
        <v>153</v>
      </c>
      <c r="B75" s="66" t="e">
        <f t="shared" si="37"/>
        <v>#REF!</v>
      </c>
      <c r="C75" s="66">
        <f t="shared" si="36"/>
        <v>0</v>
      </c>
      <c r="D75" s="66">
        <f t="shared" si="36"/>
        <v>0</v>
      </c>
      <c r="E75" s="66">
        <f t="shared" si="36"/>
        <v>0</v>
      </c>
      <c r="F75" s="66">
        <f t="shared" si="36"/>
        <v>0</v>
      </c>
      <c r="G75" s="66">
        <f t="shared" si="36"/>
        <v>0</v>
      </c>
      <c r="H75" s="66">
        <f>H64*H24*H$66/10000000</f>
        <v>0</v>
      </c>
      <c r="I75" s="66">
        <f t="shared" si="36"/>
        <v>0</v>
      </c>
      <c r="J75" s="66">
        <f t="shared" si="36"/>
        <v>0</v>
      </c>
      <c r="K75" s="66">
        <f t="shared" si="36"/>
        <v>0</v>
      </c>
      <c r="L75" s="66">
        <f t="shared" si="36"/>
        <v>0</v>
      </c>
      <c r="M75" s="66">
        <f t="shared" si="36"/>
        <v>0</v>
      </c>
      <c r="N75" s="66">
        <f t="shared" si="36"/>
        <v>0</v>
      </c>
      <c r="O75" s="66">
        <f t="shared" si="36"/>
        <v>0</v>
      </c>
      <c r="P75" s="66">
        <f t="shared" si="36"/>
        <v>0</v>
      </c>
      <c r="Q75" s="66">
        <f t="shared" si="36"/>
        <v>0</v>
      </c>
      <c r="R75" s="66">
        <f t="shared" si="36"/>
        <v>0</v>
      </c>
      <c r="S75" s="66">
        <f t="shared" si="36"/>
        <v>0</v>
      </c>
      <c r="T75" s="66">
        <f t="shared" si="36"/>
        <v>0</v>
      </c>
      <c r="U75" s="66">
        <f t="shared" si="36"/>
        <v>0</v>
      </c>
      <c r="V75" s="66">
        <f t="shared" si="36"/>
        <v>0</v>
      </c>
      <c r="W75" s="66">
        <f t="shared" si="36"/>
        <v>0</v>
      </c>
      <c r="X75" s="66">
        <f t="shared" si="36"/>
        <v>0</v>
      </c>
      <c r="Y75" s="66">
        <f t="shared" si="36"/>
        <v>0</v>
      </c>
      <c r="Z75" s="66">
        <f t="shared" si="36"/>
        <v>0</v>
      </c>
      <c r="AA75" s="66">
        <f t="shared" si="36"/>
        <v>0</v>
      </c>
      <c r="AB75" s="66">
        <f t="shared" si="36"/>
        <v>0</v>
      </c>
      <c r="AC75" s="66">
        <f t="shared" si="36"/>
        <v>0</v>
      </c>
      <c r="AD75" s="66">
        <f t="shared" si="36"/>
        <v>0</v>
      </c>
      <c r="AE75" s="66">
        <f t="shared" si="36"/>
        <v>0</v>
      </c>
      <c r="AF75" s="66">
        <f t="shared" si="36"/>
        <v>0</v>
      </c>
      <c r="AG75" s="66">
        <f t="shared" si="36"/>
        <v>0</v>
      </c>
    </row>
    <row r="81" spans="2:2">
      <c r="B81" s="56"/>
    </row>
  </sheetData>
  <mergeCells count="6">
    <mergeCell ref="A69:C69"/>
    <mergeCell ref="A11:C11"/>
    <mergeCell ref="A26:C26"/>
    <mergeCell ref="A41:C41"/>
    <mergeCell ref="A50:C50"/>
    <mergeCell ref="A58:C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zoomScale="99" zoomScaleNormal="99" workbookViewId="0">
      <selection activeCell="A39" sqref="A39"/>
    </sheetView>
  </sheetViews>
  <sheetFormatPr baseColWidth="10" defaultRowHeight="15.6"/>
  <cols>
    <col min="1" max="1" width="39" style="1" customWidth="1"/>
    <col min="2" max="2" width="29.3984375" style="1" customWidth="1"/>
    <col min="3" max="3" width="16.5" style="2" customWidth="1"/>
    <col min="4" max="4" width="9.8984375" style="4" customWidth="1"/>
    <col min="5" max="5" width="8.5" style="24" customWidth="1"/>
    <col min="6" max="6" width="9" style="24" customWidth="1"/>
  </cols>
  <sheetData>
    <row r="1" spans="1:9">
      <c r="E1" s="134" t="s">
        <v>122</v>
      </c>
      <c r="F1" s="134"/>
      <c r="H1" s="132" t="s">
        <v>123</v>
      </c>
    </row>
    <row r="2" spans="1:9" ht="27.6">
      <c r="A2" s="5" t="s">
        <v>0</v>
      </c>
      <c r="B2" s="5" t="s">
        <v>1</v>
      </c>
      <c r="C2" s="5" t="s">
        <v>2</v>
      </c>
      <c r="D2" s="6" t="s">
        <v>54</v>
      </c>
      <c r="E2" s="7" t="s">
        <v>55</v>
      </c>
      <c r="F2" s="7" t="s">
        <v>56</v>
      </c>
      <c r="H2" t="s">
        <v>57</v>
      </c>
      <c r="I2" t="s">
        <v>58</v>
      </c>
    </row>
    <row r="3" spans="1:9">
      <c r="A3" s="8" t="s">
        <v>3</v>
      </c>
      <c r="B3" s="8" t="s">
        <v>4</v>
      </c>
      <c r="C3" s="9" t="s">
        <v>5</v>
      </c>
      <c r="D3" s="10">
        <v>321</v>
      </c>
      <c r="E3" s="10">
        <v>256.8</v>
      </c>
      <c r="F3" s="10">
        <v>150</v>
      </c>
      <c r="H3" s="28">
        <f>E3</f>
        <v>256.8</v>
      </c>
      <c r="I3" t="s">
        <v>59</v>
      </c>
    </row>
    <row r="4" spans="1:9">
      <c r="A4" s="8" t="s">
        <v>3</v>
      </c>
      <c r="B4" s="8" t="s">
        <v>6</v>
      </c>
      <c r="C4" s="9" t="s">
        <v>5</v>
      </c>
      <c r="D4" s="11">
        <v>160</v>
      </c>
      <c r="E4" s="11">
        <v>128</v>
      </c>
      <c r="F4" s="11">
        <v>80</v>
      </c>
      <c r="H4" s="28">
        <f>E4</f>
        <v>128</v>
      </c>
      <c r="I4" t="s">
        <v>59</v>
      </c>
    </row>
    <row r="5" spans="1:9">
      <c r="A5" s="8" t="s">
        <v>7</v>
      </c>
      <c r="B5" s="8" t="s">
        <v>8</v>
      </c>
      <c r="C5" s="9" t="s">
        <v>9</v>
      </c>
      <c r="D5" s="10">
        <v>97</v>
      </c>
      <c r="E5" s="10">
        <v>77.600000000000009</v>
      </c>
      <c r="F5" s="10">
        <v>78</v>
      </c>
      <c r="H5" s="28">
        <f>D5</f>
        <v>97</v>
      </c>
      <c r="I5" t="s">
        <v>60</v>
      </c>
    </row>
    <row r="6" spans="1:9">
      <c r="A6" s="8" t="s">
        <v>7</v>
      </c>
      <c r="B6" s="8" t="s">
        <v>10</v>
      </c>
      <c r="C6" s="9" t="s">
        <v>9</v>
      </c>
      <c r="D6" s="10">
        <v>54</v>
      </c>
      <c r="E6" s="10">
        <v>43.2</v>
      </c>
      <c r="F6" s="10">
        <v>43.2</v>
      </c>
      <c r="H6" s="28">
        <f t="shared" ref="H6:H9" si="0">D6</f>
        <v>54</v>
      </c>
      <c r="I6" t="s">
        <v>60</v>
      </c>
    </row>
    <row r="7" spans="1:9">
      <c r="A7" s="8" t="s">
        <v>7</v>
      </c>
      <c r="B7" s="8" t="s">
        <v>11</v>
      </c>
      <c r="C7" s="9" t="s">
        <v>9</v>
      </c>
      <c r="D7" s="10">
        <v>54</v>
      </c>
      <c r="E7" s="10">
        <v>43.2</v>
      </c>
      <c r="F7" s="10">
        <v>43.2</v>
      </c>
      <c r="H7" s="28">
        <f t="shared" si="0"/>
        <v>54</v>
      </c>
      <c r="I7" t="s">
        <v>60</v>
      </c>
    </row>
    <row r="8" spans="1:9">
      <c r="A8" s="8" t="s">
        <v>7</v>
      </c>
      <c r="B8" s="8" t="s">
        <v>12</v>
      </c>
      <c r="C8" s="9" t="s">
        <v>9</v>
      </c>
      <c r="D8" s="12">
        <v>5</v>
      </c>
      <c r="E8" s="12">
        <v>4.5</v>
      </c>
      <c r="F8" s="12">
        <v>4.5</v>
      </c>
      <c r="H8" s="28">
        <f t="shared" si="0"/>
        <v>5</v>
      </c>
      <c r="I8" t="s">
        <v>60</v>
      </c>
    </row>
    <row r="9" spans="1:9">
      <c r="A9" s="8" t="s">
        <v>7</v>
      </c>
      <c r="B9" s="8" t="s">
        <v>13</v>
      </c>
      <c r="C9" s="9" t="s">
        <v>9</v>
      </c>
      <c r="D9" s="11">
        <v>190</v>
      </c>
      <c r="E9" s="11">
        <v>152</v>
      </c>
      <c r="F9" s="11">
        <v>152</v>
      </c>
      <c r="H9" s="28">
        <f t="shared" si="0"/>
        <v>190</v>
      </c>
      <c r="I9" t="s">
        <v>60</v>
      </c>
    </row>
    <row r="10" spans="1:9">
      <c r="A10" s="8" t="s">
        <v>17</v>
      </c>
      <c r="B10" s="8" t="s">
        <v>18</v>
      </c>
      <c r="C10" s="9" t="s">
        <v>19</v>
      </c>
      <c r="D10" s="10">
        <v>442</v>
      </c>
      <c r="E10" s="10">
        <v>428.74</v>
      </c>
      <c r="F10" s="10">
        <v>141.44</v>
      </c>
      <c r="H10" s="28">
        <f>E10</f>
        <v>428.74</v>
      </c>
      <c r="I10" t="s">
        <v>61</v>
      </c>
    </row>
    <row r="11" spans="1:9">
      <c r="A11" s="8" t="s">
        <v>17</v>
      </c>
      <c r="B11" s="8" t="s">
        <v>20</v>
      </c>
      <c r="C11" s="9" t="s">
        <v>19</v>
      </c>
      <c r="D11" s="10">
        <v>93</v>
      </c>
      <c r="E11" s="10">
        <v>83.7</v>
      </c>
      <c r="F11" s="10">
        <v>74.400000000000006</v>
      </c>
      <c r="H11" s="28">
        <f>E11</f>
        <v>83.7</v>
      </c>
      <c r="I11" t="s">
        <v>62</v>
      </c>
    </row>
    <row r="12" spans="1:9">
      <c r="A12" s="13" t="s">
        <v>21</v>
      </c>
      <c r="B12" s="13" t="s">
        <v>22</v>
      </c>
      <c r="C12" s="9" t="s">
        <v>23</v>
      </c>
      <c r="D12" s="10">
        <v>403</v>
      </c>
      <c r="E12" s="10">
        <v>362.7</v>
      </c>
      <c r="F12" s="10">
        <v>322.40000000000003</v>
      </c>
      <c r="H12" s="28">
        <f t="shared" ref="H12:H16" si="1">E12</f>
        <v>362.7</v>
      </c>
      <c r="I12" t="s">
        <v>62</v>
      </c>
    </row>
    <row r="13" spans="1:9">
      <c r="A13" s="13" t="s">
        <v>21</v>
      </c>
      <c r="B13" s="13" t="s">
        <v>24</v>
      </c>
      <c r="C13" s="9" t="s">
        <v>25</v>
      </c>
      <c r="D13" s="12">
        <v>25</v>
      </c>
      <c r="E13" s="12">
        <v>22.5</v>
      </c>
      <c r="F13" s="12">
        <v>20</v>
      </c>
      <c r="H13" s="28">
        <f t="shared" si="1"/>
        <v>22.5</v>
      </c>
      <c r="I13" t="s">
        <v>62</v>
      </c>
    </row>
    <row r="14" spans="1:9">
      <c r="A14" s="13" t="s">
        <v>21</v>
      </c>
      <c r="B14" s="13" t="s">
        <v>26</v>
      </c>
      <c r="C14" s="9" t="s">
        <v>27</v>
      </c>
      <c r="D14" s="15">
        <v>3.15</v>
      </c>
      <c r="E14" s="15">
        <v>2.835</v>
      </c>
      <c r="F14" s="15">
        <v>2.52</v>
      </c>
      <c r="H14" s="28">
        <f t="shared" si="1"/>
        <v>2.835</v>
      </c>
      <c r="I14" t="s">
        <v>62</v>
      </c>
    </row>
    <row r="15" spans="1:9">
      <c r="A15" s="13" t="s">
        <v>21</v>
      </c>
      <c r="B15" s="13" t="s">
        <v>28</v>
      </c>
      <c r="C15" s="9" t="s">
        <v>29</v>
      </c>
      <c r="D15" s="15">
        <v>0.52</v>
      </c>
      <c r="E15" s="15">
        <v>0.46800000000000003</v>
      </c>
      <c r="F15" s="15">
        <v>0.41600000000000004</v>
      </c>
      <c r="H15" s="28">
        <f t="shared" si="1"/>
        <v>0.46800000000000003</v>
      </c>
      <c r="I15" t="s">
        <v>62</v>
      </c>
    </row>
    <row r="16" spans="1:9">
      <c r="A16" s="8" t="s">
        <v>17</v>
      </c>
      <c r="B16" s="8" t="s">
        <v>30</v>
      </c>
      <c r="C16" s="9" t="s">
        <v>31</v>
      </c>
      <c r="D16" s="10">
        <v>108</v>
      </c>
      <c r="E16" s="10">
        <v>97.2</v>
      </c>
      <c r="F16" s="10">
        <v>86.4</v>
      </c>
      <c r="H16" s="28">
        <f t="shared" si="1"/>
        <v>97.2</v>
      </c>
      <c r="I16" t="s">
        <v>62</v>
      </c>
    </row>
    <row r="17" spans="1:9">
      <c r="A17" s="8" t="s">
        <v>32</v>
      </c>
      <c r="B17" s="8"/>
      <c r="C17" s="9" t="s">
        <v>31</v>
      </c>
      <c r="D17" s="14">
        <v>0.98</v>
      </c>
      <c r="E17" s="14">
        <v>0.8</v>
      </c>
      <c r="F17" s="14">
        <v>0.4</v>
      </c>
      <c r="I17" t="s">
        <v>63</v>
      </c>
    </row>
    <row r="18" spans="1:9">
      <c r="A18" s="8" t="s">
        <v>33</v>
      </c>
      <c r="B18" s="8"/>
      <c r="C18" s="9" t="s">
        <v>31</v>
      </c>
      <c r="D18" s="14">
        <v>0.02</v>
      </c>
      <c r="E18" s="14">
        <v>0.2</v>
      </c>
      <c r="F18" s="14">
        <v>0.6</v>
      </c>
    </row>
    <row r="19" spans="1:9">
      <c r="A19" s="13" t="s">
        <v>34</v>
      </c>
      <c r="B19" s="13" t="s">
        <v>35</v>
      </c>
      <c r="C19" s="9" t="s">
        <v>36</v>
      </c>
      <c r="D19" s="16">
        <v>3.5999999999999999E-3</v>
      </c>
      <c r="E19" s="16">
        <v>3.5999999999999999E-3</v>
      </c>
      <c r="F19" s="16">
        <v>3.5999999999999999E-3</v>
      </c>
      <c r="I19" t="s">
        <v>62</v>
      </c>
    </row>
    <row r="20" spans="1:9">
      <c r="A20" s="13" t="s">
        <v>37</v>
      </c>
      <c r="B20" s="13" t="s">
        <v>35</v>
      </c>
      <c r="C20" s="9" t="s">
        <v>36</v>
      </c>
      <c r="D20" s="34">
        <v>1.04E-2</v>
      </c>
      <c r="E20" s="34">
        <v>1.04E-2</v>
      </c>
      <c r="F20" s="34">
        <v>1.1411999999999999E-2</v>
      </c>
      <c r="I20" t="s">
        <v>62</v>
      </c>
    </row>
    <row r="21" spans="1:9">
      <c r="A21" s="13" t="s">
        <v>38</v>
      </c>
      <c r="B21" s="13" t="s">
        <v>35</v>
      </c>
      <c r="C21" s="9" t="s">
        <v>39</v>
      </c>
      <c r="D21" s="17">
        <v>5.5000000000000002E-5</v>
      </c>
      <c r="E21" s="18">
        <v>4.4000000000000006E-5</v>
      </c>
      <c r="F21" s="18">
        <v>8.6731199999999995E-7</v>
      </c>
      <c r="H21" s="33">
        <f>E21</f>
        <v>4.4000000000000006E-5</v>
      </c>
      <c r="I21" t="s">
        <v>62</v>
      </c>
    </row>
    <row r="22" spans="1:9">
      <c r="A22" s="13" t="s">
        <v>38</v>
      </c>
      <c r="B22" s="13" t="s">
        <v>40</v>
      </c>
      <c r="C22" s="9" t="s">
        <v>41</v>
      </c>
      <c r="D22" s="17">
        <v>3.2000000000000002E-3</v>
      </c>
      <c r="E22" s="17">
        <v>2.5600000000000002E-3</v>
      </c>
      <c r="F22" s="17">
        <v>6.4000000000000005E-4</v>
      </c>
      <c r="H22" s="32">
        <f>E22</f>
        <v>2.5600000000000002E-3</v>
      </c>
      <c r="I22" t="s">
        <v>62</v>
      </c>
    </row>
    <row r="23" spans="1:9">
      <c r="A23" s="13" t="s">
        <v>42</v>
      </c>
      <c r="B23" s="13" t="s">
        <v>43</v>
      </c>
      <c r="C23" s="9" t="s">
        <v>44</v>
      </c>
      <c r="D23" s="17">
        <v>1.9265999999999999E-3</v>
      </c>
      <c r="E23" s="17">
        <v>1.5412799999999999E-3</v>
      </c>
      <c r="F23" s="17">
        <v>3.8531999999999998E-4</v>
      </c>
      <c r="H23" s="32">
        <f>E23</f>
        <v>1.5412799999999999E-3</v>
      </c>
      <c r="I23" t="s">
        <v>62</v>
      </c>
    </row>
    <row r="24" spans="1:9">
      <c r="A24" s="13" t="s">
        <v>38</v>
      </c>
      <c r="B24" s="13" t="s">
        <v>45</v>
      </c>
      <c r="C24" s="9" t="s">
        <v>46</v>
      </c>
      <c r="D24" s="17">
        <v>2.944E-3</v>
      </c>
      <c r="E24" s="17">
        <v>2.3552E-3</v>
      </c>
      <c r="F24" s="17">
        <v>5.888E-4</v>
      </c>
      <c r="H24" s="32">
        <f>E24</f>
        <v>2.3552E-3</v>
      </c>
      <c r="I24" t="s">
        <v>62</v>
      </c>
    </row>
    <row r="25" spans="1:9">
      <c r="A25" s="13" t="s">
        <v>38</v>
      </c>
      <c r="B25" s="13" t="s">
        <v>47</v>
      </c>
      <c r="C25" s="9" t="s">
        <v>48</v>
      </c>
      <c r="D25" s="17">
        <v>7.8625134264232011E-2</v>
      </c>
      <c r="E25" s="17">
        <v>7.0762620837808807E-2</v>
      </c>
      <c r="F25" s="17">
        <v>1.5725026852846404E-2</v>
      </c>
      <c r="H25" s="32">
        <f>E25</f>
        <v>7.0762620837808807E-2</v>
      </c>
      <c r="I25" t="s">
        <v>62</v>
      </c>
    </row>
    <row r="26" spans="1:9">
      <c r="A26" s="13" t="s">
        <v>49</v>
      </c>
      <c r="B26" s="13" t="s">
        <v>14</v>
      </c>
      <c r="C26" s="9" t="s">
        <v>50</v>
      </c>
      <c r="D26" s="19">
        <v>5.94E-3</v>
      </c>
      <c r="E26" s="25">
        <v>4.7528000000000013E-4</v>
      </c>
      <c r="F26" s="19">
        <v>4.7528000000000013E-4</v>
      </c>
      <c r="H26" s="32">
        <f>D26</f>
        <v>5.94E-3</v>
      </c>
      <c r="I26" t="s">
        <v>62</v>
      </c>
    </row>
    <row r="27" spans="1:9">
      <c r="A27" s="13" t="s">
        <v>49</v>
      </c>
      <c r="B27" s="20" t="s">
        <v>51</v>
      </c>
      <c r="C27" s="9" t="s">
        <v>50</v>
      </c>
      <c r="D27" s="19">
        <v>1.1650000000000001E-2</v>
      </c>
      <c r="E27" s="25">
        <v>9.3134328358208962E-4</v>
      </c>
      <c r="F27" s="19">
        <v>9.3134328358208962E-4</v>
      </c>
      <c r="H27" s="32">
        <f>D27</f>
        <v>1.1650000000000001E-2</v>
      </c>
      <c r="I27" t="s">
        <v>64</v>
      </c>
    </row>
    <row r="28" spans="1:9">
      <c r="A28" s="13" t="s">
        <v>38</v>
      </c>
      <c r="B28" s="13" t="s">
        <v>14</v>
      </c>
      <c r="C28" s="9" t="s">
        <v>52</v>
      </c>
      <c r="D28" s="21">
        <v>3.2010000000000001</v>
      </c>
      <c r="E28" s="26">
        <v>2.6364799999999997</v>
      </c>
      <c r="F28" s="21">
        <v>2.6364799999999997</v>
      </c>
      <c r="H28" s="31">
        <f t="shared" ref="H28:H31" si="2">D28</f>
        <v>3.2010000000000001</v>
      </c>
      <c r="I28" t="s">
        <v>64</v>
      </c>
    </row>
    <row r="29" spans="1:9">
      <c r="A29" s="13" t="s">
        <v>38</v>
      </c>
      <c r="B29" s="13" t="s">
        <v>15</v>
      </c>
      <c r="C29" s="9" t="s">
        <v>52</v>
      </c>
      <c r="D29" s="21">
        <v>3.4540000000000002</v>
      </c>
      <c r="E29" s="26">
        <v>2.9072</v>
      </c>
      <c r="F29" s="21">
        <v>2.9072</v>
      </c>
      <c r="H29" s="31">
        <f t="shared" si="2"/>
        <v>3.4540000000000002</v>
      </c>
      <c r="I29" t="s">
        <v>64</v>
      </c>
    </row>
    <row r="30" spans="1:9">
      <c r="A30" s="13" t="s">
        <v>38</v>
      </c>
      <c r="B30" s="13" t="s">
        <v>51</v>
      </c>
      <c r="C30" s="9" t="s">
        <v>52</v>
      </c>
      <c r="D30" s="21">
        <v>2.5604999999999993</v>
      </c>
      <c r="E30" s="26">
        <v>1.9926925373134332</v>
      </c>
      <c r="F30" s="21">
        <v>1.9926925373134332</v>
      </c>
      <c r="H30" s="31">
        <f t="shared" si="2"/>
        <v>2.5604999999999993</v>
      </c>
      <c r="I30" t="s">
        <v>64</v>
      </c>
    </row>
    <row r="31" spans="1:9">
      <c r="A31" s="13" t="s">
        <v>38</v>
      </c>
      <c r="B31" s="13" t="s">
        <v>16</v>
      </c>
      <c r="C31" s="9" t="s">
        <v>52</v>
      </c>
      <c r="D31" s="21">
        <v>2.9950000000000001</v>
      </c>
      <c r="E31" s="26">
        <v>4.2439999999999998</v>
      </c>
      <c r="F31" s="21">
        <v>4.2439999999999998</v>
      </c>
      <c r="H31" s="31">
        <f t="shared" si="2"/>
        <v>2.9950000000000001</v>
      </c>
      <c r="I31" t="s">
        <v>65</v>
      </c>
    </row>
    <row r="32" spans="1:9">
      <c r="A32" s="13" t="s">
        <v>37</v>
      </c>
      <c r="B32" s="13" t="s">
        <v>14</v>
      </c>
      <c r="C32" s="9" t="s">
        <v>53</v>
      </c>
      <c r="D32" s="22">
        <v>58.81</v>
      </c>
      <c r="E32" s="27">
        <v>47.048000000000002</v>
      </c>
      <c r="F32" s="22">
        <v>47.048000000000002</v>
      </c>
      <c r="H32" s="30">
        <f>D32</f>
        <v>58.81</v>
      </c>
      <c r="I32" t="s">
        <v>62</v>
      </c>
    </row>
    <row r="33" spans="1:9">
      <c r="A33" s="13" t="s">
        <v>37</v>
      </c>
      <c r="B33" s="13" t="s">
        <v>15</v>
      </c>
      <c r="C33" s="9" t="s">
        <v>53</v>
      </c>
      <c r="D33" s="22">
        <v>62.91</v>
      </c>
      <c r="E33" s="27">
        <v>50.328000000000003</v>
      </c>
      <c r="F33" s="22">
        <v>50.328000000000003</v>
      </c>
      <c r="H33" s="30">
        <f t="shared" ref="H33:H34" si="3">D33</f>
        <v>62.91</v>
      </c>
      <c r="I33" t="s">
        <v>62</v>
      </c>
    </row>
    <row r="34" spans="1:9">
      <c r="A34" s="13" t="s">
        <v>37</v>
      </c>
      <c r="B34" s="13" t="s">
        <v>51</v>
      </c>
      <c r="C34" s="9" t="s">
        <v>53</v>
      </c>
      <c r="D34" s="22">
        <v>47.47</v>
      </c>
      <c r="E34" s="27">
        <v>37.975999999999999</v>
      </c>
      <c r="F34" s="22">
        <v>37.975999999999999</v>
      </c>
      <c r="H34" s="30">
        <f t="shared" si="3"/>
        <v>47.47</v>
      </c>
      <c r="I34" t="s">
        <v>62</v>
      </c>
    </row>
    <row r="35" spans="1:9">
      <c r="A35" s="13" t="s">
        <v>37</v>
      </c>
      <c r="B35" s="13" t="s">
        <v>16</v>
      </c>
      <c r="C35" s="9" t="s">
        <v>53</v>
      </c>
      <c r="D35" s="22">
        <v>54.36</v>
      </c>
      <c r="E35" s="27">
        <v>48.923999999999999</v>
      </c>
      <c r="F35" s="22">
        <v>43.488</v>
      </c>
      <c r="H35" s="30">
        <f>E35</f>
        <v>48.923999999999999</v>
      </c>
      <c r="I35" t="s">
        <v>62</v>
      </c>
    </row>
    <row r="36" spans="1:9">
      <c r="A36" s="3"/>
      <c r="B36" s="3"/>
      <c r="C36" s="23"/>
      <c r="D36" s="3"/>
      <c r="E36" s="3"/>
      <c r="F36" s="3"/>
    </row>
    <row r="37" spans="1:9">
      <c r="A37"/>
      <c r="B37"/>
      <c r="C37"/>
      <c r="D37"/>
      <c r="E37"/>
      <c r="F37" s="3"/>
    </row>
    <row r="38" spans="1:9">
      <c r="A38"/>
      <c r="B38"/>
      <c r="C38"/>
      <c r="D38"/>
      <c r="E38"/>
      <c r="F38" s="3"/>
    </row>
    <row r="39" spans="1:9">
      <c r="A39"/>
      <c r="B39"/>
      <c r="C39"/>
      <c r="D39"/>
      <c r="E39"/>
      <c r="F39"/>
    </row>
    <row r="40" spans="1:9">
      <c r="A40"/>
      <c r="B40"/>
      <c r="C40"/>
      <c r="D40"/>
      <c r="E40"/>
      <c r="F40"/>
    </row>
    <row r="41" spans="1:9">
      <c r="A41"/>
      <c r="B41"/>
      <c r="C41"/>
      <c r="D41"/>
      <c r="E41"/>
      <c r="F41"/>
    </row>
    <row r="42" spans="1:9">
      <c r="A42"/>
      <c r="B42"/>
      <c r="C42"/>
      <c r="D42"/>
      <c r="E42"/>
      <c r="F42"/>
    </row>
    <row r="43" spans="1:9">
      <c r="A43"/>
      <c r="B43"/>
      <c r="C43"/>
      <c r="D43"/>
      <c r="E43"/>
      <c r="F43"/>
    </row>
    <row r="45" spans="1:9">
      <c r="A45"/>
      <c r="B45"/>
      <c r="C45"/>
      <c r="D45"/>
      <c r="E45"/>
      <c r="F45"/>
    </row>
    <row r="46" spans="1:9">
      <c r="A46"/>
      <c r="B46"/>
      <c r="C46"/>
      <c r="D46"/>
      <c r="E46"/>
      <c r="F46"/>
    </row>
    <row r="47" spans="1:9">
      <c r="A47"/>
      <c r="B47"/>
      <c r="C47"/>
      <c r="D47"/>
      <c r="E47"/>
      <c r="F47"/>
    </row>
    <row r="48" spans="1:9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  <row r="50" spans="1:6">
      <c r="A50"/>
      <c r="B50"/>
      <c r="C50"/>
      <c r="D50"/>
      <c r="E50"/>
      <c r="F50"/>
    </row>
    <row r="51" spans="1:6">
      <c r="A51"/>
      <c r="B51"/>
      <c r="C51"/>
      <c r="D51"/>
      <c r="E51"/>
      <c r="F51"/>
    </row>
    <row r="52" spans="1:6">
      <c r="A52"/>
      <c r="B52"/>
      <c r="C52"/>
      <c r="D52"/>
      <c r="E52"/>
      <c r="F52"/>
    </row>
    <row r="54" spans="1:6">
      <c r="A54"/>
      <c r="B54"/>
      <c r="C54"/>
      <c r="D54"/>
      <c r="E54"/>
      <c r="F54"/>
    </row>
    <row r="55" spans="1:6">
      <c r="A55"/>
      <c r="B55"/>
      <c r="C55"/>
      <c r="D55"/>
      <c r="E55"/>
      <c r="F55"/>
    </row>
    <row r="56" spans="1:6">
      <c r="A56"/>
      <c r="B56"/>
      <c r="C56"/>
      <c r="D56"/>
      <c r="E56"/>
      <c r="F56"/>
    </row>
  </sheetData>
  <mergeCells count="1"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4"/>
  <sheetViews>
    <sheetView topLeftCell="A19" workbookViewId="0">
      <selection activeCell="G27" sqref="G27"/>
    </sheetView>
  </sheetViews>
  <sheetFormatPr baseColWidth="10" defaultColWidth="11" defaultRowHeight="14.4"/>
  <cols>
    <col min="1" max="1" width="35" style="68" customWidth="1"/>
    <col min="2" max="4" width="11" style="68"/>
    <col min="5" max="5" width="16.19921875" style="68" customWidth="1"/>
    <col min="6" max="6" width="15.09765625" style="68" customWidth="1"/>
    <col min="7" max="7" width="12.8984375" style="68" customWidth="1"/>
    <col min="8" max="16384" width="11" style="68"/>
  </cols>
  <sheetData>
    <row r="3" spans="1:6">
      <c r="A3" s="67" t="s">
        <v>165</v>
      </c>
      <c r="D3" s="69">
        <v>2020</v>
      </c>
      <c r="E3" s="69" t="s">
        <v>166</v>
      </c>
      <c r="F3" s="67" t="s">
        <v>167</v>
      </c>
    </row>
    <row r="4" spans="1:6" ht="15.6">
      <c r="A4" s="70" t="s">
        <v>168</v>
      </c>
      <c r="B4" s="71"/>
      <c r="C4" s="72" t="s">
        <v>169</v>
      </c>
      <c r="D4" s="73">
        <v>0.05</v>
      </c>
      <c r="E4" s="73">
        <v>0.2</v>
      </c>
      <c r="F4" s="74">
        <v>0.2</v>
      </c>
    </row>
    <row r="5" spans="1:6" ht="15.6">
      <c r="A5" s="70" t="s">
        <v>170</v>
      </c>
      <c r="B5" s="71"/>
      <c r="C5" s="72" t="s">
        <v>169</v>
      </c>
      <c r="D5" s="73">
        <v>0</v>
      </c>
      <c r="E5" s="75">
        <v>0.05</v>
      </c>
      <c r="F5" s="76">
        <v>2.5000000000000001E-2</v>
      </c>
    </row>
    <row r="6" spans="1:6" ht="15.6">
      <c r="A6" s="70" t="s">
        <v>171</v>
      </c>
      <c r="B6" s="71"/>
      <c r="C6" s="72" t="s">
        <v>169</v>
      </c>
      <c r="D6" s="73">
        <v>0.02</v>
      </c>
      <c r="E6" s="73">
        <v>0.1</v>
      </c>
      <c r="F6" s="74">
        <v>0.1</v>
      </c>
    </row>
    <row r="7" spans="1:6" ht="15.6">
      <c r="A7" s="70" t="s">
        <v>172</v>
      </c>
      <c r="B7" s="71"/>
      <c r="C7" s="72" t="s">
        <v>169</v>
      </c>
      <c r="D7" s="73">
        <v>0</v>
      </c>
      <c r="E7" s="73">
        <v>0.05</v>
      </c>
      <c r="F7" s="76">
        <v>1.4999999999999999E-2</v>
      </c>
    </row>
    <row r="8" spans="1:6" ht="15.6">
      <c r="A8" s="70" t="s">
        <v>173</v>
      </c>
      <c r="B8" s="71"/>
      <c r="C8" s="72" t="s">
        <v>169</v>
      </c>
      <c r="D8" s="73">
        <v>0</v>
      </c>
      <c r="E8" s="73">
        <v>4.2677669529663689E-2</v>
      </c>
      <c r="F8" s="76">
        <v>1.4999999999999999E-2</v>
      </c>
    </row>
    <row r="9" spans="1:6" ht="15.6">
      <c r="A9" s="45" t="s">
        <v>174</v>
      </c>
      <c r="B9" s="77"/>
      <c r="C9" s="45"/>
      <c r="D9" s="78"/>
      <c r="E9" s="78"/>
      <c r="F9" s="79"/>
    </row>
    <row r="10" spans="1:6" ht="15.6">
      <c r="A10" s="70" t="s">
        <v>175</v>
      </c>
      <c r="B10" s="71"/>
      <c r="C10" s="72" t="s">
        <v>176</v>
      </c>
      <c r="D10" s="80">
        <v>831.03014518869475</v>
      </c>
      <c r="E10" s="80">
        <v>1539.016834739451</v>
      </c>
      <c r="F10" s="81">
        <v>831</v>
      </c>
    </row>
    <row r="11" spans="1:6" ht="15.6">
      <c r="A11" s="70" t="s">
        <v>177</v>
      </c>
      <c r="B11" s="71"/>
      <c r="C11" s="72" t="s">
        <v>176</v>
      </c>
      <c r="D11" s="80">
        <v>831.03014518869475</v>
      </c>
      <c r="E11" s="80">
        <v>1539.016834739451</v>
      </c>
      <c r="F11" s="82">
        <v>1539</v>
      </c>
    </row>
    <row r="12" spans="1:6" ht="15.6">
      <c r="A12" s="70" t="s">
        <v>178</v>
      </c>
      <c r="B12" s="71"/>
      <c r="C12" s="72" t="s">
        <v>176</v>
      </c>
      <c r="D12" s="80">
        <v>831.03014518869475</v>
      </c>
      <c r="E12" s="80">
        <v>1539.016834739451</v>
      </c>
      <c r="F12" s="82">
        <v>1539</v>
      </c>
    </row>
    <row r="13" spans="1:6" ht="15.6">
      <c r="A13" s="70" t="s">
        <v>179</v>
      </c>
      <c r="B13" s="71"/>
      <c r="C13" s="72" t="s">
        <v>176</v>
      </c>
      <c r="D13" s="80">
        <v>6011.8068256397419</v>
      </c>
      <c r="E13" s="80">
        <v>5331.3307397284443</v>
      </c>
      <c r="F13" s="82">
        <v>5331</v>
      </c>
    </row>
    <row r="14" spans="1:6" ht="15.6">
      <c r="A14" s="70" t="s">
        <v>180</v>
      </c>
      <c r="B14" s="71"/>
      <c r="C14" s="72" t="s">
        <v>176</v>
      </c>
      <c r="D14" s="80">
        <v>74598.117257663645</v>
      </c>
      <c r="E14" s="80">
        <v>63154.918406177123</v>
      </c>
      <c r="F14" s="82">
        <v>63155</v>
      </c>
    </row>
    <row r="15" spans="1:6" ht="15.6">
      <c r="A15" s="70" t="s">
        <v>181</v>
      </c>
      <c r="B15" s="71"/>
      <c r="C15" s="72" t="s">
        <v>176</v>
      </c>
      <c r="D15" s="80">
        <v>3886.8933425240903</v>
      </c>
      <c r="E15" s="80">
        <v>14039.532010891246</v>
      </c>
      <c r="F15" s="83" t="s">
        <v>182</v>
      </c>
    </row>
    <row r="16" spans="1:6" ht="15.6">
      <c r="A16" s="45" t="s">
        <v>183</v>
      </c>
      <c r="B16" s="77"/>
      <c r="C16" s="45"/>
      <c r="D16" s="78"/>
      <c r="E16" s="78"/>
      <c r="F16" s="79"/>
    </row>
    <row r="17" spans="1:10" ht="15.6">
      <c r="A17" s="70" t="s">
        <v>175</v>
      </c>
      <c r="C17" s="72" t="s">
        <v>169</v>
      </c>
      <c r="E17" s="84">
        <v>0.02</v>
      </c>
      <c r="F17" s="85" t="s">
        <v>184</v>
      </c>
      <c r="G17" s="86"/>
      <c r="H17" s="86"/>
      <c r="I17" s="86"/>
      <c r="J17" s="86"/>
    </row>
    <row r="18" spans="1:10" ht="15.6">
      <c r="A18" s="70" t="s">
        <v>177</v>
      </c>
      <c r="C18" s="72" t="s">
        <v>169</v>
      </c>
      <c r="E18" s="84">
        <v>0.02</v>
      </c>
      <c r="F18" s="74">
        <v>0.02</v>
      </c>
    </row>
    <row r="19" spans="1:10" ht="15.6">
      <c r="A19" s="70" t="s">
        <v>178</v>
      </c>
      <c r="C19" s="72" t="s">
        <v>169</v>
      </c>
      <c r="E19" s="84">
        <v>0.02</v>
      </c>
      <c r="F19" s="74">
        <v>0.02</v>
      </c>
    </row>
    <row r="20" spans="1:10" ht="15.6">
      <c r="A20" s="70" t="s">
        <v>179</v>
      </c>
      <c r="C20" s="72" t="s">
        <v>169</v>
      </c>
      <c r="E20" s="84">
        <v>6.9282292686954475E-2</v>
      </c>
      <c r="F20" s="74">
        <v>6.9282292686954475E-2</v>
      </c>
    </row>
    <row r="21" spans="1:10" ht="15.6">
      <c r="A21" s="70" t="s">
        <v>180</v>
      </c>
      <c r="C21" s="72" t="s">
        <v>169</v>
      </c>
      <c r="E21" s="84">
        <v>0.82</v>
      </c>
      <c r="F21" s="87" t="s">
        <v>185</v>
      </c>
    </row>
    <row r="24" spans="1:10" ht="28.8">
      <c r="A24" s="88" t="s">
        <v>95</v>
      </c>
      <c r="B24" s="89">
        <v>2020</v>
      </c>
      <c r="C24" s="90" t="s">
        <v>186</v>
      </c>
      <c r="D24" s="90" t="s">
        <v>187</v>
      </c>
      <c r="E24" s="90" t="s">
        <v>188</v>
      </c>
      <c r="F24" s="90" t="s">
        <v>189</v>
      </c>
    </row>
    <row r="25" spans="1:10" ht="15.6">
      <c r="A25" s="91" t="s">
        <v>190</v>
      </c>
      <c r="B25" s="92">
        <v>29.856337911865172</v>
      </c>
      <c r="C25" s="93">
        <v>36.716461282516846</v>
      </c>
      <c r="D25" s="93">
        <v>33.773311403817168</v>
      </c>
      <c r="E25" s="93">
        <v>30.076028634641713</v>
      </c>
      <c r="F25" s="93">
        <v>30.076028634641713</v>
      </c>
    </row>
    <row r="26" spans="1:10" ht="28.8">
      <c r="A26" s="94" t="s">
        <v>100</v>
      </c>
      <c r="B26" s="95">
        <v>25.7</v>
      </c>
      <c r="C26" s="96">
        <v>31.958345212146835</v>
      </c>
      <c r="D26" s="96">
        <v>26.076028634641713</v>
      </c>
      <c r="E26" s="96">
        <v>26.076028634641713</v>
      </c>
      <c r="F26" s="96">
        <v>26.076028634641713</v>
      </c>
    </row>
    <row r="27" spans="1:10">
      <c r="A27" s="94" t="s">
        <v>104</v>
      </c>
      <c r="B27" s="95">
        <v>4.1563379118651715</v>
      </c>
      <c r="C27" s="96">
        <v>4.7581160703700096</v>
      </c>
      <c r="D27" s="96">
        <v>7.6972827691754526</v>
      </c>
      <c r="E27" s="97">
        <v>4</v>
      </c>
      <c r="F27" s="97">
        <v>4</v>
      </c>
    </row>
    <row r="28" spans="1:10">
      <c r="A28" s="94" t="s">
        <v>191</v>
      </c>
      <c r="B28" s="95">
        <v>0</v>
      </c>
      <c r="C28" s="96">
        <v>0</v>
      </c>
      <c r="D28" s="96">
        <v>0</v>
      </c>
      <c r="E28" s="96">
        <v>0</v>
      </c>
      <c r="F28" s="96">
        <v>0</v>
      </c>
    </row>
    <row r="29" spans="1:10" ht="15.6">
      <c r="A29" s="91" t="s">
        <v>106</v>
      </c>
      <c r="B29" s="98">
        <v>4.5</v>
      </c>
      <c r="C29" s="99">
        <v>6.6176512326874963</v>
      </c>
      <c r="D29" s="99">
        <v>22.128691433785548</v>
      </c>
      <c r="E29" s="100">
        <v>12.450000000000001</v>
      </c>
      <c r="F29" s="100">
        <v>20.399999999999999</v>
      </c>
      <c r="G29" s="67" t="s">
        <v>192</v>
      </c>
    </row>
    <row r="30" spans="1:10">
      <c r="A30" s="94" t="s">
        <v>107</v>
      </c>
      <c r="B30" s="101">
        <v>2</v>
      </c>
      <c r="C30" s="102">
        <v>3.1849191125147929</v>
      </c>
      <c r="D30" s="96">
        <v>6.8654402690830603</v>
      </c>
      <c r="E30" s="103">
        <v>4.5</v>
      </c>
      <c r="F30" s="103">
        <v>7</v>
      </c>
      <c r="G30" s="67" t="s">
        <v>193</v>
      </c>
    </row>
    <row r="31" spans="1:10">
      <c r="A31" s="94" t="s">
        <v>108</v>
      </c>
      <c r="B31" s="101">
        <v>0.8</v>
      </c>
      <c r="C31" s="102">
        <v>1.2073921724154537</v>
      </c>
      <c r="D31" s="96">
        <v>6.8420291281559589</v>
      </c>
      <c r="E31" s="103">
        <v>1.9000000000000001</v>
      </c>
      <c r="F31" s="103">
        <v>3</v>
      </c>
      <c r="G31" s="67" t="s">
        <v>194</v>
      </c>
    </row>
    <row r="32" spans="1:10">
      <c r="A32" s="94" t="s">
        <v>109</v>
      </c>
      <c r="B32" s="101">
        <v>1</v>
      </c>
      <c r="C32" s="96">
        <v>0.87854718816621147</v>
      </c>
      <c r="D32" s="96">
        <v>3.900984251597639</v>
      </c>
      <c r="E32" s="103">
        <v>4.5</v>
      </c>
      <c r="F32" s="103">
        <v>8</v>
      </c>
    </row>
    <row r="33" spans="1:7">
      <c r="A33" s="94" t="s">
        <v>110</v>
      </c>
      <c r="B33" s="101">
        <v>0.3</v>
      </c>
      <c r="C33" s="96">
        <v>0.91467695730784326</v>
      </c>
      <c r="D33" s="96">
        <v>4.1202377849488911</v>
      </c>
      <c r="E33" s="103">
        <v>1.1499999999999999</v>
      </c>
      <c r="F33" s="103">
        <v>2</v>
      </c>
    </row>
    <row r="34" spans="1:7">
      <c r="A34" s="94" t="s">
        <v>91</v>
      </c>
      <c r="B34" s="104">
        <v>0.4</v>
      </c>
      <c r="C34" s="102">
        <v>0.43211580228319424</v>
      </c>
      <c r="D34" s="102">
        <v>0.4</v>
      </c>
      <c r="E34" s="105">
        <v>0.4</v>
      </c>
      <c r="F34" s="105">
        <v>0.4</v>
      </c>
    </row>
    <row r="35" spans="1:7">
      <c r="A35" s="94" t="s">
        <v>111</v>
      </c>
      <c r="B35" s="106">
        <v>0</v>
      </c>
      <c r="C35" s="96">
        <v>0</v>
      </c>
      <c r="D35" s="96">
        <v>0</v>
      </c>
      <c r="E35" s="96">
        <v>0</v>
      </c>
      <c r="F35" s="96">
        <v>0</v>
      </c>
    </row>
    <row r="36" spans="1:7">
      <c r="A36" s="94" t="s">
        <v>112</v>
      </c>
      <c r="B36" s="106">
        <v>0</v>
      </c>
      <c r="C36" s="96">
        <v>0</v>
      </c>
      <c r="D36" s="96">
        <v>0</v>
      </c>
      <c r="E36" s="96">
        <v>0</v>
      </c>
      <c r="F36" s="96">
        <v>0</v>
      </c>
    </row>
    <row r="37" spans="1:7" ht="15.6">
      <c r="A37" s="91" t="s">
        <v>113</v>
      </c>
      <c r="B37" s="92">
        <v>39.71336215898841</v>
      </c>
      <c r="C37" s="99">
        <v>36.538038519293025</v>
      </c>
      <c r="D37" s="99">
        <v>32.855996990118527</v>
      </c>
      <c r="E37" s="99">
        <v>36.538038519293025</v>
      </c>
      <c r="F37" s="100">
        <v>36.697282769175452</v>
      </c>
      <c r="G37" s="107" t="s">
        <v>195</v>
      </c>
    </row>
    <row r="38" spans="1:7">
      <c r="A38" s="94" t="s">
        <v>114</v>
      </c>
      <c r="B38" s="95">
        <v>4.404054818690784</v>
      </c>
      <c r="C38" s="96">
        <v>3.5206268990435472</v>
      </c>
      <c r="D38" s="96">
        <v>1.8127130167314567</v>
      </c>
      <c r="E38" s="96">
        <v>3.5206268990435472</v>
      </c>
      <c r="F38" s="97">
        <v>3</v>
      </c>
    </row>
    <row r="39" spans="1:7">
      <c r="A39" s="94" t="s">
        <v>115</v>
      </c>
      <c r="B39" s="95">
        <v>31.152969428432456</v>
      </c>
      <c r="C39" s="96">
        <v>28.491454960576181</v>
      </c>
      <c r="D39" s="96">
        <v>23.346001204211614</v>
      </c>
      <c r="E39" s="96">
        <v>28.491454960576181</v>
      </c>
      <c r="F39" s="97">
        <v>26</v>
      </c>
    </row>
    <row r="40" spans="1:7">
      <c r="A40" s="94" t="s">
        <v>105</v>
      </c>
      <c r="B40" s="95">
        <v>4.1563379118651715</v>
      </c>
      <c r="C40" s="96">
        <v>4.5259566596732972</v>
      </c>
      <c r="D40" s="96">
        <v>7.6972827691754526</v>
      </c>
      <c r="E40" s="96">
        <v>4.5259566596732972</v>
      </c>
      <c r="F40" s="97">
        <v>7.6972827691754526</v>
      </c>
    </row>
    <row r="41" spans="1:7">
      <c r="A41" s="94" t="s">
        <v>116</v>
      </c>
      <c r="B41" s="95">
        <v>0</v>
      </c>
      <c r="C41" s="96">
        <v>0</v>
      </c>
      <c r="D41" s="96">
        <v>0</v>
      </c>
      <c r="E41" s="96">
        <v>0</v>
      </c>
      <c r="F41" s="96">
        <v>0</v>
      </c>
    </row>
    <row r="42" spans="1:7">
      <c r="A42" s="94" t="s">
        <v>117</v>
      </c>
      <c r="B42" s="95">
        <v>0</v>
      </c>
      <c r="C42" s="96">
        <v>0</v>
      </c>
      <c r="D42" s="96">
        <v>0</v>
      </c>
      <c r="E42" s="96">
        <v>0</v>
      </c>
      <c r="F42" s="96">
        <v>0</v>
      </c>
    </row>
    <row r="43" spans="1:7">
      <c r="A43" s="94" t="s">
        <v>118</v>
      </c>
      <c r="B43" s="95">
        <v>0</v>
      </c>
      <c r="C43" s="96">
        <v>0</v>
      </c>
      <c r="D43" s="96">
        <v>0</v>
      </c>
      <c r="E43" s="96">
        <v>0</v>
      </c>
      <c r="F43" s="96">
        <v>0</v>
      </c>
    </row>
    <row r="44" spans="1:7" ht="18">
      <c r="A44" s="91" t="s">
        <v>196</v>
      </c>
      <c r="B44" s="108">
        <v>74.069700070853585</v>
      </c>
      <c r="C44" s="108">
        <v>79.872151034497364</v>
      </c>
      <c r="D44" s="108">
        <v>88.75799982772125</v>
      </c>
      <c r="E44" s="108">
        <v>79.064067153934744</v>
      </c>
      <c r="F44" s="108">
        <v>87.173311403817166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74"/>
  <sheetViews>
    <sheetView topLeftCell="A46" zoomScale="84" zoomScaleNormal="84" workbookViewId="0">
      <selection activeCell="C77" sqref="C77:C80"/>
    </sheetView>
  </sheetViews>
  <sheetFormatPr baseColWidth="10" defaultRowHeight="15.6"/>
  <cols>
    <col min="2" max="2" width="12.59765625" customWidth="1"/>
    <col min="3" max="3" width="30" customWidth="1"/>
  </cols>
  <sheetData>
    <row r="2" spans="2:39">
      <c r="B2" s="138" t="s">
        <v>66</v>
      </c>
      <c r="C2" s="138"/>
    </row>
    <row r="4" spans="2:39">
      <c r="B4" s="35" t="s">
        <v>67</v>
      </c>
      <c r="D4" s="139" t="s">
        <v>68</v>
      </c>
      <c r="E4" s="139"/>
      <c r="F4" s="139"/>
      <c r="G4" s="139"/>
      <c r="H4" s="139" t="s">
        <v>69</v>
      </c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 t="s">
        <v>70</v>
      </c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</row>
    <row r="5" spans="2:39">
      <c r="B5" s="36"/>
      <c r="C5" s="36"/>
      <c r="D5" s="140" t="s">
        <v>71</v>
      </c>
      <c r="E5" s="140"/>
      <c r="F5" s="140"/>
      <c r="G5" s="140"/>
      <c r="H5" s="140">
        <v>2025</v>
      </c>
      <c r="I5" s="140"/>
      <c r="J5" s="140"/>
      <c r="K5" s="140"/>
      <c r="L5" s="140">
        <v>2030</v>
      </c>
      <c r="M5" s="140"/>
      <c r="N5" s="140"/>
      <c r="O5" s="140"/>
      <c r="P5" s="140">
        <v>2040</v>
      </c>
      <c r="Q5" s="140"/>
      <c r="R5" s="140"/>
      <c r="S5" s="140"/>
      <c r="T5" s="140">
        <v>2050</v>
      </c>
      <c r="U5" s="140"/>
      <c r="V5" s="140"/>
      <c r="W5" s="140"/>
      <c r="X5" s="140">
        <v>2025</v>
      </c>
      <c r="Y5" s="140"/>
      <c r="Z5" s="140"/>
      <c r="AA5" s="140"/>
      <c r="AB5" s="140">
        <v>2030</v>
      </c>
      <c r="AC5" s="140"/>
      <c r="AD5" s="140"/>
      <c r="AE5" s="140"/>
      <c r="AF5" s="140">
        <v>2040</v>
      </c>
      <c r="AG5" s="140"/>
      <c r="AH5" s="140"/>
      <c r="AI5" s="140"/>
      <c r="AJ5" s="140">
        <v>2050</v>
      </c>
      <c r="AK5" s="140"/>
      <c r="AL5" s="140"/>
      <c r="AM5" s="140"/>
    </row>
    <row r="6" spans="2:39">
      <c r="B6" s="36"/>
      <c r="C6" s="36"/>
      <c r="D6" s="37" t="s">
        <v>72</v>
      </c>
      <c r="E6" s="37" t="s">
        <v>73</v>
      </c>
      <c r="F6" s="37" t="s">
        <v>74</v>
      </c>
      <c r="G6" s="37" t="s">
        <v>75</v>
      </c>
      <c r="H6" s="37" t="s">
        <v>72</v>
      </c>
      <c r="I6" s="37" t="s">
        <v>73</v>
      </c>
      <c r="J6" s="37" t="s">
        <v>74</v>
      </c>
      <c r="K6" s="37" t="s">
        <v>75</v>
      </c>
      <c r="L6" s="37" t="s">
        <v>72</v>
      </c>
      <c r="M6" s="37" t="s">
        <v>73</v>
      </c>
      <c r="N6" s="37" t="s">
        <v>74</v>
      </c>
      <c r="O6" s="37" t="s">
        <v>75</v>
      </c>
      <c r="P6" s="37" t="s">
        <v>72</v>
      </c>
      <c r="Q6" s="37" t="s">
        <v>73</v>
      </c>
      <c r="R6" s="37" t="s">
        <v>74</v>
      </c>
      <c r="S6" s="37" t="s">
        <v>75</v>
      </c>
      <c r="T6" s="37" t="s">
        <v>72</v>
      </c>
      <c r="U6" s="37" t="s">
        <v>73</v>
      </c>
      <c r="V6" s="37" t="s">
        <v>74</v>
      </c>
      <c r="W6" s="37" t="s">
        <v>75</v>
      </c>
      <c r="X6" s="37" t="s">
        <v>72</v>
      </c>
      <c r="Y6" s="37" t="s">
        <v>73</v>
      </c>
      <c r="Z6" s="37" t="s">
        <v>74</v>
      </c>
      <c r="AA6" s="37" t="s">
        <v>75</v>
      </c>
      <c r="AB6" s="37" t="s">
        <v>72</v>
      </c>
      <c r="AC6" s="37" t="s">
        <v>73</v>
      </c>
      <c r="AD6" s="37" t="s">
        <v>74</v>
      </c>
      <c r="AE6" s="37" t="s">
        <v>75</v>
      </c>
      <c r="AF6" s="37" t="s">
        <v>72</v>
      </c>
      <c r="AG6" s="37" t="s">
        <v>73</v>
      </c>
      <c r="AH6" s="37" t="s">
        <v>74</v>
      </c>
      <c r="AI6" s="37" t="s">
        <v>75</v>
      </c>
      <c r="AJ6" s="37" t="s">
        <v>72</v>
      </c>
      <c r="AK6" s="37" t="s">
        <v>73</v>
      </c>
      <c r="AL6" s="37" t="s">
        <v>74</v>
      </c>
      <c r="AM6" s="37" t="s">
        <v>75</v>
      </c>
    </row>
    <row r="7" spans="2:39">
      <c r="B7" s="135" t="s">
        <v>76</v>
      </c>
      <c r="C7" s="36" t="s">
        <v>77</v>
      </c>
      <c r="D7" s="38">
        <v>1</v>
      </c>
      <c r="E7" s="36"/>
      <c r="F7" s="36"/>
      <c r="G7" s="36"/>
      <c r="H7" s="38">
        <v>1</v>
      </c>
      <c r="I7" s="36"/>
      <c r="J7" s="36"/>
      <c r="K7" s="36"/>
      <c r="L7" s="38">
        <v>1</v>
      </c>
      <c r="M7" s="36"/>
      <c r="N7" s="36"/>
      <c r="O7" s="36"/>
      <c r="P7" s="38">
        <v>1</v>
      </c>
      <c r="Q7" s="36"/>
      <c r="R7" s="36"/>
      <c r="S7" s="36"/>
      <c r="T7" s="38">
        <v>1</v>
      </c>
      <c r="U7" s="36"/>
      <c r="V7" s="36"/>
      <c r="W7" s="36"/>
      <c r="X7" s="38">
        <v>1</v>
      </c>
      <c r="Y7" s="36"/>
      <c r="Z7" s="36"/>
      <c r="AA7" s="36"/>
      <c r="AB7" s="38">
        <v>1</v>
      </c>
      <c r="AC7" s="36"/>
      <c r="AD7" s="36"/>
      <c r="AE7" s="36"/>
      <c r="AF7" s="38">
        <v>1</v>
      </c>
      <c r="AG7" s="36"/>
      <c r="AH7" s="36"/>
      <c r="AI7" s="36"/>
      <c r="AJ7" s="38">
        <v>1</v>
      </c>
      <c r="AK7" s="36"/>
      <c r="AL7" s="36"/>
      <c r="AM7" s="36"/>
    </row>
    <row r="8" spans="2:39">
      <c r="B8" s="136"/>
      <c r="C8" s="36" t="s">
        <v>78</v>
      </c>
      <c r="D8" s="38">
        <v>1</v>
      </c>
      <c r="E8" s="36"/>
      <c r="F8" s="36"/>
      <c r="G8" s="36"/>
      <c r="H8" s="38">
        <v>1</v>
      </c>
      <c r="I8" s="36"/>
      <c r="J8" s="36"/>
      <c r="K8" s="36"/>
      <c r="L8" s="38">
        <v>1</v>
      </c>
      <c r="M8" s="36"/>
      <c r="N8" s="36"/>
      <c r="O8" s="36"/>
      <c r="P8" s="38">
        <v>1</v>
      </c>
      <c r="Q8" s="36"/>
      <c r="R8" s="36"/>
      <c r="S8" s="36"/>
      <c r="T8" s="38">
        <v>1</v>
      </c>
      <c r="U8" s="36"/>
      <c r="V8" s="36"/>
      <c r="W8" s="36"/>
      <c r="X8" s="38">
        <v>1</v>
      </c>
      <c r="Y8" s="36"/>
      <c r="Z8" s="36"/>
      <c r="AA8" s="36"/>
      <c r="AB8" s="38">
        <v>1</v>
      </c>
      <c r="AC8" s="36"/>
      <c r="AD8" s="36"/>
      <c r="AE8" s="36"/>
      <c r="AF8" s="38">
        <v>1</v>
      </c>
      <c r="AG8" s="36"/>
      <c r="AH8" s="36"/>
      <c r="AI8" s="36"/>
      <c r="AJ8" s="38">
        <v>1</v>
      </c>
      <c r="AK8" s="36"/>
      <c r="AL8" s="36"/>
      <c r="AM8" s="36"/>
    </row>
    <row r="9" spans="2:39">
      <c r="B9" s="137"/>
      <c r="C9" s="39" t="s">
        <v>79</v>
      </c>
      <c r="D9" s="38">
        <v>1</v>
      </c>
      <c r="E9" s="36"/>
      <c r="F9" s="36"/>
      <c r="G9" s="36"/>
      <c r="H9" s="38">
        <v>1</v>
      </c>
      <c r="I9" s="36"/>
      <c r="J9" s="36"/>
      <c r="K9" s="36"/>
      <c r="L9" s="38">
        <v>1</v>
      </c>
      <c r="M9" s="36"/>
      <c r="N9" s="36"/>
      <c r="O9" s="36"/>
      <c r="P9" s="38">
        <v>1</v>
      </c>
      <c r="Q9" s="36"/>
      <c r="R9" s="36"/>
      <c r="S9" s="36"/>
      <c r="T9" s="38">
        <v>1</v>
      </c>
      <c r="U9" s="36"/>
      <c r="V9" s="36"/>
      <c r="W9" s="36"/>
      <c r="X9" s="38">
        <v>1</v>
      </c>
      <c r="Y9" s="36"/>
      <c r="Z9" s="36"/>
      <c r="AA9" s="36"/>
      <c r="AB9" s="38">
        <v>1</v>
      </c>
      <c r="AC9" s="36"/>
      <c r="AD9" s="36"/>
      <c r="AE9" s="36"/>
      <c r="AF9" s="38">
        <v>1</v>
      </c>
      <c r="AG9" s="36"/>
      <c r="AH9" s="36"/>
      <c r="AI9" s="36"/>
      <c r="AJ9" s="38">
        <v>1</v>
      </c>
      <c r="AK9" s="36"/>
      <c r="AL9" s="36"/>
      <c r="AM9" s="36"/>
    </row>
    <row r="10" spans="2:39">
      <c r="B10" s="135" t="s">
        <v>80</v>
      </c>
      <c r="C10" s="36" t="s">
        <v>81</v>
      </c>
      <c r="D10" s="38">
        <v>1</v>
      </c>
      <c r="E10" s="36"/>
      <c r="F10" s="36"/>
      <c r="G10" s="36"/>
      <c r="H10" s="38">
        <v>1</v>
      </c>
      <c r="I10" s="36"/>
      <c r="J10" s="36"/>
      <c r="K10" s="36"/>
      <c r="L10" s="38">
        <v>1</v>
      </c>
      <c r="M10" s="36"/>
      <c r="N10" s="36"/>
      <c r="O10" s="36"/>
      <c r="P10" s="38">
        <v>1</v>
      </c>
      <c r="Q10" s="36"/>
      <c r="R10" s="36"/>
      <c r="S10" s="36"/>
      <c r="T10" s="38">
        <v>1</v>
      </c>
      <c r="U10" s="36"/>
      <c r="V10" s="36"/>
      <c r="W10" s="36"/>
      <c r="X10" s="38">
        <v>1</v>
      </c>
      <c r="Y10" s="36"/>
      <c r="Z10" s="36"/>
      <c r="AA10" s="36"/>
      <c r="AB10" s="38">
        <v>1</v>
      </c>
      <c r="AC10" s="36"/>
      <c r="AD10" s="36"/>
      <c r="AE10" s="36"/>
      <c r="AF10" s="38">
        <v>1</v>
      </c>
      <c r="AG10" s="36"/>
      <c r="AH10" s="36"/>
      <c r="AI10" s="36"/>
      <c r="AJ10" s="38">
        <v>1</v>
      </c>
      <c r="AK10" s="36"/>
      <c r="AL10" s="36"/>
      <c r="AM10" s="36"/>
    </row>
    <row r="11" spans="2:39">
      <c r="B11" s="136"/>
      <c r="C11" s="36" t="s">
        <v>82</v>
      </c>
      <c r="D11" s="40">
        <f>E33/(E33+E34+E38)</f>
        <v>0.5</v>
      </c>
      <c r="E11" s="40">
        <f>E34/(E33+E34+E38)</f>
        <v>0.5</v>
      </c>
      <c r="F11" s="40">
        <f>E38/(E33+E34+E38)</f>
        <v>0</v>
      </c>
      <c r="G11" s="40"/>
      <c r="H11" s="40">
        <f t="shared" ref="H11:I11" si="0">AVERAGE(D11,L11)</f>
        <v>0.47676128236653142</v>
      </c>
      <c r="I11" s="40">
        <f t="shared" si="0"/>
        <v>0.4656970786135215</v>
      </c>
      <c r="J11" s="40">
        <f>AVERAGE(F11,N11)</f>
        <v>5.7541639019947133E-2</v>
      </c>
      <c r="K11" s="40"/>
      <c r="L11" s="40">
        <f>H33/(H33+H34+H38)</f>
        <v>0.45352256473306285</v>
      </c>
      <c r="M11" s="40">
        <f>H34/(H33+H34+H38)</f>
        <v>0.431394157227043</v>
      </c>
      <c r="N11" s="40">
        <f>H38/(H38+H34+H33)</f>
        <v>0.11508327803989427</v>
      </c>
      <c r="O11" s="40"/>
      <c r="P11" s="40">
        <f>AVERAGE(L11,T11)</f>
        <v>0.3998382054434545</v>
      </c>
      <c r="Q11" s="40">
        <f t="shared" ref="Q11:R11" si="1">AVERAGE(M11,U11)</f>
        <v>0.38877400169044457</v>
      </c>
      <c r="R11" s="40">
        <f t="shared" si="1"/>
        <v>0.21138779286610099</v>
      </c>
      <c r="S11" s="40"/>
      <c r="T11" s="40">
        <f>K33/(K33+K34+K38)</f>
        <v>0.34615384615384615</v>
      </c>
      <c r="U11" s="40">
        <f>K34/(K33+K34+K38)</f>
        <v>0.34615384615384615</v>
      </c>
      <c r="V11" s="40">
        <f>K38/(K33+K34+K38)</f>
        <v>0.30769230769230771</v>
      </c>
      <c r="W11" s="40"/>
      <c r="X11" s="40">
        <f>AVERAGE(D11,AB11)</f>
        <v>0.46920856756565305</v>
      </c>
      <c r="Y11" s="40">
        <f t="shared" ref="Y11:Z11" si="2">AVERAGE(E11,AC11)</f>
        <v>0.44424728474603908</v>
      </c>
      <c r="Z11" s="40">
        <f t="shared" si="2"/>
        <v>8.6544147688307926E-2</v>
      </c>
      <c r="AA11" s="40"/>
      <c r="AB11" s="40">
        <f>P33/(P33+P34+P38)</f>
        <v>0.43841713513130609</v>
      </c>
      <c r="AC11" s="40">
        <f>P34/(P33+P34+P38)</f>
        <v>0.38849456949207817</v>
      </c>
      <c r="AD11" s="40">
        <f>P38/(P33+P34+P38)</f>
        <v>0.17308829537661585</v>
      </c>
      <c r="AE11" s="40"/>
      <c r="AF11" s="40">
        <f>AVERAGE(AB11,AJ11)</f>
        <v>0.39228549064257612</v>
      </c>
      <c r="AG11" s="40">
        <f t="shared" ref="AG11:AH11" si="3">AVERAGE(AC11,AK11)</f>
        <v>0.36732420782296216</v>
      </c>
      <c r="AH11" s="40">
        <f t="shared" si="3"/>
        <v>0.24039030153446178</v>
      </c>
      <c r="AI11" s="40"/>
      <c r="AJ11" s="40">
        <f>S33/(S33+S34+S38)</f>
        <v>0.34615384615384615</v>
      </c>
      <c r="AK11" s="40">
        <f>S34/(S33+S34+S38)</f>
        <v>0.34615384615384615</v>
      </c>
      <c r="AL11" s="40">
        <f>S38/(S33+S34+S38)</f>
        <v>0.30769230769230771</v>
      </c>
      <c r="AM11" s="40"/>
    </row>
    <row r="12" spans="2:39">
      <c r="B12" s="136"/>
      <c r="C12" s="36" t="s">
        <v>83</v>
      </c>
      <c r="D12" s="36"/>
      <c r="E12" s="36"/>
      <c r="F12" s="38">
        <v>1</v>
      </c>
      <c r="G12" s="36"/>
      <c r="H12" s="36"/>
      <c r="I12" s="36"/>
      <c r="J12" s="38">
        <v>1</v>
      </c>
      <c r="K12" s="36"/>
      <c r="L12" s="36"/>
      <c r="M12" s="36"/>
      <c r="N12" s="38">
        <v>1</v>
      </c>
      <c r="O12" s="36"/>
      <c r="P12" s="36"/>
      <c r="Q12" s="36"/>
      <c r="R12" s="38">
        <v>1</v>
      </c>
      <c r="S12" s="36"/>
      <c r="T12" s="36"/>
      <c r="U12" s="36"/>
      <c r="V12" s="38">
        <v>1</v>
      </c>
      <c r="W12" s="36"/>
      <c r="X12" s="36"/>
      <c r="Y12" s="36"/>
      <c r="Z12" s="38">
        <v>1</v>
      </c>
      <c r="AA12" s="36"/>
      <c r="AB12" s="36"/>
      <c r="AC12" s="36"/>
      <c r="AD12" s="38">
        <v>1</v>
      </c>
      <c r="AE12" s="36"/>
      <c r="AF12" s="36"/>
      <c r="AG12" s="36"/>
      <c r="AH12" s="38">
        <v>1</v>
      </c>
      <c r="AI12" s="36"/>
      <c r="AJ12" s="36"/>
      <c r="AK12" s="36"/>
      <c r="AL12" s="38">
        <v>1</v>
      </c>
      <c r="AM12" s="36"/>
    </row>
    <row r="13" spans="2:39">
      <c r="B13" s="136"/>
      <c r="C13" s="36" t="s">
        <v>84</v>
      </c>
      <c r="D13" s="36"/>
      <c r="E13" s="38">
        <v>1</v>
      </c>
      <c r="F13" s="36"/>
      <c r="G13" s="36"/>
      <c r="H13" s="36"/>
      <c r="I13" s="38">
        <v>1</v>
      </c>
      <c r="J13" s="36"/>
      <c r="K13" s="36"/>
      <c r="L13" s="36"/>
      <c r="M13" s="38">
        <v>1</v>
      </c>
      <c r="N13" s="36"/>
      <c r="O13" s="36"/>
      <c r="P13" s="36"/>
      <c r="Q13" s="38">
        <v>1</v>
      </c>
      <c r="R13" s="36"/>
      <c r="S13" s="36"/>
      <c r="T13" s="36"/>
      <c r="U13" s="38">
        <v>1</v>
      </c>
      <c r="V13" s="36"/>
      <c r="W13" s="36"/>
      <c r="X13" s="36"/>
      <c r="Y13" s="38">
        <v>1</v>
      </c>
      <c r="Z13" s="36"/>
      <c r="AA13" s="36"/>
      <c r="AB13" s="36"/>
      <c r="AC13" s="38">
        <v>1</v>
      </c>
      <c r="AD13" s="36"/>
      <c r="AE13" s="36"/>
      <c r="AF13" s="36"/>
      <c r="AG13" s="38">
        <v>1</v>
      </c>
      <c r="AH13" s="36"/>
      <c r="AI13" s="36"/>
      <c r="AJ13" s="36"/>
      <c r="AK13" s="38">
        <v>1</v>
      </c>
      <c r="AL13" s="36"/>
      <c r="AM13" s="36"/>
    </row>
    <row r="14" spans="2:39">
      <c r="B14" s="136"/>
      <c r="C14" s="36" t="s">
        <v>85</v>
      </c>
      <c r="D14" s="36"/>
      <c r="E14" s="36"/>
      <c r="F14" s="38">
        <v>1</v>
      </c>
      <c r="G14" s="36"/>
      <c r="H14" s="36"/>
      <c r="I14" s="36"/>
      <c r="J14" s="38">
        <v>1</v>
      </c>
      <c r="K14" s="36"/>
      <c r="L14" s="36"/>
      <c r="M14" s="36"/>
      <c r="N14" s="38">
        <v>1</v>
      </c>
      <c r="O14" s="36"/>
      <c r="P14" s="36"/>
      <c r="Q14" s="36"/>
      <c r="R14" s="38">
        <v>1</v>
      </c>
      <c r="S14" s="36"/>
      <c r="T14" s="36"/>
      <c r="U14" s="36"/>
      <c r="V14" s="38">
        <v>1</v>
      </c>
      <c r="W14" s="36"/>
      <c r="X14" s="36"/>
      <c r="Y14" s="36"/>
      <c r="Z14" s="38">
        <v>1</v>
      </c>
      <c r="AA14" s="36"/>
      <c r="AB14" s="36"/>
      <c r="AC14" s="36"/>
      <c r="AD14" s="38">
        <v>1</v>
      </c>
      <c r="AE14" s="36"/>
      <c r="AF14" s="36"/>
      <c r="AG14" s="36"/>
      <c r="AH14" s="38">
        <v>1</v>
      </c>
      <c r="AI14" s="36"/>
      <c r="AJ14" s="36"/>
      <c r="AK14" s="36"/>
      <c r="AL14" s="38">
        <v>1</v>
      </c>
      <c r="AM14" s="36"/>
    </row>
    <row r="15" spans="2:39">
      <c r="B15" s="136"/>
      <c r="C15" s="36" t="s">
        <v>86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</row>
    <row r="16" spans="2:39">
      <c r="B16" s="137"/>
      <c r="C16" s="36" t="s">
        <v>87</v>
      </c>
      <c r="D16" s="36"/>
      <c r="E16" s="36"/>
      <c r="F16" s="38">
        <v>1</v>
      </c>
      <c r="G16" s="36"/>
      <c r="H16" s="36"/>
      <c r="I16" s="36"/>
      <c r="J16" s="38">
        <v>1</v>
      </c>
      <c r="K16" s="36"/>
      <c r="L16" s="36"/>
      <c r="M16" s="36"/>
      <c r="N16" s="38">
        <v>1</v>
      </c>
      <c r="O16" s="36"/>
      <c r="P16" s="36"/>
      <c r="Q16" s="36"/>
      <c r="R16" s="38">
        <v>1</v>
      </c>
      <c r="S16" s="36"/>
      <c r="T16" s="36"/>
      <c r="U16" s="36"/>
      <c r="V16" s="38">
        <v>1</v>
      </c>
      <c r="W16" s="36"/>
      <c r="X16" s="36"/>
      <c r="Y16" s="36"/>
      <c r="Z16" s="38">
        <v>1</v>
      </c>
      <c r="AA16" s="36"/>
      <c r="AB16" s="36"/>
      <c r="AC16" s="36"/>
      <c r="AD16" s="38">
        <v>1</v>
      </c>
      <c r="AE16" s="36"/>
      <c r="AF16" s="36"/>
      <c r="AG16" s="36"/>
      <c r="AH16" s="38">
        <v>1</v>
      </c>
      <c r="AI16" s="36"/>
      <c r="AJ16" s="36"/>
      <c r="AK16" s="36"/>
      <c r="AL16" s="38">
        <v>1</v>
      </c>
      <c r="AM16" s="36"/>
    </row>
    <row r="17" spans="2:39">
      <c r="B17" s="135" t="s">
        <v>88</v>
      </c>
      <c r="C17" s="36" t="s">
        <v>89</v>
      </c>
      <c r="D17" s="36"/>
      <c r="E17" s="36"/>
      <c r="F17" s="38">
        <v>1</v>
      </c>
      <c r="G17" s="36"/>
      <c r="H17" s="36"/>
      <c r="I17" s="36"/>
      <c r="J17" s="38">
        <v>1</v>
      </c>
      <c r="K17" s="36"/>
      <c r="L17" s="36"/>
      <c r="M17" s="36"/>
      <c r="N17" s="38">
        <v>1</v>
      </c>
      <c r="O17" s="36"/>
      <c r="P17" s="36"/>
      <c r="Q17" s="36"/>
      <c r="R17" s="38">
        <v>1</v>
      </c>
      <c r="S17" s="36"/>
      <c r="T17" s="36"/>
      <c r="U17" s="36"/>
      <c r="V17" s="38">
        <v>1</v>
      </c>
      <c r="W17" s="36"/>
      <c r="X17" s="36"/>
      <c r="Y17" s="36"/>
      <c r="Z17" s="38">
        <v>1</v>
      </c>
      <c r="AA17" s="36"/>
      <c r="AB17" s="36"/>
      <c r="AC17" s="36"/>
      <c r="AD17" s="38">
        <v>1</v>
      </c>
      <c r="AE17" s="36"/>
      <c r="AF17" s="36"/>
      <c r="AG17" s="36"/>
      <c r="AH17" s="38">
        <v>1</v>
      </c>
      <c r="AI17" s="36"/>
      <c r="AJ17" s="36"/>
      <c r="AK17" s="36"/>
      <c r="AL17" s="38">
        <v>1</v>
      </c>
      <c r="AM17" s="36"/>
    </row>
    <row r="18" spans="2:39">
      <c r="B18" s="136"/>
      <c r="C18" s="36" t="s">
        <v>90</v>
      </c>
      <c r="D18" s="36"/>
      <c r="E18" s="36"/>
      <c r="F18" s="38">
        <v>1</v>
      </c>
      <c r="G18" s="36"/>
      <c r="H18" s="36"/>
      <c r="I18" s="36"/>
      <c r="J18" s="38">
        <v>1</v>
      </c>
      <c r="K18" s="36"/>
      <c r="L18" s="36"/>
      <c r="M18" s="36"/>
      <c r="N18" s="38">
        <v>1</v>
      </c>
      <c r="O18" s="36"/>
      <c r="P18" s="36"/>
      <c r="Q18" s="36"/>
      <c r="R18" s="38">
        <v>1</v>
      </c>
      <c r="S18" s="36"/>
      <c r="T18" s="36"/>
      <c r="U18" s="36"/>
      <c r="V18" s="38">
        <v>1</v>
      </c>
      <c r="W18" s="36"/>
      <c r="X18" s="36"/>
      <c r="Y18" s="36"/>
      <c r="Z18" s="38">
        <v>1</v>
      </c>
      <c r="AA18" s="36"/>
      <c r="AB18" s="36"/>
      <c r="AC18" s="36"/>
      <c r="AD18" s="38">
        <v>1</v>
      </c>
      <c r="AE18" s="36"/>
      <c r="AF18" s="36"/>
      <c r="AG18" s="36"/>
      <c r="AH18" s="38">
        <v>1</v>
      </c>
      <c r="AI18" s="36"/>
      <c r="AJ18" s="36"/>
      <c r="AK18" s="36"/>
      <c r="AL18" s="38">
        <v>1</v>
      </c>
      <c r="AM18" s="36"/>
    </row>
    <row r="19" spans="2:39">
      <c r="B19" s="136"/>
      <c r="C19" s="36" t="s">
        <v>91</v>
      </c>
      <c r="D19" s="36"/>
      <c r="E19" s="36"/>
      <c r="F19" s="38">
        <v>1</v>
      </c>
      <c r="G19" s="36"/>
      <c r="H19" s="36"/>
      <c r="I19" s="36"/>
      <c r="J19" s="38">
        <v>1</v>
      </c>
      <c r="K19" s="36"/>
      <c r="L19" s="36"/>
      <c r="M19" s="36"/>
      <c r="N19" s="38">
        <v>1</v>
      </c>
      <c r="O19" s="36"/>
      <c r="P19" s="36"/>
      <c r="Q19" s="36"/>
      <c r="R19" s="38">
        <v>1</v>
      </c>
      <c r="S19" s="36"/>
      <c r="T19" s="36"/>
      <c r="U19" s="36"/>
      <c r="V19" s="38">
        <v>1</v>
      </c>
      <c r="W19" s="36"/>
      <c r="X19" s="36"/>
      <c r="Y19" s="36"/>
      <c r="Z19" s="38">
        <v>1</v>
      </c>
      <c r="AA19" s="36"/>
      <c r="AB19" s="36"/>
      <c r="AC19" s="36"/>
      <c r="AD19" s="38">
        <v>1</v>
      </c>
      <c r="AE19" s="36"/>
      <c r="AF19" s="36"/>
      <c r="AG19" s="36"/>
      <c r="AH19" s="38">
        <v>1</v>
      </c>
      <c r="AI19" s="36"/>
      <c r="AJ19" s="36"/>
      <c r="AK19" s="36"/>
      <c r="AL19" s="38">
        <v>1</v>
      </c>
      <c r="AM19" s="36"/>
    </row>
    <row r="20" spans="2:39">
      <c r="B20" s="137"/>
      <c r="C20" s="41" t="s">
        <v>92</v>
      </c>
      <c r="D20" s="36"/>
      <c r="E20" s="36"/>
      <c r="F20" s="38">
        <v>1</v>
      </c>
      <c r="G20" s="36"/>
      <c r="H20" s="36"/>
      <c r="I20" s="36"/>
      <c r="J20" s="38">
        <v>1</v>
      </c>
      <c r="K20" s="36"/>
      <c r="L20" s="36"/>
      <c r="M20" s="36"/>
      <c r="N20" s="38">
        <v>1</v>
      </c>
      <c r="O20" s="36"/>
      <c r="P20" s="36"/>
      <c r="Q20" s="36"/>
      <c r="R20" s="38">
        <v>1</v>
      </c>
      <c r="S20" s="36"/>
      <c r="T20" s="36"/>
      <c r="U20" s="36"/>
      <c r="V20" s="38">
        <v>1</v>
      </c>
      <c r="W20" s="36"/>
      <c r="X20" s="36"/>
      <c r="Y20" s="36"/>
      <c r="Z20" s="38">
        <v>1</v>
      </c>
      <c r="AA20" s="36"/>
      <c r="AB20" s="36"/>
      <c r="AC20" s="36"/>
      <c r="AD20" s="38">
        <v>1</v>
      </c>
      <c r="AE20" s="36"/>
      <c r="AF20" s="36"/>
      <c r="AG20" s="36"/>
      <c r="AH20" s="38">
        <v>1</v>
      </c>
      <c r="AI20" s="36"/>
      <c r="AJ20" s="36"/>
      <c r="AK20" s="36"/>
      <c r="AL20" s="38">
        <v>1</v>
      </c>
      <c r="AM20" s="36"/>
    </row>
    <row r="21" spans="2:39">
      <c r="B21" s="42" t="s">
        <v>93</v>
      </c>
      <c r="C21" s="36" t="s">
        <v>93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</row>
    <row r="22" spans="2:39">
      <c r="L22" s="43"/>
    </row>
    <row r="24" spans="2:39">
      <c r="B24" t="s">
        <v>94</v>
      </c>
      <c r="E24" t="s">
        <v>57</v>
      </c>
      <c r="F24" t="s">
        <v>57</v>
      </c>
      <c r="G24" t="s">
        <v>57</v>
      </c>
      <c r="H24" t="s">
        <v>57</v>
      </c>
      <c r="I24" t="s">
        <v>57</v>
      </c>
      <c r="J24" t="s">
        <v>57</v>
      </c>
      <c r="K24" t="s">
        <v>57</v>
      </c>
      <c r="M24" t="s">
        <v>56</v>
      </c>
      <c r="N24" t="s">
        <v>56</v>
      </c>
      <c r="O24" t="s">
        <v>56</v>
      </c>
      <c r="P24" t="s">
        <v>56</v>
      </c>
      <c r="Q24" t="s">
        <v>56</v>
      </c>
      <c r="R24" t="s">
        <v>56</v>
      </c>
      <c r="S24" t="s">
        <v>56</v>
      </c>
    </row>
    <row r="25" spans="2:39" ht="18">
      <c r="B25" s="44" t="s">
        <v>95</v>
      </c>
      <c r="C25" s="44"/>
      <c r="D25" s="45"/>
      <c r="E25" s="46">
        <v>2020</v>
      </c>
      <c r="F25" s="46">
        <v>2023</v>
      </c>
      <c r="G25" s="46">
        <v>2028</v>
      </c>
      <c r="H25" s="46">
        <v>2030</v>
      </c>
      <c r="I25" s="46">
        <v>2033</v>
      </c>
      <c r="J25" s="46">
        <v>2038</v>
      </c>
      <c r="K25" s="46">
        <v>2050</v>
      </c>
      <c r="M25" s="46">
        <v>2020</v>
      </c>
      <c r="N25" s="46">
        <v>2023</v>
      </c>
      <c r="O25" s="46">
        <v>2028</v>
      </c>
      <c r="P25" s="46">
        <v>2030</v>
      </c>
      <c r="Q25" s="46">
        <v>2033</v>
      </c>
      <c r="R25" s="46">
        <v>2038</v>
      </c>
      <c r="S25" s="46">
        <v>2050</v>
      </c>
    </row>
    <row r="26" spans="2:39">
      <c r="B26" s="47" t="s">
        <v>96</v>
      </c>
      <c r="C26" s="48"/>
      <c r="D26" s="49" t="s">
        <v>97</v>
      </c>
      <c r="E26" s="50">
        <v>98.121828974456719</v>
      </c>
      <c r="F26" s="50">
        <v>101.2704767711632</v>
      </c>
      <c r="G26" s="50">
        <v>105.45882366237404</v>
      </c>
      <c r="H26" s="50">
        <v>106.81794440171601</v>
      </c>
      <c r="I26" s="50">
        <v>108.63662141730157</v>
      </c>
      <c r="J26" s="50">
        <v>111.36705600532025</v>
      </c>
      <c r="K26" s="50">
        <v>111.67984672289334</v>
      </c>
      <c r="M26" s="50">
        <v>98.121828974456719</v>
      </c>
      <c r="N26" s="51">
        <v>100.98459479022942</v>
      </c>
      <c r="O26" s="51">
        <v>105.75587114985061</v>
      </c>
      <c r="P26" s="50">
        <v>107.66438169369907</v>
      </c>
      <c r="Q26" s="51">
        <v>108.41904811450993</v>
      </c>
      <c r="R26" s="51">
        <v>109.67682548252806</v>
      </c>
      <c r="S26" s="50">
        <v>112.69549116577154</v>
      </c>
    </row>
    <row r="27" spans="2:39">
      <c r="B27" s="52" t="s">
        <v>98</v>
      </c>
      <c r="C27" s="53"/>
      <c r="D27" s="54" t="s">
        <v>97</v>
      </c>
      <c r="E27" s="50">
        <v>45.656554268332975</v>
      </c>
      <c r="F27" s="50">
        <v>48.986120780993588</v>
      </c>
      <c r="G27" s="50">
        <v>55.312395375882275</v>
      </c>
      <c r="H27" s="50">
        <v>57.879025463465567</v>
      </c>
      <c r="I27" s="50">
        <v>61.510291878539512</v>
      </c>
      <c r="J27" s="50">
        <v>66.352240874401716</v>
      </c>
      <c r="K27" s="50">
        <v>67.680686339630057</v>
      </c>
      <c r="M27" s="50">
        <v>45.656554268332975</v>
      </c>
      <c r="N27" s="51">
        <v>49.323295626872749</v>
      </c>
      <c r="O27" s="51">
        <v>55.434531224439048</v>
      </c>
      <c r="P27" s="50">
        <v>57.879025463465567</v>
      </c>
      <c r="Q27" s="51">
        <v>59.34927459489024</v>
      </c>
      <c r="R27" s="51">
        <v>61.799689813931366</v>
      </c>
      <c r="S27" s="50">
        <v>67.680686339630057</v>
      </c>
    </row>
    <row r="28" spans="2:39">
      <c r="B28" s="52" t="s">
        <v>99</v>
      </c>
      <c r="C28" s="53"/>
      <c r="D28" s="54" t="s">
        <v>97</v>
      </c>
      <c r="E28" s="50">
        <v>15.805223096703404</v>
      </c>
      <c r="F28" s="50">
        <v>16.125404509595082</v>
      </c>
      <c r="G28" s="50">
        <v>16.733758639308402</v>
      </c>
      <c r="H28" s="50">
        <v>16.980573726103596</v>
      </c>
      <c r="I28" s="50">
        <v>17.329767534649982</v>
      </c>
      <c r="J28" s="50">
        <v>17.795384324328055</v>
      </c>
      <c r="K28" s="50">
        <v>17.923131748621575</v>
      </c>
      <c r="M28" s="50">
        <v>15.805223096703404</v>
      </c>
      <c r="N28" s="51">
        <v>16.157828285523461</v>
      </c>
      <c r="O28" s="51">
        <v>16.745503600223557</v>
      </c>
      <c r="P28" s="50">
        <v>16.980573726103596</v>
      </c>
      <c r="Q28" s="51">
        <v>17.121957429481292</v>
      </c>
      <c r="R28" s="51">
        <v>17.357596935110788</v>
      </c>
      <c r="S28" s="50">
        <v>17.923131748621575</v>
      </c>
    </row>
    <row r="29" spans="2:39">
      <c r="B29" s="52" t="s">
        <v>100</v>
      </c>
      <c r="C29" s="53"/>
      <c r="D29" s="54" t="s">
        <v>97</v>
      </c>
      <c r="E29" s="50">
        <v>36.660051609420343</v>
      </c>
      <c r="F29" s="50">
        <v>36.158951480574522</v>
      </c>
      <c r="G29" s="50">
        <v>33.412669647183364</v>
      </c>
      <c r="H29" s="50">
        <v>31.958345212146835</v>
      </c>
      <c r="I29" s="50">
        <v>29.796562004112083</v>
      </c>
      <c r="J29" s="50">
        <v>27.219430806590488</v>
      </c>
      <c r="K29" s="50">
        <v>26.076028634641713</v>
      </c>
      <c r="M29" s="50">
        <v>36.660051609420343</v>
      </c>
      <c r="N29" s="51">
        <v>35.503470877833209</v>
      </c>
      <c r="O29" s="51">
        <v>33.575836325187993</v>
      </c>
      <c r="P29" s="50">
        <v>32.804782504129903</v>
      </c>
      <c r="Q29" s="51">
        <v>31.947816090138407</v>
      </c>
      <c r="R29" s="51">
        <v>30.519538733485909</v>
      </c>
      <c r="S29" s="50">
        <v>27.091673077519918</v>
      </c>
    </row>
    <row r="30" spans="2:39">
      <c r="B30" s="47" t="s">
        <v>101</v>
      </c>
      <c r="C30" s="48"/>
      <c r="D30" s="49" t="s">
        <v>97</v>
      </c>
      <c r="E30" s="50">
        <v>75.611828199593532</v>
      </c>
      <c r="F30" s="50">
        <v>77.557530065561281</v>
      </c>
      <c r="G30" s="50">
        <v>81.773031643941906</v>
      </c>
      <c r="H30" s="50">
        <v>83.752677189118288</v>
      </c>
      <c r="I30" s="50">
        <v>86.921162032441529</v>
      </c>
      <c r="J30" s="50">
        <v>92.247475382847611</v>
      </c>
      <c r="K30" s="50">
        <v>99.055498976515679</v>
      </c>
      <c r="M30" s="50">
        <v>75.611828199593532</v>
      </c>
      <c r="N30" s="51">
        <v>78.762307154401711</v>
      </c>
      <c r="O30" s="51">
        <v>84.013105412415342</v>
      </c>
      <c r="P30" s="50">
        <v>86.113424715620795</v>
      </c>
      <c r="Q30" s="51">
        <v>90.353864328414872</v>
      </c>
      <c r="R30" s="51">
        <v>97.421263683071672</v>
      </c>
      <c r="S30" s="50">
        <v>114.38302213424799</v>
      </c>
    </row>
    <row r="31" spans="2:39">
      <c r="B31" s="52" t="s">
        <v>102</v>
      </c>
      <c r="C31" s="53"/>
      <c r="D31" s="54" t="s">
        <v>97</v>
      </c>
      <c r="E31" s="50">
        <v>50.62772380443463</v>
      </c>
      <c r="F31" s="50">
        <v>52.532108078953534</v>
      </c>
      <c r="G31" s="50">
        <v>56.23615597342701</v>
      </c>
      <c r="H31" s="50">
        <v>57.797175887646418</v>
      </c>
      <c r="I31" s="50">
        <v>60.101913240850777</v>
      </c>
      <c r="J31" s="50">
        <v>63.522539789630251</v>
      </c>
      <c r="K31" s="50">
        <v>66.989504866736183</v>
      </c>
      <c r="M31" s="50">
        <v>50.62772380443463</v>
      </c>
      <c r="N31" s="51">
        <v>52.913684795288617</v>
      </c>
      <c r="O31" s="51">
        <v>56.723619780045254</v>
      </c>
      <c r="P31" s="50">
        <v>58.247593773947912</v>
      </c>
      <c r="Q31" s="51">
        <v>59.637174142126888</v>
      </c>
      <c r="R31" s="51">
        <v>61.953141422425176</v>
      </c>
      <c r="S31" s="50">
        <v>67.511462895141065</v>
      </c>
    </row>
    <row r="32" spans="2:39">
      <c r="B32" s="52" t="s">
        <v>103</v>
      </c>
      <c r="C32" s="53"/>
      <c r="D32" s="54" t="s">
        <v>97</v>
      </c>
      <c r="E32" s="50">
        <v>16.671428571428571</v>
      </c>
      <c r="F32" s="50">
        <v>16.671428571428571</v>
      </c>
      <c r="G32" s="50">
        <v>16.671428571428571</v>
      </c>
      <c r="H32" s="50">
        <v>16.671428571428571</v>
      </c>
      <c r="I32" s="50">
        <v>16.671428571428571</v>
      </c>
      <c r="J32" s="50">
        <v>16.671428571428571</v>
      </c>
      <c r="K32" s="50">
        <v>16.671428571428571</v>
      </c>
      <c r="M32" s="50">
        <v>16.671428571428571</v>
      </c>
      <c r="N32" s="51">
        <v>16.671428571428571</v>
      </c>
      <c r="O32" s="51">
        <v>16.671428571428571</v>
      </c>
      <c r="P32" s="50">
        <v>16.671428571428571</v>
      </c>
      <c r="Q32" s="51">
        <v>16.671428571428571</v>
      </c>
      <c r="R32" s="51">
        <v>16.671428571428571</v>
      </c>
      <c r="S32" s="50">
        <v>16.671428571428571</v>
      </c>
    </row>
    <row r="33" spans="2:19">
      <c r="B33" s="52" t="s">
        <v>104</v>
      </c>
      <c r="C33" s="53"/>
      <c r="D33" s="54" t="s">
        <v>97</v>
      </c>
      <c r="E33" s="50">
        <v>4.1563379118651715</v>
      </c>
      <c r="F33" s="50">
        <v>4.1892045613255036</v>
      </c>
      <c r="G33" s="50">
        <v>4.5151867655173898</v>
      </c>
      <c r="H33" s="50">
        <v>4.7581160703700096</v>
      </c>
      <c r="I33" s="50">
        <v>5.2300101362253333</v>
      </c>
      <c r="J33" s="50">
        <v>6.1897710182192247</v>
      </c>
      <c r="K33" s="50">
        <v>7.6972827691754526</v>
      </c>
      <c r="M33" s="50">
        <v>4.1563379118651715</v>
      </c>
      <c r="N33" s="51">
        <v>4.6899716749698941</v>
      </c>
      <c r="O33" s="51">
        <v>5.5793612801444317</v>
      </c>
      <c r="P33" s="50">
        <v>5.9351171222142467</v>
      </c>
      <c r="Q33" s="51">
        <v>7.3098593539579877</v>
      </c>
      <c r="R33" s="51">
        <v>9.6010964068642242</v>
      </c>
      <c r="S33" s="50">
        <v>15.100065333839188</v>
      </c>
    </row>
    <row r="34" spans="2:19">
      <c r="B34" s="52" t="s">
        <v>105</v>
      </c>
      <c r="C34" s="53"/>
      <c r="D34" s="54" t="s">
        <v>97</v>
      </c>
      <c r="E34" s="50">
        <v>4.1563379118651715</v>
      </c>
      <c r="F34" s="50">
        <v>4.1647888538536826</v>
      </c>
      <c r="G34" s="50">
        <v>4.3502603335689383</v>
      </c>
      <c r="H34" s="50">
        <v>4.5259566596732972</v>
      </c>
      <c r="I34" s="50">
        <v>4.9178100839368604</v>
      </c>
      <c r="J34" s="50">
        <v>5.8637360035695743</v>
      </c>
      <c r="K34" s="50">
        <v>7.6972827691754526</v>
      </c>
      <c r="M34" s="50">
        <v>4.1563379118651715</v>
      </c>
      <c r="N34" s="51">
        <v>4.4872221127146421</v>
      </c>
      <c r="O34" s="51">
        <v>5.0386957807970933</v>
      </c>
      <c r="P34" s="50">
        <v>5.259285248030074</v>
      </c>
      <c r="Q34" s="51">
        <v>6.7354022609014415</v>
      </c>
      <c r="R34" s="51">
        <v>9.1955972823537202</v>
      </c>
      <c r="S34" s="50">
        <v>15.100065333839188</v>
      </c>
    </row>
    <row r="35" spans="2:19">
      <c r="B35" s="47" t="s">
        <v>106</v>
      </c>
      <c r="C35" s="48"/>
      <c r="D35" s="49" t="s">
        <v>97</v>
      </c>
      <c r="E35" s="50">
        <v>2.323516530678595</v>
      </c>
      <c r="F35" s="50">
        <v>2.6951309165612569</v>
      </c>
      <c r="G35" s="50">
        <v>5.0650885739850589</v>
      </c>
      <c r="H35" s="50">
        <v>6.6176512326874963</v>
      </c>
      <c r="I35" s="50">
        <v>9.4398318703471151</v>
      </c>
      <c r="J35" s="50">
        <v>14.699804849679596</v>
      </c>
      <c r="K35" s="50">
        <v>22.143172032894089</v>
      </c>
      <c r="M35" s="50">
        <v>2.323516530678595</v>
      </c>
      <c r="N35" s="51">
        <v>4.7864064175311096</v>
      </c>
      <c r="O35" s="51">
        <v>8.8912228956186361</v>
      </c>
      <c r="P35" s="50">
        <v>10.533149486853645</v>
      </c>
      <c r="Q35" s="51">
        <v>14.995894748609381</v>
      </c>
      <c r="R35" s="51">
        <v>22.433803518202271</v>
      </c>
      <c r="S35" s="50">
        <v>40.284784565225209</v>
      </c>
    </row>
    <row r="36" spans="2:19">
      <c r="B36" s="52" t="s">
        <v>91</v>
      </c>
      <c r="C36" s="53"/>
      <c r="D36" s="54" t="s">
        <v>97</v>
      </c>
      <c r="E36" s="50">
        <v>0.26886760354894629</v>
      </c>
      <c r="F36" s="50">
        <v>0.28740756430890863</v>
      </c>
      <c r="G36" s="50">
        <v>0.38264246258960832</v>
      </c>
      <c r="H36" s="50">
        <v>0.43211580228319424</v>
      </c>
      <c r="I36" s="50">
        <v>0.49732980649085118</v>
      </c>
      <c r="J36" s="50">
        <v>0.5266605519595583</v>
      </c>
      <c r="K36" s="50">
        <v>0.41448059910853891</v>
      </c>
      <c r="M36" s="50">
        <v>0.26886760354894629</v>
      </c>
      <c r="N36" s="51">
        <v>0.30637426596258688</v>
      </c>
      <c r="O36" s="51">
        <v>0.36888536998532118</v>
      </c>
      <c r="P36" s="50">
        <v>0.39388981159441488</v>
      </c>
      <c r="Q36" s="51">
        <v>0.36918035716978964</v>
      </c>
      <c r="R36" s="51">
        <v>0.32799793312874759</v>
      </c>
      <c r="S36" s="50">
        <v>0.2291601154302467</v>
      </c>
    </row>
    <row r="37" spans="2:19">
      <c r="B37" s="52" t="s">
        <v>107</v>
      </c>
      <c r="C37" s="53"/>
      <c r="D37" s="54" t="s">
        <v>97</v>
      </c>
      <c r="E37" s="50">
        <v>1.8562813820541846</v>
      </c>
      <c r="F37" s="50">
        <v>1.9887217798654928</v>
      </c>
      <c r="G37" s="50">
        <v>2.7415139708939926</v>
      </c>
      <c r="H37" s="50">
        <v>3.1849191125147929</v>
      </c>
      <c r="I37" s="50">
        <v>3.9365294544752487</v>
      </c>
      <c r="J37" s="50">
        <v>5.2239923250328353</v>
      </c>
      <c r="K37" s="50">
        <v>6.8654402690830603</v>
      </c>
      <c r="M37" s="50">
        <v>1.8562813820541846</v>
      </c>
      <c r="N37" s="51">
        <v>2.7538039109734611</v>
      </c>
      <c r="O37" s="51">
        <v>4.249674792505588</v>
      </c>
      <c r="P37" s="50">
        <v>4.8480231451184395</v>
      </c>
      <c r="Q37" s="51">
        <v>5.9190192446495811</v>
      </c>
      <c r="R37" s="51">
        <v>7.7040127438681516</v>
      </c>
      <c r="S37" s="50">
        <v>11.98799714199272</v>
      </c>
    </row>
    <row r="38" spans="2:19">
      <c r="B38" s="52" t="s">
        <v>108</v>
      </c>
      <c r="C38" s="53"/>
      <c r="D38" s="54" t="s">
        <v>97</v>
      </c>
      <c r="E38" s="50">
        <v>0</v>
      </c>
      <c r="F38" s="50">
        <v>7.2209596419016156E-2</v>
      </c>
      <c r="G38" s="50">
        <v>0.72902871448501516</v>
      </c>
      <c r="H38" s="50">
        <v>1.2073921724154537</v>
      </c>
      <c r="I38" s="50">
        <v>2.126496811362423</v>
      </c>
      <c r="J38" s="50">
        <v>3.9743163100868464</v>
      </c>
      <c r="K38" s="50">
        <v>6.8420291281559589</v>
      </c>
      <c r="M38" s="50">
        <v>0</v>
      </c>
      <c r="N38" s="51">
        <v>0.70296018783820113</v>
      </c>
      <c r="O38" s="51">
        <v>1.8745605009018698</v>
      </c>
      <c r="P38" s="50">
        <v>2.343200626127337</v>
      </c>
      <c r="Q38" s="51">
        <v>4.0050625767201282</v>
      </c>
      <c r="R38" s="51">
        <v>6.774832494374782</v>
      </c>
      <c r="S38" s="50">
        <v>13.422280296745948</v>
      </c>
    </row>
    <row r="39" spans="2:19">
      <c r="B39" s="52" t="s">
        <v>109</v>
      </c>
      <c r="C39" s="53"/>
      <c r="D39" s="54" t="s">
        <v>97</v>
      </c>
      <c r="E39" s="50">
        <v>0.19836754507546414</v>
      </c>
      <c r="F39" s="50">
        <v>0.25575772466520114</v>
      </c>
      <c r="G39" s="50">
        <v>0.60291120238127838</v>
      </c>
      <c r="H39" s="50">
        <v>0.87854718816621147</v>
      </c>
      <c r="I39" s="50">
        <v>1.4448641545686021</v>
      </c>
      <c r="J39" s="50">
        <v>2.6355630832973933</v>
      </c>
      <c r="K39" s="50">
        <v>3.900984251597639</v>
      </c>
      <c r="M39" s="50">
        <v>0.19836754507546414</v>
      </c>
      <c r="N39" s="51">
        <v>0.73713364750860089</v>
      </c>
      <c r="O39" s="51">
        <v>1.6350771515638289</v>
      </c>
      <c r="P39" s="50">
        <v>1.9942545531859199</v>
      </c>
      <c r="Q39" s="51">
        <v>3.4429295703018639</v>
      </c>
      <c r="R39" s="51">
        <v>5.857387932161771</v>
      </c>
      <c r="S39" s="50">
        <v>11.652088000625549</v>
      </c>
    </row>
    <row r="40" spans="2:19">
      <c r="B40" s="52" t="s">
        <v>110</v>
      </c>
      <c r="C40" s="53"/>
      <c r="D40" s="54" t="s">
        <v>97</v>
      </c>
      <c r="E40" s="50">
        <v>0</v>
      </c>
      <c r="F40" s="50">
        <v>9.1034251302637953E-2</v>
      </c>
      <c r="G40" s="50">
        <v>0.6089922236351647</v>
      </c>
      <c r="H40" s="50">
        <v>0.91467695730784326</v>
      </c>
      <c r="I40" s="50">
        <v>1.4346116434499911</v>
      </c>
      <c r="J40" s="50">
        <v>2.3392725793029627</v>
      </c>
      <c r="K40" s="50">
        <v>4.1202377849488911</v>
      </c>
      <c r="M40" s="50">
        <v>0</v>
      </c>
      <c r="N40" s="51">
        <v>0.28613440524825995</v>
      </c>
      <c r="O40" s="51">
        <v>0.76302508066202657</v>
      </c>
      <c r="P40" s="50">
        <v>0.95378135082753313</v>
      </c>
      <c r="Q40" s="51">
        <v>1.2597029997680156</v>
      </c>
      <c r="R40" s="51">
        <v>1.7695724146688199</v>
      </c>
      <c r="S40" s="50">
        <v>2.9932590104307497</v>
      </c>
    </row>
    <row r="41" spans="2:19">
      <c r="B41" s="52" t="s">
        <v>111</v>
      </c>
      <c r="C41" s="53"/>
      <c r="D41" s="54" t="s">
        <v>97</v>
      </c>
      <c r="E41" s="50">
        <v>0</v>
      </c>
      <c r="F41" s="50">
        <v>0</v>
      </c>
      <c r="G41" s="50">
        <v>0</v>
      </c>
      <c r="H41" s="50">
        <v>0</v>
      </c>
      <c r="I41" s="50">
        <v>0</v>
      </c>
      <c r="J41" s="50">
        <v>0</v>
      </c>
      <c r="K41" s="50">
        <v>0</v>
      </c>
      <c r="M41" s="50">
        <v>0</v>
      </c>
      <c r="N41" s="51">
        <v>0</v>
      </c>
      <c r="O41" s="51">
        <v>0</v>
      </c>
      <c r="P41" s="50">
        <v>0</v>
      </c>
      <c r="Q41" s="51">
        <v>0</v>
      </c>
      <c r="R41" s="51">
        <v>0</v>
      </c>
      <c r="S41" s="50">
        <v>0</v>
      </c>
    </row>
    <row r="42" spans="2:19">
      <c r="B42" s="52" t="s">
        <v>112</v>
      </c>
      <c r="C42" s="53"/>
      <c r="D42" s="54" t="s">
        <v>97</v>
      </c>
      <c r="E42" s="50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M42" s="50">
        <v>0</v>
      </c>
      <c r="N42" s="51">
        <v>0</v>
      </c>
      <c r="O42" s="51">
        <v>0</v>
      </c>
      <c r="P42" s="50">
        <v>0</v>
      </c>
      <c r="Q42" s="51">
        <v>0</v>
      </c>
      <c r="R42" s="51">
        <v>0</v>
      </c>
      <c r="S42" s="50">
        <v>0</v>
      </c>
    </row>
    <row r="43" spans="2:19">
      <c r="B43" s="47" t="s">
        <v>113</v>
      </c>
      <c r="C43" s="48"/>
      <c r="D43" s="49" t="s">
        <v>97</v>
      </c>
      <c r="E43" s="50">
        <v>35.557024247123238</v>
      </c>
      <c r="F43" s="50">
        <v>34.833544356761138</v>
      </c>
      <c r="G43" s="50">
        <v>32.937990637628289</v>
      </c>
      <c r="H43" s="50">
        <v>32.012081859619727</v>
      </c>
      <c r="I43" s="50">
        <v>30.539547056706635</v>
      </c>
      <c r="J43" s="50">
        <v>28.141103475784981</v>
      </c>
      <c r="K43" s="50">
        <v>25.158714220943072</v>
      </c>
      <c r="M43" s="50">
        <v>35.557024247123238</v>
      </c>
      <c r="N43" s="51">
        <v>34.493541530872186</v>
      </c>
      <c r="O43" s="51">
        <v>32.72107033712043</v>
      </c>
      <c r="P43" s="50">
        <v>32.012081859619727</v>
      </c>
      <c r="Q43" s="51">
        <v>30.984076713818229</v>
      </c>
      <c r="R43" s="51">
        <v>29.270734804149065</v>
      </c>
      <c r="S43" s="50">
        <v>25.158714220943072</v>
      </c>
    </row>
    <row r="44" spans="2:19">
      <c r="B44" s="52" t="s">
        <v>114</v>
      </c>
      <c r="C44" s="53"/>
      <c r="D44" s="54" t="s">
        <v>97</v>
      </c>
      <c r="E44" s="50">
        <v>4.404054818690784</v>
      </c>
      <c r="F44" s="50">
        <v>4.223757859083686</v>
      </c>
      <c r="G44" s="50">
        <v>3.7513707521517672</v>
      </c>
      <c r="H44" s="50">
        <v>3.5206268990435472</v>
      </c>
      <c r="I44" s="50">
        <v>3.1536594802974833</v>
      </c>
      <c r="J44" s="50">
        <v>2.5559482084431999</v>
      </c>
      <c r="K44" s="50">
        <v>1.8127130167314567</v>
      </c>
      <c r="M44" s="50">
        <v>4.404054818690784</v>
      </c>
      <c r="N44" s="51">
        <v>4.139026442796613</v>
      </c>
      <c r="O44" s="51">
        <v>3.6973124829729946</v>
      </c>
      <c r="P44" s="50">
        <v>3.5206268990435472</v>
      </c>
      <c r="Q44" s="51">
        <v>3.2644398166967337</v>
      </c>
      <c r="R44" s="51">
        <v>2.8374613461187108</v>
      </c>
      <c r="S44" s="50">
        <v>1.8127130167314567</v>
      </c>
    </row>
    <row r="45" spans="2:19">
      <c r="B45" s="52" t="s">
        <v>115</v>
      </c>
      <c r="C45" s="53"/>
      <c r="D45" s="54" t="s">
        <v>97</v>
      </c>
      <c r="E45" s="50">
        <v>31.152969428432456</v>
      </c>
      <c r="F45" s="50">
        <v>30.609786497677451</v>
      </c>
      <c r="G45" s="50">
        <v>29.186619885476521</v>
      </c>
      <c r="H45" s="50">
        <v>28.491454960576181</v>
      </c>
      <c r="I45" s="50">
        <v>27.38588757640915</v>
      </c>
      <c r="J45" s="50">
        <v>25.585155267341779</v>
      </c>
      <c r="K45" s="50">
        <v>23.346001204211614</v>
      </c>
      <c r="M45" s="50">
        <v>31.152969428432456</v>
      </c>
      <c r="N45" s="51">
        <v>30.354515088075573</v>
      </c>
      <c r="O45" s="51">
        <v>29.023757854147437</v>
      </c>
      <c r="P45" s="50">
        <v>28.491454960576181</v>
      </c>
      <c r="Q45" s="51">
        <v>27.719636897121497</v>
      </c>
      <c r="R45" s="51">
        <v>26.433273458030353</v>
      </c>
      <c r="S45" s="50">
        <v>23.346001204211614</v>
      </c>
    </row>
    <row r="46" spans="2:19">
      <c r="B46" s="52" t="s">
        <v>116</v>
      </c>
      <c r="C46" s="53"/>
      <c r="D46" s="54" t="s">
        <v>97</v>
      </c>
      <c r="E46" s="50">
        <v>0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M46" s="50">
        <v>0</v>
      </c>
      <c r="N46" s="51">
        <v>0</v>
      </c>
      <c r="O46" s="51">
        <v>0</v>
      </c>
      <c r="P46" s="50">
        <v>0</v>
      </c>
      <c r="Q46" s="51">
        <v>0</v>
      </c>
      <c r="R46" s="51">
        <v>0</v>
      </c>
      <c r="S46" s="50">
        <v>0</v>
      </c>
    </row>
    <row r="47" spans="2:19">
      <c r="B47" s="52" t="s">
        <v>117</v>
      </c>
      <c r="C47" s="53"/>
      <c r="D47" s="54" t="s">
        <v>97</v>
      </c>
      <c r="E47" s="50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M47" s="50">
        <v>0</v>
      </c>
      <c r="N47" s="51">
        <v>0</v>
      </c>
      <c r="O47" s="51">
        <v>0</v>
      </c>
      <c r="P47" s="50">
        <v>0</v>
      </c>
      <c r="Q47" s="51">
        <v>0</v>
      </c>
      <c r="R47" s="51">
        <v>0</v>
      </c>
      <c r="S47" s="50">
        <v>0</v>
      </c>
    </row>
    <row r="48" spans="2:19">
      <c r="B48" s="52" t="s">
        <v>118</v>
      </c>
      <c r="C48" s="53"/>
      <c r="D48" s="54" t="s">
        <v>97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M48" s="50">
        <v>0</v>
      </c>
      <c r="N48" s="51">
        <v>0</v>
      </c>
      <c r="O48" s="51">
        <v>0</v>
      </c>
      <c r="P48" s="50">
        <v>0</v>
      </c>
      <c r="Q48" s="51">
        <v>0</v>
      </c>
      <c r="R48" s="51">
        <v>0</v>
      </c>
      <c r="S48" s="50">
        <v>0</v>
      </c>
    </row>
    <row r="49" spans="2:39">
      <c r="B49" s="47" t="s">
        <v>119</v>
      </c>
      <c r="C49" s="48"/>
      <c r="D49" s="49" t="s">
        <v>97</v>
      </c>
      <c r="E49" s="50">
        <v>211.61419795185208</v>
      </c>
      <c r="F49" s="50">
        <v>216.35668211004688</v>
      </c>
      <c r="G49" s="50">
        <v>225.23493451792928</v>
      </c>
      <c r="H49" s="50">
        <v>229.20035468314154</v>
      </c>
      <c r="I49" s="50">
        <v>235.53716237679686</v>
      </c>
      <c r="J49" s="50">
        <v>246.45543971363242</v>
      </c>
      <c r="K49" s="50">
        <v>258.03723195324619</v>
      </c>
      <c r="M49" s="50">
        <v>211.61419795185208</v>
      </c>
      <c r="N49" s="51">
        <v>219.02684989303441</v>
      </c>
      <c r="O49" s="51">
        <v>231.38126979500498</v>
      </c>
      <c r="P49" s="50">
        <v>236.32303775579322</v>
      </c>
      <c r="Q49" s="51">
        <v>244.75288390535241</v>
      </c>
      <c r="R49" s="51">
        <v>258.80262748795104</v>
      </c>
      <c r="S49" s="50">
        <v>292.52201208618783</v>
      </c>
    </row>
    <row r="50" spans="2:39">
      <c r="B50" s="47" t="s">
        <v>120</v>
      </c>
      <c r="C50" s="48"/>
      <c r="D50" s="49"/>
      <c r="E50" s="55">
        <v>82.853268210952521</v>
      </c>
      <c r="F50" s="55">
        <v>82.041620169076097</v>
      </c>
      <c r="G50" s="55">
        <v>80.281195957883057</v>
      </c>
      <c r="H50" s="55">
        <v>79.872151034497364</v>
      </c>
      <c r="I50" s="55">
        <v>79.923761151328037</v>
      </c>
      <c r="J50" s="55">
        <v>82.113846153843866</v>
      </c>
      <c r="K50" s="55">
        <v>88.772480426829773</v>
      </c>
      <c r="M50" s="55">
        <v>82.853268210952521</v>
      </c>
      <c r="N50" s="55">
        <v>83.960612613921043</v>
      </c>
      <c r="O50" s="55">
        <v>85.80618661886858</v>
      </c>
      <c r="P50" s="55">
        <v>86.544416220847594</v>
      </c>
      <c r="Q50" s="55">
        <v>91.973049167425444</v>
      </c>
      <c r="R50" s="55">
        <v>101.02077074505519</v>
      </c>
      <c r="S50" s="55">
        <v>122.73530253136657</v>
      </c>
    </row>
    <row r="54" spans="2:39">
      <c r="B54" s="138" t="s">
        <v>121</v>
      </c>
      <c r="C54" s="138"/>
    </row>
    <row r="57" spans="2:39">
      <c r="B57" s="35" t="s">
        <v>67</v>
      </c>
      <c r="D57" s="139" t="s">
        <v>68</v>
      </c>
      <c r="E57" s="139"/>
      <c r="F57" s="139"/>
      <c r="G57" s="139"/>
      <c r="H57" s="139" t="s">
        <v>69</v>
      </c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 t="s">
        <v>70</v>
      </c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</row>
    <row r="58" spans="2:39">
      <c r="B58" s="36"/>
      <c r="C58" s="36"/>
      <c r="D58" s="140" t="s">
        <v>71</v>
      </c>
      <c r="E58" s="140"/>
      <c r="F58" s="140"/>
      <c r="G58" s="140"/>
      <c r="H58" s="140">
        <v>2025</v>
      </c>
      <c r="I58" s="140"/>
      <c r="J58" s="140"/>
      <c r="K58" s="140"/>
      <c r="L58" s="140">
        <v>2030</v>
      </c>
      <c r="M58" s="140"/>
      <c r="N58" s="140"/>
      <c r="O58" s="140"/>
      <c r="P58" s="140">
        <v>2040</v>
      </c>
      <c r="Q58" s="140"/>
      <c r="R58" s="140"/>
      <c r="S58" s="140"/>
      <c r="T58" s="140">
        <v>2050</v>
      </c>
      <c r="U58" s="140"/>
      <c r="V58" s="140"/>
      <c r="W58" s="140"/>
      <c r="X58" s="140">
        <v>2025</v>
      </c>
      <c r="Y58" s="140"/>
      <c r="Z58" s="140"/>
      <c r="AA58" s="140"/>
      <c r="AB58" s="140">
        <v>2030</v>
      </c>
      <c r="AC58" s="140"/>
      <c r="AD58" s="140"/>
      <c r="AE58" s="140"/>
      <c r="AF58" s="140">
        <v>2040</v>
      </c>
      <c r="AG58" s="140"/>
      <c r="AH58" s="140"/>
      <c r="AI58" s="140"/>
      <c r="AJ58" s="140">
        <v>2050</v>
      </c>
      <c r="AK58" s="140"/>
      <c r="AL58" s="140"/>
      <c r="AM58" s="140"/>
    </row>
    <row r="59" spans="2:39">
      <c r="B59" s="36"/>
      <c r="C59" s="36"/>
      <c r="D59" s="37" t="s">
        <v>72</v>
      </c>
      <c r="E59" s="37" t="s">
        <v>73</v>
      </c>
      <c r="F59" s="37" t="s">
        <v>74</v>
      </c>
      <c r="G59" s="37" t="s">
        <v>75</v>
      </c>
      <c r="H59" s="37" t="s">
        <v>72</v>
      </c>
      <c r="I59" s="37" t="s">
        <v>73</v>
      </c>
      <c r="J59" s="37" t="s">
        <v>74</v>
      </c>
      <c r="K59" s="37" t="s">
        <v>75</v>
      </c>
      <c r="L59" s="37" t="s">
        <v>72</v>
      </c>
      <c r="M59" s="37" t="s">
        <v>73</v>
      </c>
      <c r="N59" s="37" t="s">
        <v>74</v>
      </c>
      <c r="O59" s="37" t="s">
        <v>75</v>
      </c>
      <c r="P59" s="37" t="s">
        <v>72</v>
      </c>
      <c r="Q59" s="37" t="s">
        <v>73</v>
      </c>
      <c r="R59" s="37" t="s">
        <v>74</v>
      </c>
      <c r="S59" s="37" t="s">
        <v>75</v>
      </c>
      <c r="T59" s="37" t="s">
        <v>72</v>
      </c>
      <c r="U59" s="37" t="s">
        <v>73</v>
      </c>
      <c r="V59" s="37" t="s">
        <v>74</v>
      </c>
      <c r="W59" s="37" t="s">
        <v>75</v>
      </c>
      <c r="X59" s="37" t="s">
        <v>72</v>
      </c>
      <c r="Y59" s="37" t="s">
        <v>73</v>
      </c>
      <c r="Z59" s="37" t="s">
        <v>74</v>
      </c>
      <c r="AA59" s="37" t="s">
        <v>75</v>
      </c>
      <c r="AB59" s="37" t="s">
        <v>72</v>
      </c>
      <c r="AC59" s="37" t="s">
        <v>73</v>
      </c>
      <c r="AD59" s="37" t="s">
        <v>74</v>
      </c>
      <c r="AE59" s="37" t="s">
        <v>75</v>
      </c>
      <c r="AF59" s="37" t="s">
        <v>72</v>
      </c>
      <c r="AG59" s="37" t="s">
        <v>73</v>
      </c>
      <c r="AH59" s="37" t="s">
        <v>74</v>
      </c>
      <c r="AI59" s="37" t="s">
        <v>75</v>
      </c>
      <c r="AJ59" s="37" t="s">
        <v>72</v>
      </c>
      <c r="AK59" s="37" t="s">
        <v>73</v>
      </c>
      <c r="AL59" s="37" t="s">
        <v>74</v>
      </c>
      <c r="AM59" s="37" t="s">
        <v>75</v>
      </c>
    </row>
    <row r="60" spans="2:39">
      <c r="B60" s="135" t="s">
        <v>76</v>
      </c>
      <c r="C60" s="36" t="s">
        <v>77</v>
      </c>
      <c r="D60" s="38">
        <v>1</v>
      </c>
      <c r="E60" s="36"/>
      <c r="F60" s="36"/>
      <c r="G60" s="36"/>
      <c r="H60" s="38">
        <v>1</v>
      </c>
      <c r="I60" s="36"/>
      <c r="J60" s="36"/>
      <c r="K60" s="36"/>
      <c r="L60" s="38">
        <v>1</v>
      </c>
      <c r="M60" s="36"/>
      <c r="N60" s="36"/>
      <c r="O60" s="36"/>
      <c r="P60" s="38">
        <v>1</v>
      </c>
      <c r="Q60" s="36"/>
      <c r="R60" s="36"/>
      <c r="S60" s="36"/>
      <c r="T60" s="38">
        <v>1</v>
      </c>
      <c r="U60" s="36"/>
      <c r="V60" s="36"/>
      <c r="W60" s="36"/>
      <c r="X60" s="38">
        <v>1</v>
      </c>
      <c r="Y60" s="36"/>
      <c r="Z60" s="36"/>
      <c r="AA60" s="36"/>
      <c r="AB60" s="38">
        <v>1</v>
      </c>
      <c r="AC60" s="36"/>
      <c r="AD60" s="36"/>
      <c r="AE60" s="36"/>
      <c r="AF60" s="38">
        <v>1</v>
      </c>
      <c r="AG60" s="36"/>
      <c r="AH60" s="36"/>
      <c r="AI60" s="36"/>
      <c r="AJ60" s="38">
        <v>1</v>
      </c>
      <c r="AK60" s="36"/>
      <c r="AL60" s="36"/>
      <c r="AM60" s="36"/>
    </row>
    <row r="61" spans="2:39">
      <c r="B61" s="136"/>
      <c r="C61" s="36" t="s">
        <v>78</v>
      </c>
      <c r="D61" s="38">
        <v>1</v>
      </c>
      <c r="E61" s="36"/>
      <c r="F61" s="36"/>
      <c r="G61" s="36"/>
      <c r="H61" s="38">
        <v>1</v>
      </c>
      <c r="I61" s="36"/>
      <c r="J61" s="36"/>
      <c r="K61" s="36"/>
      <c r="L61" s="38">
        <v>1</v>
      </c>
      <c r="M61" s="36"/>
      <c r="N61" s="36"/>
      <c r="O61" s="36"/>
      <c r="P61" s="38">
        <v>1</v>
      </c>
      <c r="Q61" s="36"/>
      <c r="R61" s="36"/>
      <c r="S61" s="36"/>
      <c r="T61" s="38">
        <v>1</v>
      </c>
      <c r="U61" s="36"/>
      <c r="V61" s="36"/>
      <c r="W61" s="36"/>
      <c r="X61" s="38">
        <v>1</v>
      </c>
      <c r="Y61" s="36"/>
      <c r="Z61" s="36"/>
      <c r="AA61" s="36"/>
      <c r="AB61" s="38">
        <v>1</v>
      </c>
      <c r="AC61" s="36"/>
      <c r="AD61" s="36"/>
      <c r="AE61" s="36"/>
      <c r="AF61" s="38">
        <v>1</v>
      </c>
      <c r="AG61" s="36"/>
      <c r="AH61" s="36"/>
      <c r="AI61" s="36"/>
      <c r="AJ61" s="38">
        <v>1</v>
      </c>
      <c r="AK61" s="36"/>
      <c r="AL61" s="36"/>
      <c r="AM61" s="36"/>
    </row>
    <row r="62" spans="2:39">
      <c r="B62" s="137"/>
      <c r="C62" s="39" t="s">
        <v>79</v>
      </c>
      <c r="D62" s="38">
        <v>1</v>
      </c>
      <c r="E62" s="36"/>
      <c r="F62" s="36"/>
      <c r="G62" s="36"/>
      <c r="H62" s="38">
        <v>1</v>
      </c>
      <c r="I62" s="36"/>
      <c r="J62" s="36"/>
      <c r="K62" s="36"/>
      <c r="L62" s="38">
        <v>1</v>
      </c>
      <c r="M62" s="36"/>
      <c r="N62" s="36"/>
      <c r="O62" s="36"/>
      <c r="P62" s="38">
        <v>1</v>
      </c>
      <c r="Q62" s="36"/>
      <c r="R62" s="36"/>
      <c r="S62" s="36"/>
      <c r="T62" s="38">
        <v>1</v>
      </c>
      <c r="U62" s="36"/>
      <c r="V62" s="36"/>
      <c r="W62" s="36"/>
      <c r="X62" s="38">
        <v>1</v>
      </c>
      <c r="Y62" s="36"/>
      <c r="Z62" s="36"/>
      <c r="AA62" s="36"/>
      <c r="AB62" s="38">
        <v>1</v>
      </c>
      <c r="AC62" s="36"/>
      <c r="AD62" s="36"/>
      <c r="AE62" s="36"/>
      <c r="AF62" s="38">
        <v>1</v>
      </c>
      <c r="AG62" s="36"/>
      <c r="AH62" s="36"/>
      <c r="AI62" s="36"/>
      <c r="AJ62" s="38">
        <v>1</v>
      </c>
      <c r="AK62" s="36"/>
      <c r="AL62" s="36"/>
      <c r="AM62" s="36"/>
    </row>
    <row r="63" spans="2:39">
      <c r="B63" s="135" t="s">
        <v>80</v>
      </c>
      <c r="C63" s="36" t="s">
        <v>81</v>
      </c>
      <c r="D63" s="38">
        <v>1</v>
      </c>
      <c r="E63" s="36"/>
      <c r="F63" s="36"/>
      <c r="G63" s="36"/>
      <c r="H63" s="38">
        <v>1</v>
      </c>
      <c r="I63" s="36"/>
      <c r="J63" s="36"/>
      <c r="K63" s="36"/>
      <c r="L63" s="38">
        <v>1</v>
      </c>
      <c r="M63" s="36"/>
      <c r="N63" s="36"/>
      <c r="O63" s="36"/>
      <c r="P63" s="38">
        <v>1</v>
      </c>
      <c r="Q63" s="36"/>
      <c r="R63" s="36"/>
      <c r="S63" s="36"/>
      <c r="T63" s="38">
        <v>1</v>
      </c>
      <c r="U63" s="36"/>
      <c r="V63" s="36"/>
      <c r="W63" s="36"/>
      <c r="X63" s="38">
        <v>1</v>
      </c>
      <c r="Y63" s="36"/>
      <c r="Z63" s="36"/>
      <c r="AA63" s="36"/>
      <c r="AB63" s="38">
        <v>1</v>
      </c>
      <c r="AC63" s="36"/>
      <c r="AD63" s="36"/>
      <c r="AE63" s="36"/>
      <c r="AF63" s="38">
        <v>1</v>
      </c>
      <c r="AG63" s="36"/>
      <c r="AH63" s="36"/>
      <c r="AI63" s="36"/>
      <c r="AJ63" s="38">
        <v>1</v>
      </c>
      <c r="AK63" s="36"/>
      <c r="AL63" s="36"/>
      <c r="AM63" s="36"/>
    </row>
    <row r="64" spans="2:39">
      <c r="B64" s="136"/>
      <c r="C64" s="36" t="s">
        <v>82</v>
      </c>
      <c r="D64" s="40">
        <f>D11</f>
        <v>0.5</v>
      </c>
      <c r="E64" s="40">
        <f t="shared" ref="E64:F64" si="4">E11</f>
        <v>0.5</v>
      </c>
      <c r="F64" s="40">
        <f t="shared" si="4"/>
        <v>0</v>
      </c>
      <c r="G64" s="40"/>
      <c r="H64" s="40">
        <f t="shared" ref="H64:I64" si="5">AVERAGE(D64,L64)</f>
        <v>0.47499999999999998</v>
      </c>
      <c r="I64" s="40">
        <f t="shared" si="5"/>
        <v>0.47499999999999998</v>
      </c>
      <c r="J64" s="40">
        <f>AVERAGE(F64,N64)</f>
        <v>0.05</v>
      </c>
      <c r="K64" s="40"/>
      <c r="L64" s="40">
        <v>0.45</v>
      </c>
      <c r="M64" s="40">
        <v>0.45</v>
      </c>
      <c r="N64" s="40">
        <v>0.1</v>
      </c>
      <c r="O64" s="40"/>
      <c r="P64" s="40">
        <f>AVERAGE(L64,T64)</f>
        <v>0.42500000000000004</v>
      </c>
      <c r="Q64" s="40">
        <f t="shared" ref="Q64:R64" si="6">AVERAGE(M64,U64)</f>
        <v>0.42500000000000004</v>
      </c>
      <c r="R64" s="40">
        <f t="shared" si="6"/>
        <v>0.15000000000000002</v>
      </c>
      <c r="S64" s="40"/>
      <c r="T64" s="40">
        <v>0.4</v>
      </c>
      <c r="U64" s="40">
        <v>0.4</v>
      </c>
      <c r="V64" s="40">
        <v>0.2</v>
      </c>
      <c r="W64" s="40"/>
      <c r="X64" s="40">
        <f>AVERAGE(D64,AB64)</f>
        <v>0.45</v>
      </c>
      <c r="Y64" s="40">
        <f t="shared" ref="Y64:Z64" si="7">AVERAGE(E64,AC64)</f>
        <v>0.47499999999999998</v>
      </c>
      <c r="Z64" s="40">
        <f t="shared" si="7"/>
        <v>7.4999999999999997E-2</v>
      </c>
      <c r="AA64" s="40"/>
      <c r="AB64" s="40">
        <v>0.4</v>
      </c>
      <c r="AC64" s="40">
        <v>0.45</v>
      </c>
      <c r="AD64" s="40">
        <v>0.15</v>
      </c>
      <c r="AE64" s="40"/>
      <c r="AF64" s="40">
        <f>AVERAGE(AB64,AJ64)</f>
        <v>0.30000000000000004</v>
      </c>
      <c r="AG64" s="40">
        <f t="shared" ref="AG64:AH64" si="8">AVERAGE(AC64,AK64)</f>
        <v>0.42500000000000004</v>
      </c>
      <c r="AH64" s="40">
        <f t="shared" si="8"/>
        <v>0.27500000000000002</v>
      </c>
      <c r="AI64" s="40"/>
      <c r="AJ64" s="40">
        <v>0.2</v>
      </c>
      <c r="AK64" s="40">
        <v>0.4</v>
      </c>
      <c r="AL64" s="40">
        <v>0.4</v>
      </c>
      <c r="AM64" s="40"/>
    </row>
    <row r="65" spans="2:39">
      <c r="B65" s="136"/>
      <c r="C65" s="36" t="s">
        <v>83</v>
      </c>
      <c r="D65" s="36"/>
      <c r="E65" s="36"/>
      <c r="F65" s="38">
        <v>1</v>
      </c>
      <c r="G65" s="36"/>
      <c r="H65" s="36"/>
      <c r="I65" s="36"/>
      <c r="J65" s="38">
        <v>1</v>
      </c>
      <c r="K65" s="36"/>
      <c r="L65" s="36"/>
      <c r="M65" s="36"/>
      <c r="N65" s="38">
        <v>1</v>
      </c>
      <c r="O65" s="36"/>
      <c r="P65" s="36"/>
      <c r="Q65" s="36"/>
      <c r="R65" s="38">
        <v>1</v>
      </c>
      <c r="S65" s="36"/>
      <c r="T65" s="36"/>
      <c r="U65" s="36"/>
      <c r="V65" s="38">
        <v>1</v>
      </c>
      <c r="W65" s="36"/>
      <c r="X65" s="36"/>
      <c r="Y65" s="36"/>
      <c r="Z65" s="38">
        <v>1</v>
      </c>
      <c r="AA65" s="36"/>
      <c r="AB65" s="36"/>
      <c r="AC65" s="36"/>
      <c r="AD65" s="38">
        <v>1</v>
      </c>
      <c r="AE65" s="36"/>
      <c r="AF65" s="36"/>
      <c r="AG65" s="36"/>
      <c r="AH65" s="38">
        <v>1</v>
      </c>
      <c r="AI65" s="36"/>
      <c r="AJ65" s="36"/>
      <c r="AK65" s="36"/>
      <c r="AL65" s="38">
        <v>1</v>
      </c>
      <c r="AM65" s="36"/>
    </row>
    <row r="66" spans="2:39">
      <c r="B66" s="136"/>
      <c r="C66" s="36" t="s">
        <v>84</v>
      </c>
      <c r="D66" s="36"/>
      <c r="E66" s="38">
        <v>1</v>
      </c>
      <c r="F66" s="36"/>
      <c r="G66" s="36"/>
      <c r="H66" s="36"/>
      <c r="I66" s="38">
        <v>1</v>
      </c>
      <c r="J66" s="36"/>
      <c r="K66" s="36"/>
      <c r="L66" s="36"/>
      <c r="M66" s="38">
        <v>1</v>
      </c>
      <c r="N66" s="36"/>
      <c r="O66" s="36"/>
      <c r="P66" s="36"/>
      <c r="Q66" s="38">
        <v>1</v>
      </c>
      <c r="R66" s="36"/>
      <c r="S66" s="36"/>
      <c r="T66" s="36"/>
      <c r="U66" s="38">
        <v>1</v>
      </c>
      <c r="V66" s="36"/>
      <c r="W66" s="36"/>
      <c r="X66" s="36"/>
      <c r="Y66" s="38">
        <v>1</v>
      </c>
      <c r="Z66" s="36"/>
      <c r="AA66" s="36"/>
      <c r="AB66" s="36"/>
      <c r="AC66" s="38">
        <v>1</v>
      </c>
      <c r="AD66" s="36"/>
      <c r="AE66" s="36"/>
      <c r="AF66" s="36"/>
      <c r="AG66" s="38">
        <v>1</v>
      </c>
      <c r="AH66" s="36"/>
      <c r="AI66" s="36"/>
      <c r="AJ66" s="36"/>
      <c r="AK66" s="38">
        <v>1</v>
      </c>
      <c r="AL66" s="36"/>
      <c r="AM66" s="36"/>
    </row>
    <row r="67" spans="2:39">
      <c r="B67" s="136"/>
      <c r="C67" s="36" t="s">
        <v>85</v>
      </c>
      <c r="D67" s="36"/>
      <c r="E67" s="38">
        <v>0</v>
      </c>
      <c r="F67" s="38">
        <v>1</v>
      </c>
      <c r="G67" s="36"/>
      <c r="H67" s="36"/>
      <c r="I67" s="38">
        <v>0.02</v>
      </c>
      <c r="J67" s="38">
        <v>0.98</v>
      </c>
      <c r="K67" s="36"/>
      <c r="L67" s="36"/>
      <c r="M67" s="36">
        <v>5</v>
      </c>
      <c r="N67" s="38">
        <v>0.95</v>
      </c>
      <c r="O67" s="36"/>
      <c r="P67" s="36"/>
      <c r="Q67" s="38">
        <v>0.1</v>
      </c>
      <c r="R67" s="38">
        <v>0.9</v>
      </c>
      <c r="S67" s="36"/>
      <c r="T67" s="36"/>
      <c r="U67" s="38">
        <v>0.15</v>
      </c>
      <c r="V67" s="38">
        <v>0.85</v>
      </c>
      <c r="W67" s="36"/>
      <c r="X67" s="36"/>
      <c r="Y67" s="38">
        <v>0.05</v>
      </c>
      <c r="Z67" s="38">
        <v>0.95</v>
      </c>
      <c r="AA67" s="36"/>
      <c r="AB67" s="36"/>
      <c r="AC67" s="38">
        <v>0.2</v>
      </c>
      <c r="AD67" s="38">
        <v>0.8</v>
      </c>
      <c r="AE67" s="36"/>
      <c r="AF67" s="36"/>
      <c r="AG67" s="38">
        <v>0.3</v>
      </c>
      <c r="AH67" s="38">
        <v>0.7</v>
      </c>
      <c r="AI67" s="36"/>
      <c r="AJ67" s="36"/>
      <c r="AK67" s="38">
        <v>0.4</v>
      </c>
      <c r="AL67" s="38">
        <v>0.6</v>
      </c>
      <c r="AM67" s="36"/>
    </row>
    <row r="68" spans="2:39">
      <c r="B68" s="136"/>
      <c r="C68" s="36" t="s">
        <v>86</v>
      </c>
      <c r="D68" s="36"/>
      <c r="E68" s="36"/>
      <c r="F68" s="36"/>
      <c r="G68" s="36"/>
      <c r="H68" s="36"/>
      <c r="I68" s="38">
        <v>0.5</v>
      </c>
      <c r="J68" s="38">
        <v>0.5</v>
      </c>
      <c r="K68" s="36"/>
      <c r="L68" s="36"/>
      <c r="M68" s="38">
        <v>0.5</v>
      </c>
      <c r="N68" s="38">
        <v>0.5</v>
      </c>
      <c r="O68" s="36"/>
      <c r="P68" s="36"/>
      <c r="Q68" s="38">
        <v>0.5</v>
      </c>
      <c r="R68" s="38">
        <v>0.5</v>
      </c>
      <c r="S68" s="36"/>
      <c r="T68" s="36"/>
      <c r="U68" s="38">
        <v>0.5</v>
      </c>
      <c r="V68" s="38">
        <v>0.5</v>
      </c>
      <c r="W68" s="36"/>
      <c r="X68" s="36"/>
      <c r="Y68" s="38">
        <v>0.5</v>
      </c>
      <c r="Z68" s="38">
        <v>0.5</v>
      </c>
      <c r="AA68" s="36"/>
      <c r="AB68" s="36"/>
      <c r="AC68" s="38">
        <v>0.5</v>
      </c>
      <c r="AD68" s="38">
        <v>0.5</v>
      </c>
      <c r="AE68" s="36"/>
      <c r="AF68" s="36"/>
      <c r="AG68" s="38">
        <v>0.5</v>
      </c>
      <c r="AH68" s="38">
        <v>0.5</v>
      </c>
      <c r="AI68" s="36"/>
      <c r="AJ68" s="36"/>
      <c r="AK68" s="38">
        <v>0.5</v>
      </c>
      <c r="AL68" s="38">
        <v>0.5</v>
      </c>
      <c r="AM68" s="36"/>
    </row>
    <row r="69" spans="2:39">
      <c r="B69" s="137"/>
      <c r="C69" s="36" t="s">
        <v>87</v>
      </c>
      <c r="D69" s="36"/>
      <c r="E69" s="36"/>
      <c r="F69" s="38">
        <v>1</v>
      </c>
      <c r="G69" s="36"/>
      <c r="H69" s="36"/>
      <c r="I69" s="36"/>
      <c r="J69" s="38">
        <v>1</v>
      </c>
      <c r="K69" s="36"/>
      <c r="L69" s="36"/>
      <c r="M69" s="36"/>
      <c r="N69" s="38">
        <v>1</v>
      </c>
      <c r="O69" s="36"/>
      <c r="P69" s="36"/>
      <c r="Q69" s="36"/>
      <c r="R69" s="38">
        <v>1</v>
      </c>
      <c r="S69" s="36"/>
      <c r="T69" s="36"/>
      <c r="U69" s="36"/>
      <c r="V69" s="38">
        <v>1</v>
      </c>
      <c r="W69" s="36"/>
      <c r="X69" s="36"/>
      <c r="Y69" s="36"/>
      <c r="Z69" s="38">
        <v>1</v>
      </c>
      <c r="AA69" s="36"/>
      <c r="AB69" s="36"/>
      <c r="AC69" s="36"/>
      <c r="AD69" s="38">
        <v>1</v>
      </c>
      <c r="AE69" s="36"/>
      <c r="AF69" s="36"/>
      <c r="AG69" s="36"/>
      <c r="AH69" s="38">
        <v>1</v>
      </c>
      <c r="AI69" s="36"/>
      <c r="AJ69" s="36"/>
      <c r="AK69" s="36"/>
      <c r="AL69" s="38">
        <v>1</v>
      </c>
      <c r="AM69" s="36"/>
    </row>
    <row r="70" spans="2:39">
      <c r="B70" s="135" t="s">
        <v>88</v>
      </c>
      <c r="C70" s="36" t="s">
        <v>89</v>
      </c>
      <c r="D70" s="36"/>
      <c r="E70" s="36"/>
      <c r="F70" s="38">
        <v>1</v>
      </c>
      <c r="G70" s="36"/>
      <c r="H70" s="36"/>
      <c r="I70" s="36"/>
      <c r="J70" s="38">
        <v>1</v>
      </c>
      <c r="K70" s="36"/>
      <c r="L70" s="36"/>
      <c r="M70" s="36"/>
      <c r="N70" s="38">
        <v>1</v>
      </c>
      <c r="O70" s="36"/>
      <c r="P70" s="36"/>
      <c r="Q70" s="36"/>
      <c r="R70" s="38">
        <v>1</v>
      </c>
      <c r="S70" s="36"/>
      <c r="T70" s="36"/>
      <c r="U70" s="36"/>
      <c r="V70" s="38">
        <v>1</v>
      </c>
      <c r="W70" s="36"/>
      <c r="X70" s="36"/>
      <c r="Y70" s="36"/>
      <c r="Z70" s="38">
        <v>1</v>
      </c>
      <c r="AA70" s="36"/>
      <c r="AB70" s="36"/>
      <c r="AC70" s="36"/>
      <c r="AD70" s="38">
        <v>1</v>
      </c>
      <c r="AE70" s="36"/>
      <c r="AF70" s="36"/>
      <c r="AG70" s="36"/>
      <c r="AH70" s="38">
        <v>1</v>
      </c>
      <c r="AI70" s="36"/>
      <c r="AJ70" s="36"/>
      <c r="AK70" s="36"/>
      <c r="AL70" s="38">
        <v>1</v>
      </c>
      <c r="AM70" s="36"/>
    </row>
    <row r="71" spans="2:39">
      <c r="B71" s="136"/>
      <c r="C71" s="36" t="s">
        <v>90</v>
      </c>
      <c r="D71" s="36"/>
      <c r="E71" s="36"/>
      <c r="F71" s="38">
        <v>1</v>
      </c>
      <c r="G71" s="36"/>
      <c r="H71" s="36"/>
      <c r="I71" s="36"/>
      <c r="J71" s="38">
        <v>1</v>
      </c>
      <c r="K71" s="36"/>
      <c r="L71" s="36"/>
      <c r="M71" s="36"/>
      <c r="N71" s="38">
        <v>1</v>
      </c>
      <c r="O71" s="36"/>
      <c r="P71" s="36"/>
      <c r="Q71" s="36"/>
      <c r="R71" s="38">
        <v>1</v>
      </c>
      <c r="S71" s="36"/>
      <c r="T71" s="36"/>
      <c r="U71" s="36"/>
      <c r="V71" s="38">
        <v>1</v>
      </c>
      <c r="W71" s="36"/>
      <c r="X71" s="36"/>
      <c r="Y71" s="36"/>
      <c r="Z71" s="38">
        <v>1</v>
      </c>
      <c r="AA71" s="36"/>
      <c r="AB71" s="36"/>
      <c r="AC71" s="36"/>
      <c r="AD71" s="38">
        <v>1</v>
      </c>
      <c r="AE71" s="36"/>
      <c r="AF71" s="36"/>
      <c r="AG71" s="36"/>
      <c r="AH71" s="38">
        <v>1</v>
      </c>
      <c r="AI71" s="36"/>
      <c r="AJ71" s="36"/>
      <c r="AK71" s="36"/>
      <c r="AL71" s="38">
        <v>1</v>
      </c>
      <c r="AM71" s="36"/>
    </row>
    <row r="72" spans="2:39">
      <c r="B72" s="136"/>
      <c r="C72" s="36" t="s">
        <v>91</v>
      </c>
      <c r="D72" s="36"/>
      <c r="E72" s="36"/>
      <c r="F72" s="38">
        <v>1</v>
      </c>
      <c r="G72" s="36"/>
      <c r="H72" s="36"/>
      <c r="I72" s="36"/>
      <c r="J72" s="38">
        <v>1</v>
      </c>
      <c r="K72" s="36"/>
      <c r="L72" s="36"/>
      <c r="M72" s="36"/>
      <c r="N72" s="38">
        <v>1</v>
      </c>
      <c r="O72" s="36"/>
      <c r="P72" s="36"/>
      <c r="Q72" s="36"/>
      <c r="R72" s="38">
        <v>1</v>
      </c>
      <c r="S72" s="36"/>
      <c r="T72" s="36"/>
      <c r="U72" s="36"/>
      <c r="V72" s="38">
        <v>1</v>
      </c>
      <c r="W72" s="36"/>
      <c r="X72" s="36"/>
      <c r="Y72" s="36"/>
      <c r="Z72" s="38">
        <v>1</v>
      </c>
      <c r="AA72" s="36"/>
      <c r="AB72" s="36"/>
      <c r="AC72" s="36"/>
      <c r="AD72" s="38">
        <v>1</v>
      </c>
      <c r="AE72" s="36"/>
      <c r="AF72" s="36"/>
      <c r="AG72" s="36"/>
      <c r="AH72" s="38">
        <v>1</v>
      </c>
      <c r="AI72" s="36"/>
      <c r="AJ72" s="36"/>
      <c r="AK72" s="36"/>
      <c r="AL72" s="38">
        <v>1</v>
      </c>
      <c r="AM72" s="36"/>
    </row>
    <row r="73" spans="2:39">
      <c r="B73" s="137"/>
      <c r="C73" s="41" t="s">
        <v>92</v>
      </c>
      <c r="D73" s="36"/>
      <c r="E73" s="36"/>
      <c r="F73" s="38">
        <v>1</v>
      </c>
      <c r="G73" s="36"/>
      <c r="H73" s="36"/>
      <c r="I73" s="36"/>
      <c r="J73" s="38">
        <v>1</v>
      </c>
      <c r="K73" s="36"/>
      <c r="L73" s="36"/>
      <c r="M73" s="36"/>
      <c r="N73" s="38">
        <v>1</v>
      </c>
      <c r="O73" s="36"/>
      <c r="P73" s="36"/>
      <c r="Q73" s="36"/>
      <c r="R73" s="38">
        <v>1</v>
      </c>
      <c r="S73" s="36"/>
      <c r="T73" s="36"/>
      <c r="U73" s="36"/>
      <c r="V73" s="38">
        <v>1</v>
      </c>
      <c r="W73" s="36"/>
      <c r="X73" s="36"/>
      <c r="Y73" s="36"/>
      <c r="Z73" s="38">
        <v>1</v>
      </c>
      <c r="AA73" s="36"/>
      <c r="AB73" s="36"/>
      <c r="AC73" s="36"/>
      <c r="AD73" s="38">
        <v>1</v>
      </c>
      <c r="AE73" s="36"/>
      <c r="AF73" s="36"/>
      <c r="AG73" s="36"/>
      <c r="AH73" s="38">
        <v>1</v>
      </c>
      <c r="AI73" s="36"/>
      <c r="AJ73" s="36"/>
      <c r="AK73" s="36"/>
      <c r="AL73" s="38">
        <v>1</v>
      </c>
      <c r="AM73" s="36"/>
    </row>
    <row r="74" spans="2:39">
      <c r="B74" s="42" t="s">
        <v>93</v>
      </c>
      <c r="C74" s="36" t="s">
        <v>93</v>
      </c>
      <c r="D74" s="36"/>
      <c r="E74" s="38">
        <v>0.8</v>
      </c>
      <c r="F74" s="38">
        <v>0.2</v>
      </c>
      <c r="G74" s="36"/>
      <c r="H74" s="36"/>
      <c r="I74" s="38">
        <v>0.8</v>
      </c>
      <c r="J74" s="38">
        <v>0.2</v>
      </c>
      <c r="K74" s="36"/>
      <c r="L74" s="36"/>
      <c r="M74" s="38">
        <v>0.75</v>
      </c>
      <c r="N74" s="38">
        <v>0.25</v>
      </c>
      <c r="O74" s="36"/>
      <c r="P74" s="36"/>
      <c r="Q74" s="38">
        <v>0.7</v>
      </c>
      <c r="R74" s="38">
        <v>0.3</v>
      </c>
      <c r="S74" s="36"/>
      <c r="T74" s="36"/>
      <c r="U74" s="38">
        <v>0.65</v>
      </c>
      <c r="V74" s="38">
        <v>0.35</v>
      </c>
      <c r="W74" s="36"/>
      <c r="X74" s="36"/>
      <c r="Y74" s="38">
        <v>0.8</v>
      </c>
      <c r="Z74" s="38">
        <v>0.2</v>
      </c>
      <c r="AA74" s="36"/>
      <c r="AB74" s="36"/>
      <c r="AC74" s="38">
        <v>0.75</v>
      </c>
      <c r="AD74" s="38">
        <v>0.25</v>
      </c>
      <c r="AE74" s="36"/>
      <c r="AF74" s="36"/>
      <c r="AG74" s="38">
        <v>0.62</v>
      </c>
      <c r="AH74" s="38">
        <v>0.38</v>
      </c>
      <c r="AI74" s="36"/>
      <c r="AJ74" s="36"/>
      <c r="AK74" s="38">
        <v>0.5</v>
      </c>
      <c r="AL74" s="38">
        <v>0.5</v>
      </c>
      <c r="AM74" s="36"/>
    </row>
  </sheetData>
  <mergeCells count="32">
    <mergeCell ref="B70:B73"/>
    <mergeCell ref="B54:C54"/>
    <mergeCell ref="D57:G57"/>
    <mergeCell ref="H57:W57"/>
    <mergeCell ref="X57:AM57"/>
    <mergeCell ref="D58:G58"/>
    <mergeCell ref="H58:K58"/>
    <mergeCell ref="L58:O58"/>
    <mergeCell ref="P58:S58"/>
    <mergeCell ref="T58:W58"/>
    <mergeCell ref="X58:AA58"/>
    <mergeCell ref="AB58:AE58"/>
    <mergeCell ref="AF58:AI58"/>
    <mergeCell ref="AJ58:AM58"/>
    <mergeCell ref="B60:B62"/>
    <mergeCell ref="B63:B69"/>
    <mergeCell ref="B17:B20"/>
    <mergeCell ref="B2:C2"/>
    <mergeCell ref="D4:G4"/>
    <mergeCell ref="H4:W4"/>
    <mergeCell ref="X4:AM4"/>
    <mergeCell ref="D5:G5"/>
    <mergeCell ref="H5:K5"/>
    <mergeCell ref="L5:O5"/>
    <mergeCell ref="P5:S5"/>
    <mergeCell ref="T5:W5"/>
    <mergeCell ref="X5:AA5"/>
    <mergeCell ref="AB5:AE5"/>
    <mergeCell ref="AF5:AI5"/>
    <mergeCell ref="AJ5:AM5"/>
    <mergeCell ref="B7:B9"/>
    <mergeCell ref="B10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topLeftCell="A37" zoomScale="70" zoomScaleNormal="70" workbookViewId="0">
      <selection activeCell="F68" sqref="F68"/>
    </sheetView>
  </sheetViews>
  <sheetFormatPr baseColWidth="10" defaultColWidth="11" defaultRowHeight="14.4"/>
  <cols>
    <col min="1" max="1" width="43.09765625" style="68" customWidth="1"/>
    <col min="2" max="2" width="18.8984375" style="68" customWidth="1"/>
    <col min="3" max="4" width="19.8984375" style="68" customWidth="1"/>
    <col min="5" max="5" width="15.69921875" style="68" customWidth="1"/>
    <col min="6" max="6" width="17.19921875" style="68" customWidth="1"/>
    <col min="7" max="7" width="18.3984375" style="68" customWidth="1"/>
    <col min="8" max="8" width="18.8984375" style="68" customWidth="1"/>
    <col min="9" max="9" width="17.69921875" style="68" customWidth="1"/>
    <col min="10" max="16384" width="11" style="68"/>
  </cols>
  <sheetData>
    <row r="1" spans="1:11">
      <c r="B1" s="68" t="s">
        <v>197</v>
      </c>
      <c r="F1" s="68" t="s">
        <v>198</v>
      </c>
    </row>
    <row r="2" spans="1:11" ht="30" customHeight="1">
      <c r="A2" s="109" t="s">
        <v>199</v>
      </c>
      <c r="B2" s="141">
        <v>2030</v>
      </c>
      <c r="C2" s="141"/>
      <c r="D2" s="141"/>
      <c r="E2" s="141"/>
      <c r="F2" s="141">
        <v>2050</v>
      </c>
      <c r="G2" s="141"/>
      <c r="H2" s="141"/>
      <c r="I2" s="141"/>
      <c r="J2" s="142" t="s">
        <v>200</v>
      </c>
      <c r="K2" s="142" t="s">
        <v>201</v>
      </c>
    </row>
    <row r="3" spans="1:11" ht="38.25" customHeight="1">
      <c r="A3" s="109" t="s">
        <v>202</v>
      </c>
      <c r="B3" s="110" t="s">
        <v>203</v>
      </c>
      <c r="C3" s="110" t="s">
        <v>204</v>
      </c>
      <c r="D3" s="110" t="s">
        <v>205</v>
      </c>
      <c r="E3" s="142" t="s">
        <v>206</v>
      </c>
      <c r="F3" s="110" t="s">
        <v>203</v>
      </c>
      <c r="G3" s="110" t="s">
        <v>204</v>
      </c>
      <c r="H3" s="110" t="s">
        <v>205</v>
      </c>
      <c r="I3" s="142" t="s">
        <v>207</v>
      </c>
      <c r="J3" s="142"/>
      <c r="K3" s="142"/>
    </row>
    <row r="4" spans="1:11">
      <c r="A4" s="109" t="s">
        <v>208</v>
      </c>
      <c r="B4" s="111">
        <f>1-C4-D4</f>
        <v>0.97</v>
      </c>
      <c r="C4" s="111">
        <v>0.02</v>
      </c>
      <c r="D4" s="111">
        <v>0.01</v>
      </c>
      <c r="E4" s="142"/>
      <c r="F4" s="112">
        <f>1-G4-H4</f>
        <v>0.90999999999999992</v>
      </c>
      <c r="G4" s="112">
        <v>0.06</v>
      </c>
      <c r="H4" s="112">
        <v>0.03</v>
      </c>
      <c r="I4" s="142"/>
      <c r="J4" s="142"/>
      <c r="K4" s="142"/>
    </row>
    <row r="5" spans="1:11" ht="15.6">
      <c r="A5" s="113" t="s">
        <v>209</v>
      </c>
      <c r="B5" s="114">
        <v>168</v>
      </c>
      <c r="C5" s="114">
        <v>230.5</v>
      </c>
      <c r="D5" s="113">
        <v>393.5</v>
      </c>
      <c r="E5" s="114">
        <f t="shared" ref="E5:E49" si="0">C$4*C5+B$4*B5+D$4*D5</f>
        <v>171.50500000000002</v>
      </c>
      <c r="F5" s="114">
        <v>168</v>
      </c>
      <c r="G5" s="114">
        <v>230.5</v>
      </c>
      <c r="H5" s="113">
        <v>393.5</v>
      </c>
      <c r="I5" s="114">
        <f>G$4*G5+F$4*F5+H$4*H5</f>
        <v>178.51500000000001</v>
      </c>
      <c r="J5" s="115">
        <f>B5/B5-1</f>
        <v>0</v>
      </c>
      <c r="K5" s="115">
        <f t="shared" ref="K5:K50" si="1">I5/B5-1</f>
        <v>6.2589285714285792E-2</v>
      </c>
    </row>
    <row r="6" spans="1:11" ht="15.6">
      <c r="A6" s="113" t="s">
        <v>210</v>
      </c>
      <c r="B6" s="114">
        <v>117.5</v>
      </c>
      <c r="C6" s="114">
        <v>158.5</v>
      </c>
      <c r="D6" s="113">
        <v>391.5</v>
      </c>
      <c r="E6" s="114">
        <f t="shared" si="0"/>
        <v>121.06</v>
      </c>
      <c r="F6" s="114">
        <v>117.5</v>
      </c>
      <c r="G6" s="114">
        <v>158.5</v>
      </c>
      <c r="H6" s="113">
        <v>391.5</v>
      </c>
      <c r="I6" s="114">
        <f t="shared" ref="I6:I47" si="2">G$4*G6+F$4*F6+H$4*H6</f>
        <v>128.18</v>
      </c>
      <c r="J6" s="115">
        <f t="shared" ref="J6:J50" si="3">E6/B6-1</f>
        <v>3.0297872340425469E-2</v>
      </c>
      <c r="K6" s="115">
        <f t="shared" si="1"/>
        <v>9.0893617021276629E-2</v>
      </c>
    </row>
    <row r="7" spans="1:11">
      <c r="A7" s="113" t="s">
        <v>211</v>
      </c>
      <c r="B7" s="114">
        <v>1</v>
      </c>
      <c r="C7" s="114">
        <v>36</v>
      </c>
      <c r="D7" s="113">
        <v>14.5</v>
      </c>
      <c r="E7" s="114">
        <f t="shared" si="0"/>
        <v>1.835</v>
      </c>
      <c r="F7" s="114">
        <v>1</v>
      </c>
      <c r="G7" s="114">
        <v>36</v>
      </c>
      <c r="H7" s="113">
        <v>14.5</v>
      </c>
      <c r="I7" s="114">
        <f t="shared" si="2"/>
        <v>3.5050000000000003</v>
      </c>
      <c r="J7" s="116">
        <f t="shared" si="3"/>
        <v>0.83499999999999996</v>
      </c>
      <c r="K7" s="116">
        <f t="shared" si="1"/>
        <v>2.5050000000000003</v>
      </c>
    </row>
    <row r="8" spans="1:11" ht="15.6">
      <c r="A8" s="113" t="s">
        <v>212</v>
      </c>
      <c r="B8" s="114">
        <v>14</v>
      </c>
      <c r="C8" s="114">
        <v>0</v>
      </c>
      <c r="D8" s="113">
        <v>0</v>
      </c>
      <c r="E8" s="114">
        <f t="shared" si="0"/>
        <v>13.58</v>
      </c>
      <c r="F8" s="114">
        <v>14</v>
      </c>
      <c r="G8" s="114">
        <v>0</v>
      </c>
      <c r="H8" s="113">
        <v>0</v>
      </c>
      <c r="I8" s="114">
        <f t="shared" si="2"/>
        <v>12.739999999999998</v>
      </c>
      <c r="J8" s="115">
        <f t="shared" si="3"/>
        <v>-3.0000000000000027E-2</v>
      </c>
      <c r="K8" s="115">
        <f t="shared" si="1"/>
        <v>-9.000000000000008E-2</v>
      </c>
    </row>
    <row r="9" spans="1:11" ht="15.6">
      <c r="A9" s="113" t="s">
        <v>213</v>
      </c>
      <c r="B9" s="114">
        <v>2.5</v>
      </c>
      <c r="C9" s="117">
        <v>14.5</v>
      </c>
      <c r="D9" s="118">
        <v>15</v>
      </c>
      <c r="E9" s="114">
        <f t="shared" si="0"/>
        <v>2.8649999999999998</v>
      </c>
      <c r="F9" s="114">
        <v>2.5</v>
      </c>
      <c r="G9" s="117">
        <v>14.5</v>
      </c>
      <c r="H9" s="118">
        <v>15</v>
      </c>
      <c r="I9" s="114">
        <f t="shared" si="2"/>
        <v>3.5949999999999998</v>
      </c>
      <c r="J9" s="119">
        <f t="shared" si="3"/>
        <v>0.14599999999999991</v>
      </c>
      <c r="K9" s="119">
        <f t="shared" si="1"/>
        <v>0.43799999999999994</v>
      </c>
    </row>
    <row r="10" spans="1:11">
      <c r="A10" s="113" t="s">
        <v>214</v>
      </c>
      <c r="B10" s="114">
        <v>141.5</v>
      </c>
      <c r="C10" s="114">
        <v>18.5</v>
      </c>
      <c r="D10" s="113">
        <v>18.5</v>
      </c>
      <c r="E10" s="114">
        <f t="shared" si="0"/>
        <v>137.81</v>
      </c>
      <c r="F10" s="114">
        <v>141.5</v>
      </c>
      <c r="G10" s="114">
        <v>18.5</v>
      </c>
      <c r="H10" s="113">
        <v>18.5</v>
      </c>
      <c r="I10" s="114">
        <f t="shared" si="2"/>
        <v>130.43</v>
      </c>
      <c r="J10" s="116">
        <f t="shared" si="3"/>
        <v>-2.6077738515901006E-2</v>
      </c>
      <c r="K10" s="116">
        <f t="shared" si="1"/>
        <v>-7.8233215547703128E-2</v>
      </c>
    </row>
    <row r="11" spans="1:11">
      <c r="A11" s="113" t="s">
        <v>215</v>
      </c>
      <c r="B11" s="114">
        <v>13</v>
      </c>
      <c r="C11" s="114">
        <v>108.5</v>
      </c>
      <c r="D11" s="113">
        <v>121.5</v>
      </c>
      <c r="E11" s="114">
        <f t="shared" si="0"/>
        <v>15.994999999999999</v>
      </c>
      <c r="F11" s="114">
        <v>13</v>
      </c>
      <c r="G11" s="114">
        <v>108.5</v>
      </c>
      <c r="H11" s="113">
        <v>121.5</v>
      </c>
      <c r="I11" s="114">
        <f t="shared" si="2"/>
        <v>21.984999999999996</v>
      </c>
      <c r="J11" s="116">
        <f t="shared" si="3"/>
        <v>0.23038461538461541</v>
      </c>
      <c r="K11" s="116">
        <f t="shared" si="1"/>
        <v>0.69115384615384579</v>
      </c>
    </row>
    <row r="12" spans="1:11">
      <c r="A12" s="113" t="s">
        <v>216</v>
      </c>
      <c r="B12" s="114">
        <v>85</v>
      </c>
      <c r="C12" s="114">
        <v>0</v>
      </c>
      <c r="D12" s="113">
        <v>0</v>
      </c>
      <c r="E12" s="114">
        <f t="shared" si="0"/>
        <v>82.45</v>
      </c>
      <c r="F12" s="114">
        <v>85</v>
      </c>
      <c r="G12" s="114">
        <v>0</v>
      </c>
      <c r="H12" s="113">
        <v>0</v>
      </c>
      <c r="I12" s="114">
        <f t="shared" si="2"/>
        <v>77.349999999999994</v>
      </c>
      <c r="J12" s="116">
        <f t="shared" si="3"/>
        <v>-2.9999999999999916E-2</v>
      </c>
      <c r="K12" s="116">
        <f t="shared" si="1"/>
        <v>-9.000000000000008E-2</v>
      </c>
    </row>
    <row r="13" spans="1:11">
      <c r="A13" s="113" t="s">
        <v>217</v>
      </c>
      <c r="B13" s="114">
        <v>4</v>
      </c>
      <c r="C13" s="114">
        <v>107</v>
      </c>
      <c r="D13" s="113">
        <v>232</v>
      </c>
      <c r="E13" s="114">
        <f t="shared" si="0"/>
        <v>8.34</v>
      </c>
      <c r="F13" s="114">
        <v>4</v>
      </c>
      <c r="G13" s="114">
        <v>107</v>
      </c>
      <c r="H13" s="113">
        <v>232</v>
      </c>
      <c r="I13" s="114">
        <f t="shared" si="2"/>
        <v>17.02</v>
      </c>
      <c r="J13" s="116">
        <f t="shared" si="3"/>
        <v>1.085</v>
      </c>
      <c r="K13" s="116">
        <f t="shared" si="1"/>
        <v>3.2549999999999999</v>
      </c>
    </row>
    <row r="14" spans="1:11" ht="15.6">
      <c r="A14" s="113" t="s">
        <v>218</v>
      </c>
      <c r="B14" s="114">
        <v>20.5</v>
      </c>
      <c r="C14" s="114">
        <v>17.5</v>
      </c>
      <c r="D14" s="113">
        <v>13.5</v>
      </c>
      <c r="E14" s="114">
        <f t="shared" si="0"/>
        <v>20.37</v>
      </c>
      <c r="F14" s="114">
        <v>20.5</v>
      </c>
      <c r="G14" s="114">
        <v>17.5</v>
      </c>
      <c r="H14" s="113">
        <v>13.5</v>
      </c>
      <c r="I14" s="114">
        <f t="shared" si="2"/>
        <v>20.11</v>
      </c>
      <c r="J14" s="115">
        <f t="shared" si="3"/>
        <v>-6.341463414634152E-3</v>
      </c>
      <c r="K14" s="115">
        <f t="shared" si="1"/>
        <v>-1.9024390243902456E-2</v>
      </c>
    </row>
    <row r="15" spans="1:11" ht="15.6">
      <c r="A15" s="113" t="s">
        <v>219</v>
      </c>
      <c r="B15" s="114">
        <v>3</v>
      </c>
      <c r="C15" s="114">
        <v>2</v>
      </c>
      <c r="D15" s="113">
        <v>2</v>
      </c>
      <c r="E15" s="114">
        <f t="shared" si="0"/>
        <v>2.97</v>
      </c>
      <c r="F15" s="114">
        <v>3</v>
      </c>
      <c r="G15" s="114">
        <v>2</v>
      </c>
      <c r="H15" s="113">
        <v>2</v>
      </c>
      <c r="I15" s="114">
        <f t="shared" si="2"/>
        <v>2.9099999999999997</v>
      </c>
      <c r="J15" s="115">
        <f t="shared" si="3"/>
        <v>-9.9999999999998979E-3</v>
      </c>
      <c r="K15" s="115">
        <f t="shared" si="1"/>
        <v>-3.0000000000000138E-2</v>
      </c>
    </row>
    <row r="16" spans="1:11" ht="15.6">
      <c r="A16" s="113" t="s">
        <v>220</v>
      </c>
      <c r="B16" s="114">
        <v>64</v>
      </c>
      <c r="C16" s="114">
        <v>74</v>
      </c>
      <c r="D16" s="113">
        <v>84</v>
      </c>
      <c r="E16" s="114">
        <f t="shared" si="0"/>
        <v>64.399999999999991</v>
      </c>
      <c r="F16" s="114">
        <v>64</v>
      </c>
      <c r="G16" s="114">
        <v>74</v>
      </c>
      <c r="H16" s="113">
        <v>84</v>
      </c>
      <c r="I16" s="114">
        <f t="shared" si="2"/>
        <v>65.199999999999989</v>
      </c>
      <c r="J16" s="115">
        <f t="shared" si="3"/>
        <v>6.2499999999998668E-3</v>
      </c>
      <c r="K16" s="115">
        <f t="shared" si="1"/>
        <v>1.8749999999999822E-2</v>
      </c>
    </row>
    <row r="17" spans="1:11" s="123" customFormat="1">
      <c r="A17" s="120" t="s">
        <v>221</v>
      </c>
      <c r="B17" s="121">
        <v>9.5</v>
      </c>
      <c r="C17" s="122">
        <v>97</v>
      </c>
      <c r="D17" s="118">
        <v>97</v>
      </c>
      <c r="E17" s="114">
        <f t="shared" si="0"/>
        <v>12.125</v>
      </c>
      <c r="F17" s="121">
        <v>9.5</v>
      </c>
      <c r="G17" s="122">
        <v>97</v>
      </c>
      <c r="H17" s="118">
        <v>97</v>
      </c>
      <c r="I17" s="114">
        <f t="shared" si="2"/>
        <v>17.375</v>
      </c>
      <c r="J17" s="116">
        <f t="shared" si="3"/>
        <v>0.27631578947368429</v>
      </c>
      <c r="K17" s="116">
        <f t="shared" si="1"/>
        <v>0.82894736842105265</v>
      </c>
    </row>
    <row r="18" spans="1:11">
      <c r="A18" s="113" t="s">
        <v>222</v>
      </c>
      <c r="B18" s="114">
        <v>30.5</v>
      </c>
      <c r="C18" s="117">
        <v>31</v>
      </c>
      <c r="D18" s="113">
        <v>0</v>
      </c>
      <c r="E18" s="114">
        <f t="shared" si="0"/>
        <v>30.205000000000002</v>
      </c>
      <c r="F18" s="114">
        <v>30.5</v>
      </c>
      <c r="G18" s="117">
        <v>31</v>
      </c>
      <c r="H18" s="113">
        <v>0</v>
      </c>
      <c r="I18" s="114">
        <f t="shared" si="2"/>
        <v>29.614999999999998</v>
      </c>
      <c r="J18" s="116">
        <f t="shared" si="3"/>
        <v>-9.6721311475409522E-3</v>
      </c>
      <c r="K18" s="116">
        <f t="shared" si="1"/>
        <v>-2.9016393442622967E-2</v>
      </c>
    </row>
    <row r="19" spans="1:11">
      <c r="A19" s="113" t="s">
        <v>223</v>
      </c>
      <c r="B19" s="114">
        <v>38</v>
      </c>
      <c r="C19" s="114">
        <v>4.5</v>
      </c>
      <c r="D19" s="113">
        <v>0</v>
      </c>
      <c r="E19" s="114">
        <f t="shared" si="0"/>
        <v>36.950000000000003</v>
      </c>
      <c r="F19" s="114">
        <v>38</v>
      </c>
      <c r="G19" s="114">
        <v>4.5</v>
      </c>
      <c r="H19" s="113">
        <v>0</v>
      </c>
      <c r="I19" s="114">
        <f t="shared" si="2"/>
        <v>34.85</v>
      </c>
      <c r="J19" s="116">
        <f t="shared" si="3"/>
        <v>-2.763157894736834E-2</v>
      </c>
      <c r="K19" s="116">
        <f t="shared" si="1"/>
        <v>-8.2894736842105243E-2</v>
      </c>
    </row>
    <row r="20" spans="1:11">
      <c r="A20" s="113" t="s">
        <v>224</v>
      </c>
      <c r="B20" s="114">
        <v>20</v>
      </c>
      <c r="C20" s="114">
        <v>0</v>
      </c>
      <c r="D20" s="113">
        <v>0</v>
      </c>
      <c r="E20" s="114">
        <f t="shared" si="0"/>
        <v>19.399999999999999</v>
      </c>
      <c r="F20" s="114">
        <v>20</v>
      </c>
      <c r="G20" s="114">
        <v>0</v>
      </c>
      <c r="H20" s="113">
        <v>0</v>
      </c>
      <c r="I20" s="114">
        <f t="shared" si="2"/>
        <v>18.2</v>
      </c>
      <c r="J20" s="116">
        <f t="shared" si="3"/>
        <v>-3.0000000000000027E-2</v>
      </c>
      <c r="K20" s="116">
        <f t="shared" si="1"/>
        <v>-9.000000000000008E-2</v>
      </c>
    </row>
    <row r="21" spans="1:11">
      <c r="A21" s="113" t="s">
        <v>225</v>
      </c>
      <c r="B21" s="114">
        <v>2.5</v>
      </c>
      <c r="C21" s="114">
        <v>7</v>
      </c>
      <c r="D21" s="113">
        <v>0</v>
      </c>
      <c r="E21" s="114">
        <f t="shared" si="0"/>
        <v>2.5649999999999999</v>
      </c>
      <c r="F21" s="114">
        <v>2.5</v>
      </c>
      <c r="G21" s="114">
        <v>7</v>
      </c>
      <c r="H21" s="113">
        <v>0</v>
      </c>
      <c r="I21" s="114">
        <f t="shared" si="2"/>
        <v>2.6949999999999998</v>
      </c>
      <c r="J21" s="116">
        <f t="shared" si="3"/>
        <v>2.6000000000000023E-2</v>
      </c>
      <c r="K21" s="116">
        <f t="shared" si="1"/>
        <v>7.7999999999999847E-2</v>
      </c>
    </row>
    <row r="22" spans="1:11">
      <c r="A22" s="113" t="s">
        <v>226</v>
      </c>
      <c r="B22" s="114">
        <v>40</v>
      </c>
      <c r="C22" s="124">
        <v>3.5</v>
      </c>
      <c r="D22" s="113">
        <v>0</v>
      </c>
      <c r="E22" s="114">
        <f t="shared" si="0"/>
        <v>38.869999999999997</v>
      </c>
      <c r="F22" s="114">
        <v>40</v>
      </c>
      <c r="G22" s="114">
        <v>3.5</v>
      </c>
      <c r="H22" s="113">
        <v>0</v>
      </c>
      <c r="I22" s="114">
        <f t="shared" si="2"/>
        <v>36.61</v>
      </c>
      <c r="J22" s="116">
        <f t="shared" si="3"/>
        <v>-2.8250000000000108E-2</v>
      </c>
      <c r="K22" s="116">
        <f t="shared" si="1"/>
        <v>-8.4749999999999992E-2</v>
      </c>
    </row>
    <row r="23" spans="1:11" ht="15.6">
      <c r="A23" s="113" t="s">
        <v>227</v>
      </c>
      <c r="B23" s="114">
        <v>7</v>
      </c>
      <c r="C23" s="117">
        <v>16</v>
      </c>
      <c r="D23" s="118">
        <v>16</v>
      </c>
      <c r="E23" s="114">
        <f t="shared" si="0"/>
        <v>7.2700000000000005</v>
      </c>
      <c r="F23" s="114">
        <v>7</v>
      </c>
      <c r="G23" s="117">
        <v>16</v>
      </c>
      <c r="H23" s="118">
        <v>16</v>
      </c>
      <c r="I23" s="114">
        <f t="shared" si="2"/>
        <v>7.8099999999999987</v>
      </c>
      <c r="J23" s="115">
        <f t="shared" si="3"/>
        <v>3.8571428571428701E-2</v>
      </c>
      <c r="K23" s="115">
        <f t="shared" si="1"/>
        <v>0.11571428571428544</v>
      </c>
    </row>
    <row r="24" spans="1:11" ht="15.6">
      <c r="A24" s="113" t="s">
        <v>228</v>
      </c>
      <c r="B24" s="114">
        <v>18.5</v>
      </c>
      <c r="C24" s="114">
        <v>10</v>
      </c>
      <c r="D24" s="118">
        <v>10</v>
      </c>
      <c r="E24" s="114">
        <f t="shared" si="0"/>
        <v>18.245000000000001</v>
      </c>
      <c r="F24" s="114">
        <v>18.5</v>
      </c>
      <c r="G24" s="114">
        <v>10</v>
      </c>
      <c r="H24" s="118">
        <v>10</v>
      </c>
      <c r="I24" s="114">
        <f t="shared" si="2"/>
        <v>17.734999999999999</v>
      </c>
      <c r="J24" s="115">
        <f t="shared" si="3"/>
        <v>-1.3783783783783754E-2</v>
      </c>
      <c r="K24" s="115">
        <f t="shared" si="1"/>
        <v>-4.1351351351351373E-2</v>
      </c>
    </row>
    <row r="25" spans="1:11" ht="15.6">
      <c r="A25" s="113" t="s">
        <v>229</v>
      </c>
      <c r="B25" s="114">
        <v>4.5</v>
      </c>
      <c r="C25" s="114">
        <v>5.5</v>
      </c>
      <c r="D25" s="117">
        <v>5.5</v>
      </c>
      <c r="E25" s="114">
        <f t="shared" si="0"/>
        <v>4.53</v>
      </c>
      <c r="F25" s="114">
        <v>4.5</v>
      </c>
      <c r="G25" s="114">
        <v>5.5</v>
      </c>
      <c r="H25" s="117">
        <v>5.5</v>
      </c>
      <c r="I25" s="114">
        <f t="shared" si="2"/>
        <v>4.59</v>
      </c>
      <c r="J25" s="115">
        <f t="shared" si="3"/>
        <v>6.6666666666668206E-3</v>
      </c>
      <c r="K25" s="115">
        <f t="shared" si="1"/>
        <v>2.0000000000000018E-2</v>
      </c>
    </row>
    <row r="26" spans="1:11">
      <c r="A26" s="113" t="s">
        <v>230</v>
      </c>
      <c r="B26" s="114">
        <v>14</v>
      </c>
      <c r="C26" s="125">
        <v>18.5</v>
      </c>
      <c r="D26" s="113">
        <v>31.5</v>
      </c>
      <c r="E26" s="114">
        <f t="shared" si="0"/>
        <v>14.264999999999999</v>
      </c>
      <c r="F26" s="114">
        <v>14</v>
      </c>
      <c r="G26" s="114">
        <v>18.5</v>
      </c>
      <c r="H26" s="113">
        <v>31.5</v>
      </c>
      <c r="I26" s="114">
        <f t="shared" si="2"/>
        <v>14.794999999999998</v>
      </c>
      <c r="J26" s="116">
        <f t="shared" si="3"/>
        <v>1.8928571428571406E-2</v>
      </c>
      <c r="K26" s="116">
        <f t="shared" si="1"/>
        <v>5.6785714285714217E-2</v>
      </c>
    </row>
    <row r="27" spans="1:11">
      <c r="A27" s="113" t="s">
        <v>231</v>
      </c>
      <c r="B27" s="114">
        <v>79.5</v>
      </c>
      <c r="C27" s="114">
        <v>104.5</v>
      </c>
      <c r="D27" s="113">
        <v>128</v>
      </c>
      <c r="E27" s="114">
        <f t="shared" si="0"/>
        <v>80.484999999999999</v>
      </c>
      <c r="F27" s="114">
        <v>79.5</v>
      </c>
      <c r="G27" s="114">
        <v>104.5</v>
      </c>
      <c r="H27" s="113">
        <v>128</v>
      </c>
      <c r="I27" s="114">
        <f t="shared" si="2"/>
        <v>82.454999999999998</v>
      </c>
      <c r="J27" s="116">
        <f t="shared" si="3"/>
        <v>1.238993710691827E-2</v>
      </c>
      <c r="K27" s="116">
        <f t="shared" si="1"/>
        <v>3.7169811320754587E-2</v>
      </c>
    </row>
    <row r="28" spans="1:11" ht="15.6">
      <c r="A28" s="113" t="s">
        <v>232</v>
      </c>
      <c r="B28" s="114">
        <v>32</v>
      </c>
      <c r="C28" s="114">
        <v>94</v>
      </c>
      <c r="D28" s="113">
        <v>106.5</v>
      </c>
      <c r="E28" s="114">
        <f t="shared" si="0"/>
        <v>33.984999999999999</v>
      </c>
      <c r="F28" s="114">
        <v>32</v>
      </c>
      <c r="G28" s="114">
        <v>94</v>
      </c>
      <c r="H28" s="113">
        <v>106.5</v>
      </c>
      <c r="I28" s="114">
        <f t="shared" si="2"/>
        <v>37.954999999999998</v>
      </c>
      <c r="J28" s="115">
        <f t="shared" si="3"/>
        <v>6.2031249999999982E-2</v>
      </c>
      <c r="K28" s="115">
        <f t="shared" si="1"/>
        <v>0.18609374999999995</v>
      </c>
    </row>
    <row r="29" spans="1:11" ht="15.6">
      <c r="A29" s="113" t="s">
        <v>233</v>
      </c>
      <c r="B29" s="114">
        <v>49</v>
      </c>
      <c r="C29" s="114">
        <v>0</v>
      </c>
      <c r="D29" s="113">
        <v>0</v>
      </c>
      <c r="E29" s="114">
        <f t="shared" si="0"/>
        <v>47.53</v>
      </c>
      <c r="F29" s="114">
        <v>49</v>
      </c>
      <c r="G29" s="114">
        <v>0</v>
      </c>
      <c r="H29" s="113">
        <v>0</v>
      </c>
      <c r="I29" s="114">
        <f t="shared" si="2"/>
        <v>44.589999999999996</v>
      </c>
      <c r="J29" s="115">
        <f t="shared" si="3"/>
        <v>-3.0000000000000027E-2</v>
      </c>
      <c r="K29" s="115">
        <f t="shared" si="1"/>
        <v>-9.000000000000008E-2</v>
      </c>
    </row>
    <row r="30" spans="1:11" ht="15.6">
      <c r="A30" s="113" t="s">
        <v>234</v>
      </c>
      <c r="B30" s="114">
        <v>17.5</v>
      </c>
      <c r="C30" s="114">
        <v>17.5</v>
      </c>
      <c r="D30" s="113">
        <v>20</v>
      </c>
      <c r="E30" s="114">
        <f t="shared" si="0"/>
        <v>17.524999999999999</v>
      </c>
      <c r="F30" s="114">
        <v>17.5</v>
      </c>
      <c r="G30" s="114">
        <v>17.5</v>
      </c>
      <c r="H30" s="113">
        <v>20</v>
      </c>
      <c r="I30" s="114">
        <f t="shared" si="2"/>
        <v>17.574999999999999</v>
      </c>
      <c r="J30" s="115">
        <f t="shared" si="3"/>
        <v>1.4285714285713347E-3</v>
      </c>
      <c r="K30" s="115">
        <f t="shared" si="1"/>
        <v>4.2857142857142261E-3</v>
      </c>
    </row>
    <row r="31" spans="1:11" ht="15.6">
      <c r="A31" s="113" t="s">
        <v>235</v>
      </c>
      <c r="B31" s="114">
        <v>42.5</v>
      </c>
      <c r="C31" s="114">
        <v>32</v>
      </c>
      <c r="D31" s="113">
        <v>30</v>
      </c>
      <c r="E31" s="114">
        <f t="shared" si="0"/>
        <v>42.164999999999999</v>
      </c>
      <c r="F31" s="114">
        <v>42.5</v>
      </c>
      <c r="G31" s="114">
        <v>32</v>
      </c>
      <c r="H31" s="113">
        <v>30</v>
      </c>
      <c r="I31" s="114">
        <f t="shared" si="2"/>
        <v>41.494999999999997</v>
      </c>
      <c r="J31" s="115">
        <f t="shared" si="3"/>
        <v>-7.8823529411764515E-3</v>
      </c>
      <c r="K31" s="115">
        <f t="shared" si="1"/>
        <v>-2.3647058823529465E-2</v>
      </c>
    </row>
    <row r="32" spans="1:11" ht="15.6">
      <c r="A32" s="113" t="s">
        <v>236</v>
      </c>
      <c r="B32" s="114">
        <v>0.5</v>
      </c>
      <c r="C32" s="114">
        <v>0.5</v>
      </c>
      <c r="D32" s="113">
        <v>0.5</v>
      </c>
      <c r="E32" s="114">
        <f t="shared" si="0"/>
        <v>0.5</v>
      </c>
      <c r="F32" s="114">
        <v>0.5</v>
      </c>
      <c r="G32" s="114">
        <v>0.5</v>
      </c>
      <c r="H32" s="113">
        <v>0.5</v>
      </c>
      <c r="I32" s="114">
        <f t="shared" si="2"/>
        <v>0.5</v>
      </c>
      <c r="J32" s="115">
        <f t="shared" si="3"/>
        <v>0</v>
      </c>
      <c r="K32" s="115">
        <f t="shared" si="1"/>
        <v>0</v>
      </c>
    </row>
    <row r="33" spans="1:11" ht="15.6">
      <c r="A33" s="113" t="s">
        <v>237</v>
      </c>
      <c r="B33" s="114">
        <v>10</v>
      </c>
      <c r="C33" s="114">
        <v>8</v>
      </c>
      <c r="D33" s="113">
        <v>8.5</v>
      </c>
      <c r="E33" s="114">
        <f t="shared" si="0"/>
        <v>9.9450000000000003</v>
      </c>
      <c r="F33" s="114">
        <v>10</v>
      </c>
      <c r="G33" s="114">
        <v>8</v>
      </c>
      <c r="H33" s="113">
        <v>8.5</v>
      </c>
      <c r="I33" s="114">
        <f t="shared" si="2"/>
        <v>9.8350000000000009</v>
      </c>
      <c r="J33" s="115">
        <f t="shared" si="3"/>
        <v>-5.4999999999999494E-3</v>
      </c>
      <c r="K33" s="115">
        <f t="shared" si="1"/>
        <v>-1.6499999999999959E-2</v>
      </c>
    </row>
    <row r="34" spans="1:11" ht="15.6">
      <c r="A34" s="113" t="s">
        <v>238</v>
      </c>
      <c r="B34" s="114">
        <v>0</v>
      </c>
      <c r="C34" s="114">
        <v>19.5</v>
      </c>
      <c r="D34" s="113">
        <v>20</v>
      </c>
      <c r="E34" s="114">
        <f t="shared" si="0"/>
        <v>0.59000000000000008</v>
      </c>
      <c r="F34" s="114">
        <v>0</v>
      </c>
      <c r="G34" s="114">
        <v>19.5</v>
      </c>
      <c r="H34" s="113">
        <v>20</v>
      </c>
      <c r="I34" s="114">
        <f t="shared" si="2"/>
        <v>1.77</v>
      </c>
      <c r="J34" s="115" t="e">
        <f t="shared" si="3"/>
        <v>#DIV/0!</v>
      </c>
      <c r="K34" s="115" t="e">
        <f t="shared" si="1"/>
        <v>#DIV/0!</v>
      </c>
    </row>
    <row r="35" spans="1:11" ht="15.6">
      <c r="A35" s="113" t="s">
        <v>239</v>
      </c>
      <c r="B35" s="114">
        <v>11</v>
      </c>
      <c r="C35" s="114">
        <v>0</v>
      </c>
      <c r="D35" s="113">
        <v>1.5</v>
      </c>
      <c r="E35" s="114">
        <f t="shared" si="0"/>
        <v>10.685</v>
      </c>
      <c r="F35" s="114">
        <v>11</v>
      </c>
      <c r="G35" s="114">
        <v>0</v>
      </c>
      <c r="H35" s="113">
        <v>1.5</v>
      </c>
      <c r="I35" s="114">
        <f t="shared" si="2"/>
        <v>10.055</v>
      </c>
      <c r="J35" s="115">
        <f t="shared" si="3"/>
        <v>-2.8636363636363571E-2</v>
      </c>
      <c r="K35" s="115">
        <f t="shared" si="1"/>
        <v>-8.5909090909090935E-2</v>
      </c>
    </row>
    <row r="36" spans="1:11" ht="15.6">
      <c r="A36" s="113" t="s">
        <v>240</v>
      </c>
      <c r="B36" s="114">
        <v>33.5</v>
      </c>
      <c r="C36" s="114">
        <v>28</v>
      </c>
      <c r="D36" s="113">
        <v>20</v>
      </c>
      <c r="E36" s="114">
        <f t="shared" si="0"/>
        <v>33.255000000000003</v>
      </c>
      <c r="F36" s="114">
        <v>33.5</v>
      </c>
      <c r="G36" s="114">
        <v>28</v>
      </c>
      <c r="H36" s="113">
        <v>20</v>
      </c>
      <c r="I36" s="114">
        <f t="shared" si="2"/>
        <v>32.765000000000001</v>
      </c>
      <c r="J36" s="115">
        <f t="shared" si="3"/>
        <v>-7.3134328358208656E-3</v>
      </c>
      <c r="K36" s="115">
        <f t="shared" si="1"/>
        <v>-2.1940298507462708E-2</v>
      </c>
    </row>
    <row r="37" spans="1:11" ht="15.6">
      <c r="A37" s="113" t="s">
        <v>241</v>
      </c>
      <c r="B37" s="114">
        <v>93</v>
      </c>
      <c r="C37" s="114">
        <v>83</v>
      </c>
      <c r="D37" s="113">
        <v>63</v>
      </c>
      <c r="E37" s="114">
        <f t="shared" si="0"/>
        <v>92.499999999999986</v>
      </c>
      <c r="F37" s="114">
        <v>93</v>
      </c>
      <c r="G37" s="114">
        <v>83</v>
      </c>
      <c r="H37" s="113">
        <v>63</v>
      </c>
      <c r="I37" s="114">
        <f t="shared" si="2"/>
        <v>91.5</v>
      </c>
      <c r="J37" s="115">
        <f t="shared" si="3"/>
        <v>-5.3763440860216116E-3</v>
      </c>
      <c r="K37" s="115">
        <f t="shared" si="1"/>
        <v>-1.6129032258064502E-2</v>
      </c>
    </row>
    <row r="38" spans="1:11" ht="15.6">
      <c r="A38" s="113" t="s">
        <v>242</v>
      </c>
      <c r="B38" s="114">
        <v>968</v>
      </c>
      <c r="C38" s="114">
        <v>945.5</v>
      </c>
      <c r="D38" s="113">
        <v>925.5</v>
      </c>
      <c r="E38" s="114">
        <f t="shared" si="0"/>
        <v>967.12499999999989</v>
      </c>
      <c r="F38" s="114">
        <v>968</v>
      </c>
      <c r="G38" s="114">
        <v>945.5</v>
      </c>
      <c r="H38" s="113">
        <v>925.5</v>
      </c>
      <c r="I38" s="114">
        <f t="shared" si="2"/>
        <v>965.37499999999989</v>
      </c>
      <c r="J38" s="115">
        <f t="shared" si="3"/>
        <v>-9.0392561983487774E-4</v>
      </c>
      <c r="K38" s="115">
        <f t="shared" si="1"/>
        <v>-2.7117768595043001E-3</v>
      </c>
    </row>
    <row r="39" spans="1:11" ht="15.6">
      <c r="A39" s="113" t="s">
        <v>243</v>
      </c>
      <c r="B39" s="114">
        <v>140.5</v>
      </c>
      <c r="C39" s="114">
        <v>0</v>
      </c>
      <c r="D39" s="113">
        <v>0</v>
      </c>
      <c r="E39" s="114">
        <f t="shared" si="0"/>
        <v>136.285</v>
      </c>
      <c r="F39" s="114">
        <v>140.5</v>
      </c>
      <c r="G39" s="114">
        <v>0</v>
      </c>
      <c r="H39" s="113">
        <v>0</v>
      </c>
      <c r="I39" s="114">
        <f t="shared" si="2"/>
        <v>127.85499999999999</v>
      </c>
      <c r="J39" s="115">
        <f t="shared" si="3"/>
        <v>-3.0000000000000027E-2</v>
      </c>
      <c r="K39" s="115">
        <f t="shared" si="1"/>
        <v>-9.000000000000008E-2</v>
      </c>
    </row>
    <row r="40" spans="1:11" ht="15.6">
      <c r="A40" s="113" t="s">
        <v>244</v>
      </c>
      <c r="B40" s="114">
        <v>73.5</v>
      </c>
      <c r="C40" s="114">
        <v>106.5</v>
      </c>
      <c r="D40" s="113">
        <v>15.5</v>
      </c>
      <c r="E40" s="114">
        <f t="shared" si="0"/>
        <v>73.58</v>
      </c>
      <c r="F40" s="114">
        <v>73.5</v>
      </c>
      <c r="G40" s="114">
        <v>106.5</v>
      </c>
      <c r="H40" s="113">
        <v>15.5</v>
      </c>
      <c r="I40" s="114">
        <f t="shared" si="2"/>
        <v>73.739999999999995</v>
      </c>
      <c r="J40" s="115">
        <f t="shared" si="3"/>
        <v>1.0884353741495989E-3</v>
      </c>
      <c r="K40" s="115">
        <f t="shared" si="1"/>
        <v>3.2653061224490187E-3</v>
      </c>
    </row>
    <row r="41" spans="1:11" ht="15.6">
      <c r="A41" s="113" t="s">
        <v>245</v>
      </c>
      <c r="B41" s="114">
        <v>500.5</v>
      </c>
      <c r="C41" s="114">
        <v>500.5</v>
      </c>
      <c r="D41" s="113">
        <v>0</v>
      </c>
      <c r="E41" s="114">
        <f t="shared" si="0"/>
        <v>495.495</v>
      </c>
      <c r="F41" s="114">
        <v>500.5</v>
      </c>
      <c r="G41" s="114">
        <v>500.5</v>
      </c>
      <c r="H41" s="113">
        <v>0</v>
      </c>
      <c r="I41" s="114">
        <f t="shared" si="2"/>
        <v>485.48499999999996</v>
      </c>
      <c r="J41" s="115">
        <f t="shared" si="3"/>
        <v>-1.0000000000000009E-2</v>
      </c>
      <c r="K41" s="115">
        <f t="shared" si="1"/>
        <v>-3.0000000000000138E-2</v>
      </c>
    </row>
    <row r="42" spans="1:11" ht="15.6">
      <c r="A42" s="113" t="s">
        <v>246</v>
      </c>
      <c r="B42" s="114">
        <v>1</v>
      </c>
      <c r="C42" s="114">
        <v>0</v>
      </c>
      <c r="D42" s="113">
        <v>0</v>
      </c>
      <c r="E42" s="114">
        <f t="shared" si="0"/>
        <v>0.97</v>
      </c>
      <c r="F42" s="114">
        <v>1</v>
      </c>
      <c r="G42" s="114">
        <v>0</v>
      </c>
      <c r="H42" s="113">
        <v>0</v>
      </c>
      <c r="I42" s="114">
        <f t="shared" si="2"/>
        <v>0.90999999999999992</v>
      </c>
      <c r="J42" s="115">
        <f t="shared" si="3"/>
        <v>-3.0000000000000027E-2</v>
      </c>
      <c r="K42" s="115">
        <f t="shared" si="1"/>
        <v>-9.000000000000008E-2</v>
      </c>
    </row>
    <row r="43" spans="1:11" ht="15.6">
      <c r="A43" s="113" t="s">
        <v>247</v>
      </c>
      <c r="B43" s="114">
        <v>3.5</v>
      </c>
      <c r="C43" s="114">
        <v>2</v>
      </c>
      <c r="D43" s="113">
        <v>1.5</v>
      </c>
      <c r="E43" s="114">
        <f t="shared" si="0"/>
        <v>3.45</v>
      </c>
      <c r="F43" s="114">
        <v>3.5</v>
      </c>
      <c r="G43" s="114">
        <v>2</v>
      </c>
      <c r="H43" s="113">
        <v>1.5</v>
      </c>
      <c r="I43" s="114">
        <f t="shared" si="2"/>
        <v>3.3499999999999996</v>
      </c>
      <c r="J43" s="115">
        <f t="shared" si="3"/>
        <v>-1.4285714285714235E-2</v>
      </c>
      <c r="K43" s="115">
        <f t="shared" si="1"/>
        <v>-4.2857142857142927E-2</v>
      </c>
    </row>
    <row r="44" spans="1:11" ht="15.6">
      <c r="A44" s="113" t="s">
        <v>248</v>
      </c>
      <c r="B44" s="114">
        <v>2</v>
      </c>
      <c r="C44" s="114">
        <v>2</v>
      </c>
      <c r="D44" s="113">
        <v>2</v>
      </c>
      <c r="E44" s="114">
        <f t="shared" si="0"/>
        <v>2</v>
      </c>
      <c r="F44" s="114">
        <v>2</v>
      </c>
      <c r="G44" s="114">
        <v>2</v>
      </c>
      <c r="H44" s="113">
        <v>2</v>
      </c>
      <c r="I44" s="114">
        <f t="shared" si="2"/>
        <v>2</v>
      </c>
      <c r="J44" s="115">
        <f t="shared" si="3"/>
        <v>0</v>
      </c>
      <c r="K44" s="115">
        <f t="shared" si="1"/>
        <v>0</v>
      </c>
    </row>
    <row r="45" spans="1:11" ht="15.6">
      <c r="A45" s="113" t="s">
        <v>249</v>
      </c>
      <c r="B45" s="114">
        <v>73</v>
      </c>
      <c r="C45" s="114">
        <v>31</v>
      </c>
      <c r="D45" s="113">
        <v>12.5</v>
      </c>
      <c r="E45" s="114">
        <f t="shared" si="0"/>
        <v>71.555000000000007</v>
      </c>
      <c r="F45" s="114">
        <v>73</v>
      </c>
      <c r="G45" s="114">
        <v>31</v>
      </c>
      <c r="H45" s="113">
        <v>12.5</v>
      </c>
      <c r="I45" s="114">
        <f t="shared" si="2"/>
        <v>68.664999999999992</v>
      </c>
      <c r="J45" s="115">
        <f t="shared" si="3"/>
        <v>-1.979452054794506E-2</v>
      </c>
      <c r="K45" s="115">
        <f t="shared" si="1"/>
        <v>-5.9383561643835736E-2</v>
      </c>
    </row>
    <row r="46" spans="1:11" ht="15.6">
      <c r="A46" s="113" t="s">
        <v>250</v>
      </c>
      <c r="B46" s="114">
        <v>4.5</v>
      </c>
      <c r="C46" s="114">
        <v>0</v>
      </c>
      <c r="D46" s="113">
        <v>0</v>
      </c>
      <c r="E46" s="114">
        <f t="shared" si="0"/>
        <v>4.3650000000000002</v>
      </c>
      <c r="F46" s="114">
        <v>4.5</v>
      </c>
      <c r="G46" s="114">
        <v>0</v>
      </c>
      <c r="H46" s="113">
        <v>0</v>
      </c>
      <c r="I46" s="114">
        <f t="shared" si="2"/>
        <v>4.0949999999999998</v>
      </c>
      <c r="J46" s="115">
        <f t="shared" si="3"/>
        <v>-2.9999999999999916E-2</v>
      </c>
      <c r="K46" s="115">
        <f t="shared" si="1"/>
        <v>-9.000000000000008E-2</v>
      </c>
    </row>
    <row r="47" spans="1:11" ht="15.6">
      <c r="A47" s="113" t="s">
        <v>251</v>
      </c>
      <c r="B47" s="114">
        <v>4</v>
      </c>
      <c r="C47" s="114">
        <v>5</v>
      </c>
      <c r="D47" s="113">
        <v>5</v>
      </c>
      <c r="E47" s="114">
        <f t="shared" si="0"/>
        <v>4.03</v>
      </c>
      <c r="F47" s="114">
        <v>4</v>
      </c>
      <c r="G47" s="114">
        <v>5</v>
      </c>
      <c r="H47" s="113">
        <v>5</v>
      </c>
      <c r="I47" s="114">
        <f t="shared" si="2"/>
        <v>4.09</v>
      </c>
      <c r="J47" s="115">
        <f t="shared" si="3"/>
        <v>7.5000000000000622E-3</v>
      </c>
      <c r="K47" s="115">
        <f t="shared" si="1"/>
        <v>2.2499999999999964E-2</v>
      </c>
    </row>
    <row r="48" spans="1:11" ht="15.6">
      <c r="A48" s="113" t="s">
        <v>252</v>
      </c>
      <c r="B48" s="114">
        <v>3</v>
      </c>
      <c r="C48" s="114">
        <v>3</v>
      </c>
      <c r="D48" s="113">
        <v>3</v>
      </c>
      <c r="E48" s="114">
        <f t="shared" si="0"/>
        <v>3</v>
      </c>
      <c r="F48" s="114">
        <v>3</v>
      </c>
      <c r="G48" s="114">
        <v>3</v>
      </c>
      <c r="H48" s="113">
        <v>3</v>
      </c>
      <c r="I48" s="114">
        <f>G$4*G48+F$4*F48+H$4*H48</f>
        <v>2.9999999999999996</v>
      </c>
      <c r="J48" s="115">
        <f t="shared" si="3"/>
        <v>0</v>
      </c>
      <c r="K48" s="115">
        <f t="shared" si="1"/>
        <v>0</v>
      </c>
    </row>
    <row r="49" spans="1:11" ht="15.6">
      <c r="A49" s="113" t="s">
        <v>253</v>
      </c>
      <c r="B49" s="114">
        <v>137.5</v>
      </c>
      <c r="C49" s="114">
        <v>137.5</v>
      </c>
      <c r="D49" s="113">
        <v>122.5</v>
      </c>
      <c r="E49" s="114">
        <f t="shared" si="0"/>
        <v>137.35</v>
      </c>
      <c r="F49" s="114">
        <v>137.5</v>
      </c>
      <c r="G49" s="114">
        <v>137.5</v>
      </c>
      <c r="H49" s="113">
        <v>122.5</v>
      </c>
      <c r="I49" s="114">
        <f>G$4*G49+F$4*F49+H$4*H49</f>
        <v>137.05000000000001</v>
      </c>
      <c r="J49" s="115">
        <f t="shared" si="3"/>
        <v>-1.0909090909091423E-3</v>
      </c>
      <c r="K49" s="115">
        <f t="shared" si="1"/>
        <v>-3.272727272727205E-3</v>
      </c>
    </row>
    <row r="50" spans="1:11" ht="15.6">
      <c r="A50" s="68" t="s">
        <v>147</v>
      </c>
      <c r="B50" s="126">
        <f>SUM(B5:B49)</f>
        <v>3098</v>
      </c>
      <c r="C50" s="126">
        <f t="shared" ref="C50:I50" si="4">SUM(C5:C49)</f>
        <v>3080</v>
      </c>
      <c r="D50" s="126">
        <f t="shared" si="4"/>
        <v>2931.5</v>
      </c>
      <c r="E50" s="126">
        <f t="shared" si="4"/>
        <v>3095.974999999999</v>
      </c>
      <c r="F50" s="126">
        <f t="shared" si="4"/>
        <v>3098</v>
      </c>
      <c r="G50" s="126">
        <f t="shared" si="4"/>
        <v>3080</v>
      </c>
      <c r="H50" s="126">
        <f t="shared" si="4"/>
        <v>2931.5</v>
      </c>
      <c r="I50" s="126">
        <f t="shared" si="4"/>
        <v>3091.9249999999997</v>
      </c>
      <c r="J50" s="115">
        <f t="shared" si="3"/>
        <v>-6.5364751452579029E-4</v>
      </c>
      <c r="K50" s="115">
        <f t="shared" si="1"/>
        <v>-1.9609425435765937E-3</v>
      </c>
    </row>
    <row r="53" spans="1:11">
      <c r="A53" s="67" t="s">
        <v>254</v>
      </c>
      <c r="J53" s="113">
        <v>2030</v>
      </c>
      <c r="K53" s="113">
        <v>2050</v>
      </c>
    </row>
    <row r="54" spans="1:11" ht="15.6">
      <c r="A54" s="113" t="s">
        <v>255</v>
      </c>
      <c r="B54" s="114">
        <f>B18</f>
        <v>30.5</v>
      </c>
      <c r="C54" s="114">
        <f t="shared" ref="C54:D54" si="5">C18</f>
        <v>31</v>
      </c>
      <c r="D54" s="114">
        <f t="shared" si="5"/>
        <v>0</v>
      </c>
      <c r="E54" s="114">
        <f>E18</f>
        <v>30.205000000000002</v>
      </c>
      <c r="F54" s="114"/>
      <c r="G54" s="114"/>
      <c r="H54" s="114"/>
      <c r="I54" s="114">
        <f>I18</f>
        <v>29.614999999999998</v>
      </c>
      <c r="J54" s="127">
        <f>J18</f>
        <v>-9.6721311475409522E-3</v>
      </c>
      <c r="K54" s="127">
        <f>K18</f>
        <v>-2.9016393442622967E-2</v>
      </c>
    </row>
    <row r="55" spans="1:11" ht="15.6">
      <c r="A55" s="128" t="s">
        <v>256</v>
      </c>
      <c r="B55" s="114">
        <f>B22</f>
        <v>40</v>
      </c>
      <c r="C55" s="114">
        <f t="shared" ref="C55:D55" si="6">C22</f>
        <v>3.5</v>
      </c>
      <c r="D55" s="114">
        <f t="shared" si="6"/>
        <v>0</v>
      </c>
      <c r="E55" s="114">
        <f>E22</f>
        <v>38.869999999999997</v>
      </c>
      <c r="F55" s="114"/>
      <c r="G55" s="114"/>
      <c r="H55" s="114"/>
      <c r="I55" s="114">
        <f>I22</f>
        <v>36.61</v>
      </c>
      <c r="J55" s="127">
        <f>J22</f>
        <v>-2.8250000000000108E-2</v>
      </c>
      <c r="K55" s="127">
        <f>K22</f>
        <v>-8.4749999999999992E-2</v>
      </c>
    </row>
    <row r="56" spans="1:11" ht="15.6">
      <c r="A56" s="128" t="s">
        <v>257</v>
      </c>
      <c r="B56" s="114">
        <f>B19</f>
        <v>38</v>
      </c>
      <c r="C56" s="114">
        <f t="shared" ref="C56:D56" si="7">C19</f>
        <v>4.5</v>
      </c>
      <c r="D56" s="114">
        <f t="shared" si="7"/>
        <v>0</v>
      </c>
      <c r="E56" s="114">
        <f>E19</f>
        <v>36.950000000000003</v>
      </c>
      <c r="F56" s="114"/>
      <c r="G56" s="114"/>
      <c r="H56" s="114"/>
      <c r="I56" s="114">
        <f>I19</f>
        <v>34.85</v>
      </c>
      <c r="J56" s="127">
        <f>J19</f>
        <v>-2.763157894736834E-2</v>
      </c>
      <c r="K56" s="127">
        <f>K19</f>
        <v>-8.2894736842105243E-2</v>
      </c>
    </row>
    <row r="57" spans="1:11">
      <c r="A57" s="128" t="s">
        <v>258</v>
      </c>
      <c r="B57" s="114">
        <f>B21+B20</f>
        <v>22.5</v>
      </c>
      <c r="C57" s="114">
        <f>C21+C20</f>
        <v>7</v>
      </c>
      <c r="D57" s="114">
        <f t="shared" ref="D57" si="8">D21+D20</f>
        <v>0</v>
      </c>
      <c r="E57" s="114">
        <f>E21+E20</f>
        <v>21.965</v>
      </c>
      <c r="F57" s="114"/>
      <c r="G57" s="114"/>
      <c r="H57" s="114"/>
      <c r="I57" s="114">
        <f>I21+I20</f>
        <v>20.895</v>
      </c>
      <c r="J57" s="129">
        <f>E57/B57-1</f>
        <v>-2.3777777777777787E-2</v>
      </c>
      <c r="K57" s="129">
        <f>I57/B57-1</f>
        <v>-7.133333333333336E-2</v>
      </c>
    </row>
    <row r="58" spans="1:11">
      <c r="A58" s="113" t="s">
        <v>259</v>
      </c>
      <c r="B58" s="114">
        <f>SUM(B19:B22)</f>
        <v>100.5</v>
      </c>
      <c r="C58" s="114">
        <f t="shared" ref="C58:D58" si="9">SUM(C19:C22)</f>
        <v>15</v>
      </c>
      <c r="D58" s="114">
        <f t="shared" si="9"/>
        <v>0</v>
      </c>
      <c r="E58" s="114">
        <f>SUM(E19:E22)</f>
        <v>97.784999999999997</v>
      </c>
      <c r="F58" s="113"/>
      <c r="G58" s="113"/>
      <c r="H58" s="113"/>
      <c r="I58" s="114">
        <f>SUM(I19:I22)</f>
        <v>92.35499999999999</v>
      </c>
      <c r="J58" s="129">
        <f>E58/B58-1</f>
        <v>-2.7014925373134324E-2</v>
      </c>
      <c r="K58" s="129">
        <f>I58/B58-1</f>
        <v>-8.1044776119403084E-2</v>
      </c>
    </row>
    <row r="59" spans="1:11">
      <c r="A59" s="113" t="s">
        <v>260</v>
      </c>
      <c r="B59" s="114">
        <f>SUM(B18:B22)</f>
        <v>131</v>
      </c>
      <c r="C59" s="114">
        <f t="shared" ref="C59:D59" si="10">SUM(C18:C22)</f>
        <v>46</v>
      </c>
      <c r="D59" s="114">
        <f t="shared" si="10"/>
        <v>0</v>
      </c>
      <c r="E59" s="114">
        <f>SUM(E18:E22)</f>
        <v>127.99000000000001</v>
      </c>
      <c r="F59" s="113"/>
      <c r="G59" s="113"/>
      <c r="H59" s="113"/>
      <c r="I59" s="114">
        <f>SUM(I18:I22)</f>
        <v>121.97</v>
      </c>
      <c r="J59" s="129">
        <f>E59/B59-1</f>
        <v>-2.2977099236641152E-2</v>
      </c>
      <c r="K59" s="129">
        <f>I59/B59-1</f>
        <v>-6.8931297709923678E-2</v>
      </c>
    </row>
    <row r="61" spans="1:11">
      <c r="A61" s="68" t="s">
        <v>261</v>
      </c>
      <c r="B61" s="68">
        <f>B54*7</f>
        <v>213.5</v>
      </c>
      <c r="C61" s="68">
        <f>C54*7</f>
        <v>217</v>
      </c>
      <c r="D61" s="68">
        <f t="shared" ref="D61:E61" si="11">D54*7</f>
        <v>0</v>
      </c>
      <c r="E61" s="130">
        <f t="shared" si="11"/>
        <v>211.435</v>
      </c>
    </row>
    <row r="62" spans="1:11">
      <c r="A62" s="68" t="s">
        <v>262</v>
      </c>
      <c r="B62" s="68">
        <f>B58*7</f>
        <v>703.5</v>
      </c>
      <c r="C62" s="68">
        <f>C58*7</f>
        <v>105</v>
      </c>
      <c r="D62" s="68">
        <f t="shared" ref="D62:E63" si="12">D58*7</f>
        <v>0</v>
      </c>
      <c r="E62" s="130">
        <f t="shared" si="12"/>
        <v>684.495</v>
      </c>
    </row>
    <row r="63" spans="1:11">
      <c r="A63" s="68" t="s">
        <v>263</v>
      </c>
      <c r="B63" s="68">
        <f>B59*7</f>
        <v>917</v>
      </c>
      <c r="C63" s="68">
        <f>C59*7</f>
        <v>322</v>
      </c>
      <c r="D63" s="68">
        <f t="shared" si="12"/>
        <v>0</v>
      </c>
      <c r="E63" s="130">
        <f t="shared" si="12"/>
        <v>895.93000000000006</v>
      </c>
    </row>
    <row r="65" spans="3:4">
      <c r="C65" s="67" t="s">
        <v>264</v>
      </c>
    </row>
    <row r="66" spans="3:4" ht="15.6">
      <c r="C66" s="113" t="s">
        <v>265</v>
      </c>
      <c r="D66" s="115">
        <f>0.075*85/100</f>
        <v>6.3750000000000001E-2</v>
      </c>
    </row>
    <row r="67" spans="3:4">
      <c r="C67" s="113"/>
      <c r="D67" s="113"/>
    </row>
    <row r="68" spans="3:4" ht="15.6">
      <c r="C68" s="113" t="s">
        <v>266</v>
      </c>
      <c r="D68" s="115">
        <f>0.225*15/100</f>
        <v>3.3750000000000002E-2</v>
      </c>
    </row>
  </sheetData>
  <mergeCells count="6">
    <mergeCell ref="B2:E2"/>
    <mergeCell ref="F2:I2"/>
    <mergeCell ref="J2:J4"/>
    <mergeCell ref="K2:K4"/>
    <mergeCell ref="E3:E4"/>
    <mergeCell ref="I3:I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46" workbookViewId="0">
      <selection activeCell="A58" sqref="A58"/>
    </sheetView>
  </sheetViews>
  <sheetFormatPr baseColWidth="10" defaultColWidth="11" defaultRowHeight="14.4"/>
  <cols>
    <col min="1" max="1" width="36.8984375" style="68" customWidth="1"/>
    <col min="2" max="2" width="14.09765625" style="68" customWidth="1"/>
    <col min="3" max="16384" width="11" style="68"/>
  </cols>
  <sheetData>
    <row r="1" spans="1:12">
      <c r="B1" s="68" t="s">
        <v>267</v>
      </c>
      <c r="C1" s="67" t="s">
        <v>268</v>
      </c>
    </row>
    <row r="2" spans="1:12" ht="15.6">
      <c r="A2" s="68" t="s">
        <v>269</v>
      </c>
      <c r="C2" s="131">
        <v>0.1</v>
      </c>
      <c r="D2" s="131">
        <v>0.2</v>
      </c>
      <c r="E2" s="131">
        <v>0.3</v>
      </c>
      <c r="F2" s="131">
        <v>0.4</v>
      </c>
      <c r="G2" s="131">
        <v>0.5</v>
      </c>
      <c r="H2" s="131">
        <v>0.6</v>
      </c>
      <c r="I2" s="131">
        <v>0.7</v>
      </c>
      <c r="J2" s="131">
        <v>0.8</v>
      </c>
      <c r="K2" s="131">
        <v>0.9</v>
      </c>
      <c r="L2" s="131">
        <v>1</v>
      </c>
    </row>
    <row r="3" spans="1:12">
      <c r="A3" s="68" t="s">
        <v>209</v>
      </c>
      <c r="B3" s="68">
        <v>168</v>
      </c>
      <c r="C3" s="68">
        <v>230.5</v>
      </c>
      <c r="D3" s="68">
        <v>274</v>
      </c>
      <c r="E3" s="68">
        <v>328.5</v>
      </c>
      <c r="F3" s="68">
        <v>393.5</v>
      </c>
      <c r="G3" s="68">
        <v>393.5</v>
      </c>
      <c r="H3" s="68">
        <v>393.5</v>
      </c>
      <c r="I3" s="68">
        <v>393.5</v>
      </c>
      <c r="J3" s="68">
        <v>393.5</v>
      </c>
      <c r="K3" s="68">
        <v>393.5</v>
      </c>
      <c r="L3" s="68">
        <v>393.5</v>
      </c>
    </row>
    <row r="4" spans="1:12">
      <c r="A4" s="68" t="s">
        <v>210</v>
      </c>
      <c r="B4" s="68">
        <v>117.5</v>
      </c>
      <c r="C4" s="68">
        <v>158.5</v>
      </c>
      <c r="D4" s="68">
        <v>231.5</v>
      </c>
      <c r="E4" s="68">
        <v>274</v>
      </c>
      <c r="F4" s="68">
        <v>375.5</v>
      </c>
      <c r="G4" s="68">
        <v>393</v>
      </c>
      <c r="H4" s="68">
        <v>392.5</v>
      </c>
      <c r="I4" s="68">
        <v>391.5</v>
      </c>
      <c r="J4" s="68">
        <v>391</v>
      </c>
      <c r="K4" s="68">
        <v>391.5</v>
      </c>
      <c r="L4" s="68">
        <v>391.5</v>
      </c>
    </row>
    <row r="5" spans="1:12">
      <c r="A5" s="68" t="s">
        <v>211</v>
      </c>
      <c r="B5" s="68">
        <v>1</v>
      </c>
      <c r="C5" s="68">
        <v>36</v>
      </c>
      <c r="D5" s="68">
        <v>29</v>
      </c>
      <c r="E5" s="68">
        <v>11</v>
      </c>
      <c r="F5" s="68">
        <v>12</v>
      </c>
      <c r="G5" s="68">
        <v>13</v>
      </c>
      <c r="H5" s="68">
        <v>14</v>
      </c>
      <c r="I5" s="68">
        <v>14.5</v>
      </c>
      <c r="J5" s="68">
        <v>15</v>
      </c>
      <c r="K5" s="68">
        <v>14.5</v>
      </c>
      <c r="L5" s="68">
        <v>14.5</v>
      </c>
    </row>
    <row r="6" spans="1:12">
      <c r="A6" s="68" t="s">
        <v>212</v>
      </c>
      <c r="B6" s="68">
        <v>14</v>
      </c>
      <c r="C6" s="68">
        <v>0</v>
      </c>
      <c r="D6" s="68">
        <v>0</v>
      </c>
      <c r="E6" s="68">
        <v>51</v>
      </c>
      <c r="F6" s="68">
        <v>0</v>
      </c>
      <c r="G6" s="68">
        <v>0</v>
      </c>
      <c r="H6" s="68">
        <v>0</v>
      </c>
      <c r="I6" s="68">
        <v>0</v>
      </c>
      <c r="J6" s="68">
        <v>0</v>
      </c>
      <c r="K6" s="68">
        <v>0</v>
      </c>
      <c r="L6" s="68">
        <v>0</v>
      </c>
    </row>
    <row r="7" spans="1:12">
      <c r="A7" s="68" t="s">
        <v>213</v>
      </c>
      <c r="B7" s="68">
        <v>2.5</v>
      </c>
      <c r="C7" s="68">
        <v>3</v>
      </c>
      <c r="D7" s="68">
        <v>3</v>
      </c>
      <c r="E7" s="68">
        <v>3</v>
      </c>
      <c r="F7" s="68">
        <v>3</v>
      </c>
      <c r="G7" s="68">
        <v>3</v>
      </c>
      <c r="H7" s="68">
        <v>3</v>
      </c>
      <c r="I7" s="68">
        <v>3</v>
      </c>
      <c r="J7" s="68">
        <v>3</v>
      </c>
      <c r="K7" s="68">
        <v>3</v>
      </c>
      <c r="L7" s="68">
        <v>3</v>
      </c>
    </row>
    <row r="8" spans="1:12">
      <c r="A8" s="68" t="s">
        <v>214</v>
      </c>
      <c r="B8" s="68">
        <v>141.5</v>
      </c>
      <c r="C8" s="68">
        <v>18.5</v>
      </c>
      <c r="D8" s="68">
        <v>18.5</v>
      </c>
      <c r="E8" s="68">
        <v>18.5</v>
      </c>
      <c r="F8" s="68">
        <v>18.5</v>
      </c>
      <c r="G8" s="68">
        <v>18.5</v>
      </c>
      <c r="H8" s="68">
        <v>18.5</v>
      </c>
      <c r="I8" s="68">
        <v>18.5</v>
      </c>
      <c r="J8" s="68">
        <v>18.5</v>
      </c>
      <c r="K8" s="68">
        <v>18.5</v>
      </c>
      <c r="L8" s="68">
        <v>18.5</v>
      </c>
    </row>
    <row r="9" spans="1:12">
      <c r="A9" s="68" t="s">
        <v>215</v>
      </c>
      <c r="B9" s="68">
        <v>13</v>
      </c>
      <c r="C9" s="68">
        <v>108.5</v>
      </c>
      <c r="D9" s="68">
        <v>107.5</v>
      </c>
      <c r="E9" s="68">
        <v>107</v>
      </c>
      <c r="F9" s="68">
        <v>106</v>
      </c>
      <c r="G9" s="68">
        <v>107</v>
      </c>
      <c r="H9" s="68">
        <v>108.5</v>
      </c>
      <c r="I9" s="68">
        <v>109</v>
      </c>
      <c r="J9" s="68">
        <v>112.5</v>
      </c>
      <c r="K9" s="68">
        <v>117.5</v>
      </c>
      <c r="L9" s="68">
        <v>121.5</v>
      </c>
    </row>
    <row r="10" spans="1:12">
      <c r="A10" s="68" t="s">
        <v>216</v>
      </c>
      <c r="B10" s="68">
        <v>85</v>
      </c>
      <c r="C10" s="68">
        <v>0</v>
      </c>
      <c r="D10" s="68">
        <v>0</v>
      </c>
      <c r="E10" s="68">
        <v>0</v>
      </c>
      <c r="F10" s="68">
        <v>0</v>
      </c>
      <c r="G10" s="68">
        <v>0</v>
      </c>
      <c r="H10" s="68">
        <v>0</v>
      </c>
      <c r="I10" s="68">
        <v>0</v>
      </c>
      <c r="J10" s="68">
        <v>0</v>
      </c>
      <c r="K10" s="68">
        <v>0</v>
      </c>
      <c r="L10" s="68">
        <v>0</v>
      </c>
    </row>
    <row r="11" spans="1:12">
      <c r="A11" s="68" t="s">
        <v>217</v>
      </c>
      <c r="B11" s="68">
        <v>4</v>
      </c>
      <c r="C11" s="68">
        <v>107</v>
      </c>
      <c r="D11" s="68">
        <v>116</v>
      </c>
      <c r="E11" s="68">
        <v>129</v>
      </c>
      <c r="F11" s="68">
        <v>144.5</v>
      </c>
      <c r="G11" s="68">
        <v>165.5</v>
      </c>
      <c r="H11" s="68">
        <v>188</v>
      </c>
      <c r="I11" s="68">
        <v>217</v>
      </c>
      <c r="J11" s="68">
        <v>232</v>
      </c>
      <c r="K11" s="68">
        <v>232</v>
      </c>
      <c r="L11" s="68">
        <v>232</v>
      </c>
    </row>
    <row r="12" spans="1:12">
      <c r="A12" s="68" t="s">
        <v>218</v>
      </c>
      <c r="B12" s="68">
        <v>20.5</v>
      </c>
      <c r="C12" s="68">
        <v>17.5</v>
      </c>
      <c r="D12" s="68">
        <v>17</v>
      </c>
      <c r="E12" s="68">
        <v>16.5</v>
      </c>
      <c r="F12" s="68">
        <v>15.5</v>
      </c>
      <c r="G12" s="68">
        <v>15</v>
      </c>
      <c r="H12" s="68">
        <v>14.5</v>
      </c>
      <c r="I12" s="68">
        <v>14</v>
      </c>
      <c r="J12" s="68">
        <v>14</v>
      </c>
      <c r="K12" s="68">
        <v>14</v>
      </c>
      <c r="L12" s="68">
        <v>13.5</v>
      </c>
    </row>
    <row r="13" spans="1:12">
      <c r="A13" s="68" t="s">
        <v>219</v>
      </c>
      <c r="B13" s="68">
        <v>3</v>
      </c>
      <c r="C13" s="68">
        <v>2</v>
      </c>
      <c r="D13" s="68">
        <v>2</v>
      </c>
      <c r="E13" s="68">
        <v>2</v>
      </c>
      <c r="F13" s="68">
        <v>2</v>
      </c>
      <c r="G13" s="68">
        <v>2</v>
      </c>
      <c r="H13" s="68">
        <v>2</v>
      </c>
      <c r="I13" s="68">
        <v>2</v>
      </c>
      <c r="J13" s="68">
        <v>2</v>
      </c>
      <c r="K13" s="68">
        <v>2</v>
      </c>
      <c r="L13" s="68">
        <v>2</v>
      </c>
    </row>
    <row r="14" spans="1:12">
      <c r="A14" s="68" t="s">
        <v>220</v>
      </c>
      <c r="B14" s="68">
        <v>64</v>
      </c>
      <c r="C14" s="68">
        <v>74</v>
      </c>
      <c r="D14" s="68">
        <v>75</v>
      </c>
      <c r="E14" s="68">
        <v>77</v>
      </c>
      <c r="F14" s="68">
        <v>79</v>
      </c>
      <c r="G14" s="68">
        <v>81.5</v>
      </c>
      <c r="H14" s="68">
        <v>81.5</v>
      </c>
      <c r="I14" s="68">
        <v>81.5</v>
      </c>
      <c r="J14" s="68">
        <v>82.5</v>
      </c>
      <c r="K14" s="68">
        <v>83.5</v>
      </c>
      <c r="L14" s="68">
        <v>84</v>
      </c>
    </row>
    <row r="15" spans="1:12">
      <c r="A15" s="68" t="s">
        <v>221</v>
      </c>
      <c r="B15" s="68">
        <v>9.5</v>
      </c>
      <c r="C15" s="68">
        <v>11</v>
      </c>
      <c r="D15" s="68">
        <v>11</v>
      </c>
      <c r="E15" s="68">
        <v>11.5</v>
      </c>
      <c r="F15" s="68">
        <v>11.5</v>
      </c>
      <c r="G15" s="68">
        <v>11.5</v>
      </c>
      <c r="H15" s="68">
        <v>11.5</v>
      </c>
      <c r="I15" s="68">
        <v>11.5</v>
      </c>
      <c r="J15" s="68">
        <v>11.5</v>
      </c>
      <c r="K15" s="68">
        <v>12</v>
      </c>
      <c r="L15" s="68">
        <v>12</v>
      </c>
    </row>
    <row r="16" spans="1:12">
      <c r="A16" s="68" t="s">
        <v>222</v>
      </c>
      <c r="B16" s="68">
        <v>30.5</v>
      </c>
      <c r="C16" s="68">
        <v>78.5</v>
      </c>
      <c r="D16" s="68">
        <v>83.5</v>
      </c>
      <c r="E16" s="68">
        <v>84.5</v>
      </c>
      <c r="F16" s="68">
        <v>75.5</v>
      </c>
      <c r="G16" s="68">
        <v>63</v>
      </c>
      <c r="H16" s="68">
        <v>50</v>
      </c>
      <c r="I16" s="68">
        <v>37.5</v>
      </c>
      <c r="J16" s="68">
        <v>24.5</v>
      </c>
      <c r="K16" s="68">
        <v>11.5</v>
      </c>
      <c r="L16" s="68">
        <v>0</v>
      </c>
    </row>
    <row r="17" spans="1:12">
      <c r="A17" s="68" t="s">
        <v>223</v>
      </c>
      <c r="B17" s="68">
        <v>38</v>
      </c>
      <c r="C17" s="68">
        <v>4.5</v>
      </c>
      <c r="D17" s="68">
        <v>1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</row>
    <row r="18" spans="1:12">
      <c r="A18" s="68" t="s">
        <v>224</v>
      </c>
      <c r="B18" s="68">
        <v>20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</row>
    <row r="19" spans="1:12">
      <c r="A19" s="68" t="s">
        <v>225</v>
      </c>
      <c r="B19" s="68">
        <v>2.5</v>
      </c>
      <c r="C19" s="68">
        <v>7</v>
      </c>
      <c r="D19" s="68">
        <v>6.5</v>
      </c>
      <c r="E19" s="68">
        <v>2.5</v>
      </c>
      <c r="F19" s="68">
        <v>1.5</v>
      </c>
      <c r="G19" s="68">
        <v>1</v>
      </c>
      <c r="H19" s="68">
        <v>1</v>
      </c>
      <c r="I19" s="68">
        <v>0.5</v>
      </c>
      <c r="J19" s="68">
        <v>0.5</v>
      </c>
      <c r="K19" s="68">
        <v>0.5</v>
      </c>
      <c r="L19" s="68">
        <v>0</v>
      </c>
    </row>
    <row r="20" spans="1:12">
      <c r="A20" s="68" t="s">
        <v>226</v>
      </c>
      <c r="B20" s="68">
        <v>40</v>
      </c>
      <c r="C20" s="68">
        <v>3.5</v>
      </c>
      <c r="D20" s="68">
        <v>3</v>
      </c>
      <c r="E20" s="68">
        <v>2.5</v>
      </c>
      <c r="F20" s="68">
        <v>2</v>
      </c>
      <c r="G20" s="68">
        <v>2</v>
      </c>
      <c r="H20" s="68">
        <v>1.5</v>
      </c>
      <c r="I20" s="68">
        <v>1.5</v>
      </c>
      <c r="J20" s="68">
        <v>1.5</v>
      </c>
      <c r="K20" s="68">
        <v>1</v>
      </c>
      <c r="L20" s="68">
        <v>0</v>
      </c>
    </row>
    <row r="21" spans="1:12">
      <c r="A21" s="68" t="s">
        <v>270</v>
      </c>
      <c r="B21" s="68">
        <f>B20+B19+B18+B17</f>
        <v>100.5</v>
      </c>
      <c r="C21" s="68">
        <f t="shared" ref="C21:L21" si="0">C20+C19+C18+C17</f>
        <v>15</v>
      </c>
      <c r="D21" s="68">
        <f t="shared" si="0"/>
        <v>10.5</v>
      </c>
      <c r="E21" s="68">
        <f t="shared" si="0"/>
        <v>5</v>
      </c>
      <c r="F21" s="68">
        <f t="shared" si="0"/>
        <v>3.5</v>
      </c>
      <c r="G21" s="68">
        <f t="shared" si="0"/>
        <v>3</v>
      </c>
      <c r="H21" s="68">
        <f t="shared" si="0"/>
        <v>2.5</v>
      </c>
      <c r="I21" s="68">
        <f t="shared" si="0"/>
        <v>2</v>
      </c>
      <c r="J21" s="68">
        <f t="shared" si="0"/>
        <v>2</v>
      </c>
      <c r="K21" s="68">
        <f t="shared" si="0"/>
        <v>1.5</v>
      </c>
      <c r="L21" s="68">
        <f t="shared" si="0"/>
        <v>0</v>
      </c>
    </row>
    <row r="22" spans="1:12">
      <c r="A22" s="68" t="s">
        <v>227</v>
      </c>
      <c r="B22" s="68">
        <v>7</v>
      </c>
      <c r="C22" s="68">
        <v>21</v>
      </c>
      <c r="D22" s="68">
        <v>20</v>
      </c>
      <c r="E22" s="68">
        <v>19</v>
      </c>
      <c r="F22" s="68">
        <v>18.5</v>
      </c>
      <c r="G22" s="68">
        <v>22</v>
      </c>
      <c r="H22" s="68">
        <v>16</v>
      </c>
      <c r="I22" s="68">
        <v>15.5</v>
      </c>
      <c r="J22" s="68">
        <v>15.5</v>
      </c>
      <c r="K22" s="68">
        <v>16</v>
      </c>
      <c r="L22" s="68">
        <v>20</v>
      </c>
    </row>
    <row r="23" spans="1:12">
      <c r="A23" s="68" t="s">
        <v>228</v>
      </c>
      <c r="B23" s="68">
        <v>18.5</v>
      </c>
      <c r="C23" s="68">
        <v>10</v>
      </c>
      <c r="D23" s="68">
        <v>12</v>
      </c>
      <c r="E23" s="68">
        <v>15.5</v>
      </c>
      <c r="F23" s="68">
        <v>15.5</v>
      </c>
      <c r="G23" s="68">
        <v>14</v>
      </c>
      <c r="H23" s="68">
        <v>19</v>
      </c>
      <c r="I23" s="68">
        <v>18.5</v>
      </c>
      <c r="J23" s="68">
        <v>18.5</v>
      </c>
      <c r="K23" s="68">
        <v>18</v>
      </c>
      <c r="L23" s="68">
        <v>13.5</v>
      </c>
    </row>
    <row r="24" spans="1:12">
      <c r="A24" s="68" t="s">
        <v>229</v>
      </c>
      <c r="B24" s="68">
        <v>4.5</v>
      </c>
      <c r="C24" s="68">
        <v>5.5</v>
      </c>
      <c r="D24" s="68">
        <v>7</v>
      </c>
      <c r="E24" s="68">
        <v>9</v>
      </c>
      <c r="F24" s="68">
        <v>11.5</v>
      </c>
      <c r="G24" s="68">
        <v>16.5</v>
      </c>
      <c r="H24" s="68">
        <v>22.5</v>
      </c>
      <c r="I24" s="68">
        <v>27</v>
      </c>
      <c r="J24" s="68">
        <v>27</v>
      </c>
      <c r="K24" s="68">
        <v>27</v>
      </c>
      <c r="L24" s="68">
        <v>27</v>
      </c>
    </row>
    <row r="25" spans="1:12">
      <c r="A25" s="68" t="s">
        <v>230</v>
      </c>
      <c r="B25" s="68">
        <v>14</v>
      </c>
      <c r="C25" s="68">
        <v>18.5</v>
      </c>
      <c r="D25" s="68">
        <v>20</v>
      </c>
      <c r="E25" s="68">
        <v>22</v>
      </c>
      <c r="F25" s="68">
        <v>23.5</v>
      </c>
      <c r="G25" s="68">
        <v>25</v>
      </c>
      <c r="H25" s="68">
        <v>26</v>
      </c>
      <c r="I25" s="68">
        <v>27</v>
      </c>
      <c r="J25" s="68">
        <v>28</v>
      </c>
      <c r="K25" s="68">
        <v>29.5</v>
      </c>
      <c r="L25" s="68">
        <v>31.5</v>
      </c>
    </row>
    <row r="26" spans="1:12">
      <c r="A26" s="68" t="s">
        <v>231</v>
      </c>
      <c r="B26" s="68">
        <v>79.5</v>
      </c>
      <c r="C26" s="68">
        <v>104.5</v>
      </c>
      <c r="D26" s="68">
        <v>106</v>
      </c>
      <c r="E26" s="68">
        <v>116</v>
      </c>
      <c r="F26" s="68">
        <v>119</v>
      </c>
      <c r="G26" s="68">
        <v>128.5</v>
      </c>
      <c r="H26" s="68">
        <v>126.5</v>
      </c>
      <c r="I26" s="68">
        <v>123.5</v>
      </c>
      <c r="J26" s="68">
        <v>124</v>
      </c>
      <c r="K26" s="68">
        <v>125.5</v>
      </c>
      <c r="L26" s="68">
        <v>128</v>
      </c>
    </row>
    <row r="27" spans="1:12">
      <c r="A27" s="68" t="s">
        <v>232</v>
      </c>
      <c r="B27" s="68">
        <v>32</v>
      </c>
      <c r="C27" s="68">
        <v>94</v>
      </c>
      <c r="D27" s="68">
        <v>95.5</v>
      </c>
      <c r="E27" s="68">
        <v>100</v>
      </c>
      <c r="F27" s="68">
        <v>101</v>
      </c>
      <c r="G27" s="68">
        <v>104</v>
      </c>
      <c r="H27" s="68">
        <v>104</v>
      </c>
      <c r="I27" s="68">
        <v>104</v>
      </c>
      <c r="J27" s="68">
        <v>104.5</v>
      </c>
      <c r="K27" s="68">
        <v>105.5</v>
      </c>
      <c r="L27" s="68">
        <v>106.5</v>
      </c>
    </row>
    <row r="28" spans="1:12">
      <c r="A28" s="68" t="s">
        <v>233</v>
      </c>
      <c r="B28" s="68">
        <v>49</v>
      </c>
      <c r="C28" s="68">
        <v>0</v>
      </c>
      <c r="D28" s="68">
        <v>0</v>
      </c>
      <c r="E28" s="68">
        <v>0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</row>
    <row r="29" spans="1:12">
      <c r="A29" s="68" t="s">
        <v>234</v>
      </c>
      <c r="B29" s="68">
        <v>17.5</v>
      </c>
      <c r="C29" s="68">
        <v>17.5</v>
      </c>
      <c r="D29" s="68">
        <v>18</v>
      </c>
      <c r="E29" s="68">
        <v>18</v>
      </c>
      <c r="F29" s="68">
        <v>17.5</v>
      </c>
      <c r="G29" s="68">
        <v>18</v>
      </c>
      <c r="H29" s="68">
        <v>18</v>
      </c>
      <c r="I29" s="68">
        <v>18.5</v>
      </c>
      <c r="J29" s="68">
        <v>19</v>
      </c>
      <c r="K29" s="68">
        <v>19.5</v>
      </c>
      <c r="L29" s="68">
        <v>20</v>
      </c>
    </row>
    <row r="30" spans="1:12">
      <c r="A30" s="68" t="s">
        <v>235</v>
      </c>
      <c r="B30" s="68">
        <v>42.5</v>
      </c>
      <c r="C30" s="68">
        <v>32</v>
      </c>
      <c r="D30" s="68">
        <v>31.5</v>
      </c>
      <c r="E30" s="68">
        <v>31.5</v>
      </c>
      <c r="F30" s="68">
        <v>30.5</v>
      </c>
      <c r="G30" s="68">
        <v>30.5</v>
      </c>
      <c r="H30" s="68">
        <v>30.5</v>
      </c>
      <c r="I30" s="68">
        <v>30</v>
      </c>
      <c r="J30" s="68">
        <v>29.5</v>
      </c>
      <c r="K30" s="68">
        <v>30</v>
      </c>
      <c r="L30" s="68">
        <v>30</v>
      </c>
    </row>
    <row r="31" spans="1:12">
      <c r="A31" s="68" t="s">
        <v>236</v>
      </c>
      <c r="B31" s="68">
        <v>0.5</v>
      </c>
      <c r="C31" s="68">
        <v>0.5</v>
      </c>
      <c r="D31" s="68">
        <v>0.5</v>
      </c>
      <c r="E31" s="68">
        <v>0.5</v>
      </c>
      <c r="F31" s="68">
        <v>0.5</v>
      </c>
      <c r="G31" s="68">
        <v>0.5</v>
      </c>
      <c r="H31" s="68">
        <v>0.5</v>
      </c>
      <c r="I31" s="68">
        <v>0.5</v>
      </c>
      <c r="J31" s="68">
        <v>0.5</v>
      </c>
      <c r="K31" s="68">
        <v>0.5</v>
      </c>
      <c r="L31" s="68">
        <v>0.5</v>
      </c>
    </row>
    <row r="32" spans="1:12">
      <c r="A32" s="68" t="s">
        <v>237</v>
      </c>
      <c r="B32" s="68">
        <v>10</v>
      </c>
      <c r="C32" s="68">
        <v>8</v>
      </c>
      <c r="D32" s="68">
        <v>8</v>
      </c>
      <c r="E32" s="68">
        <v>8</v>
      </c>
      <c r="F32" s="68">
        <v>8</v>
      </c>
      <c r="G32" s="68">
        <v>8</v>
      </c>
      <c r="H32" s="68">
        <v>8</v>
      </c>
      <c r="I32" s="68">
        <v>8</v>
      </c>
      <c r="J32" s="68">
        <v>8</v>
      </c>
      <c r="K32" s="68">
        <v>8.5</v>
      </c>
      <c r="L32" s="68">
        <v>8.5</v>
      </c>
    </row>
    <row r="33" spans="1:12">
      <c r="A33" s="68" t="s">
        <v>238</v>
      </c>
      <c r="B33" s="68">
        <v>0</v>
      </c>
      <c r="C33" s="68">
        <v>19.5</v>
      </c>
      <c r="D33" s="68">
        <v>19.5</v>
      </c>
      <c r="E33" s="68">
        <v>19.5</v>
      </c>
      <c r="F33" s="68">
        <v>20</v>
      </c>
      <c r="G33" s="68">
        <v>20</v>
      </c>
      <c r="H33" s="68">
        <v>20</v>
      </c>
      <c r="I33" s="68">
        <v>20</v>
      </c>
      <c r="J33" s="68">
        <v>20.5</v>
      </c>
      <c r="K33" s="68">
        <v>19.5</v>
      </c>
      <c r="L33" s="68">
        <v>20</v>
      </c>
    </row>
    <row r="34" spans="1:12">
      <c r="A34" s="68" t="s">
        <v>239</v>
      </c>
      <c r="B34" s="68">
        <v>11</v>
      </c>
      <c r="C34" s="68">
        <v>0</v>
      </c>
      <c r="D34" s="68">
        <v>0</v>
      </c>
      <c r="E34" s="68">
        <v>0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1</v>
      </c>
      <c r="L34" s="68">
        <v>1.5</v>
      </c>
    </row>
    <row r="35" spans="1:12">
      <c r="A35" s="68" t="s">
        <v>240</v>
      </c>
      <c r="B35" s="68">
        <v>33.5</v>
      </c>
      <c r="C35" s="68">
        <v>28</v>
      </c>
      <c r="D35" s="68">
        <v>26.5</v>
      </c>
      <c r="E35" s="68">
        <v>25</v>
      </c>
      <c r="F35" s="68">
        <v>23.5</v>
      </c>
      <c r="G35" s="68">
        <v>23</v>
      </c>
      <c r="H35" s="68">
        <v>22</v>
      </c>
      <c r="I35" s="68">
        <v>21</v>
      </c>
      <c r="J35" s="68">
        <v>21</v>
      </c>
      <c r="K35" s="68">
        <v>20</v>
      </c>
      <c r="L35" s="68">
        <v>20</v>
      </c>
    </row>
    <row r="36" spans="1:12">
      <c r="A36" s="68" t="s">
        <v>241</v>
      </c>
      <c r="B36" s="68">
        <v>93</v>
      </c>
      <c r="C36" s="68">
        <v>83</v>
      </c>
      <c r="D36" s="68">
        <v>82.5</v>
      </c>
      <c r="E36" s="68">
        <v>76.5</v>
      </c>
      <c r="F36" s="68">
        <v>69</v>
      </c>
      <c r="G36" s="68">
        <v>64.5</v>
      </c>
      <c r="H36" s="68">
        <v>64</v>
      </c>
      <c r="I36" s="68">
        <v>63.5</v>
      </c>
      <c r="J36" s="68">
        <v>63.5</v>
      </c>
      <c r="K36" s="68">
        <v>63</v>
      </c>
      <c r="L36" s="68">
        <v>63</v>
      </c>
    </row>
    <row r="37" spans="1:12">
      <c r="A37" s="68" t="s">
        <v>242</v>
      </c>
      <c r="B37" s="68">
        <v>968</v>
      </c>
      <c r="C37" s="68">
        <v>945.5</v>
      </c>
      <c r="D37" s="68">
        <v>942</v>
      </c>
      <c r="E37" s="68">
        <v>939.5</v>
      </c>
      <c r="F37" s="68">
        <v>936.5</v>
      </c>
      <c r="G37" s="68">
        <v>934</v>
      </c>
      <c r="H37" s="68">
        <v>932</v>
      </c>
      <c r="I37" s="68">
        <v>929.5</v>
      </c>
      <c r="J37" s="68">
        <v>928</v>
      </c>
      <c r="K37" s="68">
        <v>927</v>
      </c>
      <c r="L37" s="68">
        <v>925.5</v>
      </c>
    </row>
    <row r="38" spans="1:12">
      <c r="A38" s="68" t="s">
        <v>243</v>
      </c>
      <c r="B38" s="68">
        <v>140.5</v>
      </c>
      <c r="C38" s="68">
        <v>0</v>
      </c>
      <c r="D38" s="68">
        <v>0</v>
      </c>
      <c r="E38" s="68">
        <v>0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</row>
    <row r="39" spans="1:12">
      <c r="A39" s="68" t="s">
        <v>244</v>
      </c>
      <c r="B39" s="68">
        <v>73.5</v>
      </c>
      <c r="C39" s="68">
        <v>106.5</v>
      </c>
      <c r="D39" s="68">
        <v>59.5</v>
      </c>
      <c r="E39" s="68">
        <v>41.5</v>
      </c>
      <c r="F39" s="68">
        <v>32</v>
      </c>
      <c r="G39" s="68">
        <v>26.5</v>
      </c>
      <c r="H39" s="68">
        <v>23</v>
      </c>
      <c r="I39" s="68">
        <v>20.5</v>
      </c>
      <c r="J39" s="68">
        <v>18.5</v>
      </c>
      <c r="K39" s="68">
        <v>16.5</v>
      </c>
      <c r="L39" s="68">
        <v>15.5</v>
      </c>
    </row>
    <row r="40" spans="1:12">
      <c r="A40" s="68" t="s">
        <v>245</v>
      </c>
      <c r="B40" s="68">
        <v>500.5</v>
      </c>
      <c r="C40" s="68">
        <v>500.5</v>
      </c>
      <c r="D40" s="68">
        <v>429</v>
      </c>
      <c r="E40" s="68">
        <v>198.5</v>
      </c>
      <c r="F40" s="68">
        <v>158.5</v>
      </c>
      <c r="G40" s="68">
        <v>0</v>
      </c>
      <c r="H40" s="68">
        <v>0</v>
      </c>
      <c r="I40" s="68">
        <v>0</v>
      </c>
      <c r="J40" s="68">
        <v>0</v>
      </c>
      <c r="K40" s="68">
        <v>0</v>
      </c>
      <c r="L40" s="68">
        <v>0</v>
      </c>
    </row>
    <row r="41" spans="1:12">
      <c r="A41" s="68" t="s">
        <v>246</v>
      </c>
      <c r="B41" s="68">
        <v>1</v>
      </c>
      <c r="C41" s="68">
        <v>0</v>
      </c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</row>
    <row r="42" spans="1:12">
      <c r="A42" s="68" t="s">
        <v>247</v>
      </c>
      <c r="B42" s="68">
        <v>3.5</v>
      </c>
      <c r="C42" s="68">
        <v>2</v>
      </c>
      <c r="D42" s="68">
        <v>2</v>
      </c>
      <c r="E42" s="68">
        <v>2</v>
      </c>
      <c r="F42" s="68">
        <v>1.5</v>
      </c>
      <c r="G42" s="68">
        <v>1.5</v>
      </c>
      <c r="H42" s="68">
        <v>1.5</v>
      </c>
      <c r="I42" s="68">
        <v>1.5</v>
      </c>
      <c r="J42" s="68">
        <v>1.5</v>
      </c>
      <c r="K42" s="68">
        <v>1.5</v>
      </c>
      <c r="L42" s="68">
        <v>1.5</v>
      </c>
    </row>
    <row r="43" spans="1:12">
      <c r="A43" s="68" t="s">
        <v>248</v>
      </c>
      <c r="B43" s="68">
        <v>2</v>
      </c>
      <c r="C43" s="68">
        <v>2</v>
      </c>
      <c r="D43" s="68">
        <v>2</v>
      </c>
      <c r="E43" s="68">
        <v>2</v>
      </c>
      <c r="F43" s="68">
        <v>2</v>
      </c>
      <c r="G43" s="68">
        <v>2</v>
      </c>
      <c r="H43" s="68">
        <v>2</v>
      </c>
      <c r="I43" s="68">
        <v>2</v>
      </c>
      <c r="J43" s="68">
        <v>2</v>
      </c>
      <c r="K43" s="68">
        <v>2</v>
      </c>
      <c r="L43" s="68">
        <v>2</v>
      </c>
    </row>
    <row r="44" spans="1:12">
      <c r="A44" s="68" t="s">
        <v>249</v>
      </c>
      <c r="B44" s="68">
        <v>73</v>
      </c>
      <c r="C44" s="68">
        <v>31</v>
      </c>
      <c r="D44" s="68">
        <v>25</v>
      </c>
      <c r="E44" s="68">
        <v>23</v>
      </c>
      <c r="F44" s="68">
        <v>19.5</v>
      </c>
      <c r="G44" s="68">
        <v>17.5</v>
      </c>
      <c r="H44" s="68">
        <v>15.5</v>
      </c>
      <c r="I44" s="68">
        <v>14.5</v>
      </c>
      <c r="J44" s="68">
        <v>13.5</v>
      </c>
      <c r="K44" s="68">
        <v>13</v>
      </c>
      <c r="L44" s="68">
        <v>12.5</v>
      </c>
    </row>
    <row r="45" spans="1:12">
      <c r="A45" s="68" t="s">
        <v>250</v>
      </c>
      <c r="B45" s="68">
        <v>4.5</v>
      </c>
      <c r="C45" s="68">
        <v>0</v>
      </c>
      <c r="D45" s="68">
        <v>0</v>
      </c>
      <c r="E45" s="68">
        <v>0</v>
      </c>
      <c r="F45" s="68">
        <v>0</v>
      </c>
      <c r="G45" s="68">
        <v>0</v>
      </c>
      <c r="H45" s="68">
        <v>0</v>
      </c>
      <c r="I45" s="68">
        <v>0</v>
      </c>
      <c r="J45" s="68">
        <v>0</v>
      </c>
      <c r="K45" s="68">
        <v>0</v>
      </c>
      <c r="L45" s="68">
        <v>0</v>
      </c>
    </row>
    <row r="46" spans="1:12">
      <c r="A46" s="68" t="s">
        <v>251</v>
      </c>
      <c r="B46" s="68">
        <v>4</v>
      </c>
      <c r="C46" s="68">
        <v>5</v>
      </c>
      <c r="D46" s="68">
        <v>5</v>
      </c>
      <c r="E46" s="68">
        <v>5.5</v>
      </c>
      <c r="F46" s="68">
        <v>4.5</v>
      </c>
      <c r="G46" s="68">
        <v>5</v>
      </c>
      <c r="H46" s="68">
        <v>5</v>
      </c>
      <c r="I46" s="68">
        <v>5</v>
      </c>
      <c r="J46" s="68">
        <v>5</v>
      </c>
      <c r="K46" s="68">
        <v>5</v>
      </c>
      <c r="L46" s="68">
        <v>5</v>
      </c>
    </row>
    <row r="47" spans="1:12">
      <c r="A47" s="68" t="s">
        <v>252</v>
      </c>
      <c r="B47" s="68">
        <v>3</v>
      </c>
      <c r="C47" s="68">
        <v>3</v>
      </c>
      <c r="D47" s="68">
        <v>3</v>
      </c>
      <c r="E47" s="68">
        <v>3</v>
      </c>
      <c r="F47" s="68">
        <v>3</v>
      </c>
      <c r="G47" s="68">
        <v>3</v>
      </c>
      <c r="H47" s="68">
        <v>3</v>
      </c>
      <c r="I47" s="68">
        <v>3</v>
      </c>
      <c r="J47" s="68">
        <v>3</v>
      </c>
      <c r="K47" s="68">
        <v>3</v>
      </c>
      <c r="L47" s="68">
        <v>3</v>
      </c>
    </row>
    <row r="48" spans="1:12">
      <c r="A48" s="68" t="s">
        <v>253</v>
      </c>
      <c r="B48" s="68">
        <v>137.5</v>
      </c>
      <c r="C48" s="68">
        <v>137.5</v>
      </c>
      <c r="D48" s="68">
        <v>137.5</v>
      </c>
      <c r="E48" s="68">
        <v>125.5</v>
      </c>
      <c r="F48" s="68">
        <v>125</v>
      </c>
      <c r="G48" s="68">
        <v>122.5</v>
      </c>
      <c r="H48" s="68">
        <v>122.5</v>
      </c>
      <c r="I48" s="68">
        <v>122.5</v>
      </c>
      <c r="J48" s="68">
        <v>122.5</v>
      </c>
      <c r="K48" s="68">
        <v>122.5</v>
      </c>
      <c r="L48" s="68">
        <v>122.5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EN_Tracteurs AME</vt:lpstr>
      <vt:lpstr>EN_Hyp MOSUT</vt:lpstr>
      <vt:lpstr>BI_bioenergies AME</vt:lpstr>
      <vt:lpstr>BI_valo biomasse</vt:lpstr>
      <vt:lpstr>AL_alimentationAME</vt:lpstr>
      <vt:lpstr>AL_régimes article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CHAIGNEAU Yanis</cp:lastModifiedBy>
  <dcterms:created xsi:type="dcterms:W3CDTF">2022-10-05T17:46:22Z</dcterms:created>
  <dcterms:modified xsi:type="dcterms:W3CDTF">2023-03-02T15:17:10Z</dcterms:modified>
</cp:coreProperties>
</file>