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showInkAnnotation="0" codeName="ThisWorkbook" defaultThemeVersion="164011"/>
  <mc:AlternateContent xmlns:mc="http://schemas.openxmlformats.org/markup-compatibility/2006">
    <mc:Choice Requires="x15">
      <x15ac:absPath xmlns:x15ac="http://schemas.microsoft.com/office/spreadsheetml/2010/11/ac" url="L:\4_Inventaires d'émissions, prospective et évaluation\42_Prospective\421_Scénarios prospectifs DGEC\4215_Scénarios 2023\00 - Docs essentiels RUN2 AME\Pour RESANA\006_Déchets et gaz F (reprise SNBC2)\"/>
    </mc:Choice>
  </mc:AlternateContent>
  <bookViews>
    <workbookView xWindow="0" yWindow="0" windowWidth="23040" windowHeight="8616" tabRatio="853" firstSheet="1" activeTab="5"/>
  </bookViews>
  <sheets>
    <sheet name="Prov prévention" sheetId="38" state="hidden" r:id="rId1"/>
    <sheet name="2015" sheetId="3" r:id="rId2"/>
    <sheet name="AME 2023" sheetId="44" r:id="rId3"/>
    <sheet name="Production énergétique" sheetId="46" r:id="rId4"/>
    <sheet name="TraitementAME" sheetId="47" r:id="rId5"/>
    <sheet name="Citepa" sheetId="48" r:id="rId6"/>
  </sheets>
  <calcPr calcId="162913"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 i="47" l="1"/>
  <c r="E35" i="47" l="1"/>
  <c r="D35" i="47"/>
  <c r="C35" i="47"/>
  <c r="E23" i="47"/>
  <c r="D23" i="47"/>
  <c r="C158" i="44"/>
  <c r="E27" i="47"/>
  <c r="D27" i="47"/>
  <c r="C27" i="47"/>
  <c r="E15" i="47"/>
  <c r="D15" i="47"/>
  <c r="C15" i="47"/>
  <c r="C4" i="47"/>
  <c r="J57" i="44" l="1"/>
  <c r="E11" i="47" l="1"/>
  <c r="E3" i="47"/>
  <c r="D11" i="47"/>
  <c r="D3" i="47"/>
  <c r="C11" i="47"/>
  <c r="C3" i="47"/>
  <c r="D9" i="47"/>
  <c r="F9" i="47"/>
  <c r="H60" i="44"/>
  <c r="H59" i="44"/>
  <c r="H58" i="44"/>
  <c r="H68" i="44"/>
  <c r="H67" i="44"/>
  <c r="H65" i="44"/>
  <c r="C171" i="44"/>
  <c r="G35" i="47"/>
  <c r="G23" i="47"/>
  <c r="G11" i="47"/>
  <c r="H33" i="47"/>
  <c r="H21" i="47"/>
  <c r="H9" i="47"/>
  <c r="H35" i="47"/>
  <c r="H23" i="47"/>
  <c r="H11" i="47"/>
  <c r="K6" i="48"/>
  <c r="K5" i="48" l="1"/>
  <c r="K4" i="48" l="1"/>
  <c r="E18" i="48"/>
  <c r="D17" i="48"/>
  <c r="K3" i="48" l="1"/>
  <c r="I5" i="48"/>
  <c r="I6" i="48"/>
  <c r="I4" i="48"/>
  <c r="I3" i="48"/>
  <c r="F33" i="47"/>
  <c r="E33" i="47"/>
  <c r="D33" i="47"/>
  <c r="C31" i="47"/>
  <c r="J31" i="47" s="1"/>
  <c r="E30" i="47"/>
  <c r="D30" i="47"/>
  <c r="C30" i="47"/>
  <c r="C28" i="47"/>
  <c r="J28" i="47" s="1"/>
  <c r="F27" i="47"/>
  <c r="J23" i="47"/>
  <c r="F21" i="47"/>
  <c r="E21" i="47"/>
  <c r="D21" i="47"/>
  <c r="C21" i="47"/>
  <c r="C19" i="47"/>
  <c r="J19" i="47" s="1"/>
  <c r="E18" i="47"/>
  <c r="D18" i="47"/>
  <c r="C18" i="47"/>
  <c r="C16" i="47"/>
  <c r="J16" i="47" s="1"/>
  <c r="F15" i="47"/>
  <c r="J11" i="47"/>
  <c r="E9" i="47"/>
  <c r="C9" i="47"/>
  <c r="C7" i="47"/>
  <c r="J7" i="47" s="1"/>
  <c r="E6" i="47"/>
  <c r="D6" i="47"/>
  <c r="C6" i="47"/>
  <c r="J4" i="47"/>
  <c r="F3" i="47"/>
  <c r="J18" i="47" l="1"/>
  <c r="J27" i="47"/>
  <c r="E3" i="48" s="1"/>
  <c r="J3" i="47"/>
  <c r="J21" i="47"/>
  <c r="D6" i="48" s="1"/>
  <c r="J6" i="47"/>
  <c r="J30" i="47"/>
  <c r="E4" i="48" s="1"/>
  <c r="D5" i="48"/>
  <c r="J15" i="47"/>
  <c r="D3" i="48" s="1"/>
  <c r="J9" i="47"/>
  <c r="D4" i="48"/>
  <c r="C6" i="48" l="1"/>
  <c r="J6" i="48" s="1"/>
  <c r="L6" i="48" s="1"/>
  <c r="D20" i="48" l="1"/>
  <c r="H124" i="44"/>
  <c r="H106" i="44"/>
  <c r="H117" i="44"/>
  <c r="H104" i="44"/>
  <c r="H102" i="44"/>
  <c r="C34" i="44"/>
  <c r="C5" i="48" l="1"/>
  <c r="J5" i="48" l="1"/>
  <c r="L5" i="48" s="1"/>
  <c r="D19" i="48"/>
  <c r="C4" i="48"/>
  <c r="C3" i="48"/>
  <c r="J3" i="48" l="1"/>
  <c r="L3" i="48" s="1"/>
  <c r="E17" i="48"/>
  <c r="J4" i="48"/>
  <c r="L4" i="48" s="1"/>
  <c r="D18" i="48"/>
  <c r="J25" i="44" l="1"/>
  <c r="C169" i="44"/>
  <c r="B214" i="44" l="1"/>
  <c r="B215" i="44"/>
  <c r="B213" i="44"/>
  <c r="C177" i="44"/>
  <c r="C178" i="44"/>
  <c r="K144" i="44"/>
  <c r="J140" i="44"/>
  <c r="J141" i="44"/>
  <c r="K136" i="44"/>
  <c r="K139" i="44" s="1"/>
  <c r="J136" i="44"/>
  <c r="J142" i="44" s="1"/>
  <c r="C140" i="44"/>
  <c r="C141" i="44"/>
  <c r="C142" i="44"/>
  <c r="C143" i="44"/>
  <c r="C144" i="44"/>
  <c r="C139" i="44"/>
  <c r="J138" i="44"/>
  <c r="K138" i="44"/>
  <c r="K137" i="44"/>
  <c r="J137" i="44"/>
  <c r="C145" i="44" l="1"/>
  <c r="J139" i="44"/>
  <c r="K142" i="44"/>
  <c r="J144" i="44"/>
  <c r="K141" i="44"/>
  <c r="J143" i="44"/>
  <c r="K140" i="44"/>
  <c r="K143" i="44"/>
  <c r="C58" i="44" l="1"/>
  <c r="C57" i="44"/>
  <c r="C62" i="44" s="1"/>
  <c r="C45" i="44"/>
  <c r="K23" i="44"/>
  <c r="J23" i="44"/>
  <c r="K22" i="44"/>
  <c r="J22" i="44"/>
  <c r="K21" i="44"/>
  <c r="C61" i="44" l="1"/>
  <c r="J169" i="44"/>
  <c r="C285" i="44" l="1"/>
  <c r="C288" i="44" s="1"/>
  <c r="B284" i="44"/>
  <c r="C157" i="44" l="1"/>
  <c r="C160" i="44" s="1"/>
  <c r="C152" i="44"/>
  <c r="D92" i="44"/>
  <c r="C153" i="44" l="1"/>
  <c r="C179" i="44" s="1"/>
  <c r="C180" i="44"/>
  <c r="C159" i="44"/>
  <c r="C172" i="44"/>
  <c r="C174" i="44" s="1"/>
  <c r="C154" i="44"/>
  <c r="C156" i="44"/>
  <c r="B283" i="44" l="1"/>
  <c r="C176" i="44"/>
  <c r="C175" i="44" s="1"/>
  <c r="C93" i="44" l="1"/>
  <c r="B282" i="44" s="1"/>
  <c r="B285" i="44" s="1"/>
  <c r="K9" i="44" l="1"/>
  <c r="J9" i="44"/>
  <c r="J12" i="44" l="1"/>
  <c r="F214" i="44" l="1"/>
  <c r="J80" i="44"/>
  <c r="K80" i="44"/>
  <c r="K26" i="44"/>
  <c r="J26" i="44"/>
  <c r="K25" i="44"/>
  <c r="K24" i="44"/>
  <c r="J24" i="44"/>
  <c r="J21" i="44"/>
  <c r="K18" i="44"/>
  <c r="K15" i="44"/>
  <c r="K16" i="44" s="1"/>
  <c r="J15" i="44"/>
  <c r="J17" i="44" s="1"/>
  <c r="E215" i="44" l="1"/>
  <c r="E212" i="44" s="1"/>
  <c r="F215" i="44"/>
  <c r="F212" i="44" s="1"/>
  <c r="J91" i="44"/>
  <c r="J85" i="44"/>
  <c r="K17" i="44"/>
  <c r="K10" i="44"/>
  <c r="K89" i="44"/>
  <c r="K85" i="44"/>
  <c r="K82" i="44"/>
  <c r="K91" i="44"/>
  <c r="K88" i="44"/>
  <c r="K84" i="44"/>
  <c r="K86" i="44"/>
  <c r="K83" i="44"/>
  <c r="K90" i="44"/>
  <c r="K87" i="44"/>
  <c r="K81" i="44"/>
  <c r="K145" i="44"/>
  <c r="J81" i="44"/>
  <c r="J82" i="44"/>
  <c r="J83" i="44"/>
  <c r="J84" i="44"/>
  <c r="J86" i="44"/>
  <c r="J87" i="44"/>
  <c r="J88" i="44"/>
  <c r="J89" i="44"/>
  <c r="J90" i="44"/>
  <c r="K20" i="44"/>
  <c r="J18" i="44"/>
  <c r="J19" i="44" s="1"/>
  <c r="K19" i="44"/>
  <c r="J16" i="44"/>
  <c r="J14" i="44"/>
  <c r="K11" i="44"/>
  <c r="K12" i="44"/>
  <c r="K14" i="44" s="1"/>
  <c r="J11" i="44"/>
  <c r="K33" i="44" l="1"/>
  <c r="J31" i="44"/>
  <c r="E31" i="44" s="1"/>
  <c r="F33" i="44"/>
  <c r="J92" i="44"/>
  <c r="J105" i="44" s="1"/>
  <c r="K49" i="44"/>
  <c r="D8" i="46" s="1"/>
  <c r="D9" i="46" s="1"/>
  <c r="K46" i="44"/>
  <c r="J20" i="44"/>
  <c r="J33" i="44" s="1"/>
  <c r="J10" i="44"/>
  <c r="K92" i="44"/>
  <c r="K13" i="44"/>
  <c r="K32" i="44" s="1"/>
  <c r="K31" i="44"/>
  <c r="F31" i="44" s="1"/>
  <c r="J13" i="44"/>
  <c r="J107" i="44" l="1"/>
  <c r="J106" i="44"/>
  <c r="J49" i="44"/>
  <c r="C8" i="46" s="1"/>
  <c r="C9" i="46" s="1"/>
  <c r="J46" i="44"/>
  <c r="J32" i="44"/>
  <c r="J34" i="44" s="1"/>
  <c r="K177" i="44"/>
  <c r="K152" i="44"/>
  <c r="K157" i="44"/>
  <c r="K169" i="44"/>
  <c r="K170" i="44"/>
  <c r="K178" i="44"/>
  <c r="K158" i="44"/>
  <c r="K153" i="44"/>
  <c r="K34" i="44"/>
  <c r="K64" i="44"/>
  <c r="K53" i="44"/>
  <c r="K55" i="44" s="1"/>
  <c r="K57" i="44"/>
  <c r="J35" i="47" s="1"/>
  <c r="E5" i="48" s="1"/>
  <c r="E19" i="48" s="1"/>
  <c r="K52" i="44"/>
  <c r="K51" i="44"/>
  <c r="K116" i="44"/>
  <c r="K123" i="44"/>
  <c r="K128" i="44"/>
  <c r="K105" i="44"/>
  <c r="K101" i="44"/>
  <c r="K42" i="44"/>
  <c r="F32" i="44"/>
  <c r="J52" i="44"/>
  <c r="J53" i="44"/>
  <c r="J55" i="44" s="1"/>
  <c r="J64" i="44"/>
  <c r="E33" i="44"/>
  <c r="J51" i="44"/>
  <c r="K47" i="44"/>
  <c r="K59" i="44"/>
  <c r="K66" i="44"/>
  <c r="K48" i="44"/>
  <c r="K50" i="44"/>
  <c r="J116" i="44"/>
  <c r="J123" i="44"/>
  <c r="J128" i="44"/>
  <c r="J101" i="44"/>
  <c r="J47" i="44" l="1"/>
  <c r="J66" i="44"/>
  <c r="K159" i="44"/>
  <c r="K160" i="44"/>
  <c r="E32" i="44"/>
  <c r="J152" i="44"/>
  <c r="J177" i="44"/>
  <c r="J157" i="44"/>
  <c r="J170" i="44"/>
  <c r="J158" i="44"/>
  <c r="J153" i="44"/>
  <c r="J178" i="44"/>
  <c r="K155" i="44"/>
  <c r="K156" i="44" s="1"/>
  <c r="K154" i="44"/>
  <c r="J42" i="44"/>
  <c r="K54" i="44"/>
  <c r="K56" i="44"/>
  <c r="K60" i="44" s="1"/>
  <c r="J59" i="44"/>
  <c r="J48" i="44"/>
  <c r="K107" i="44"/>
  <c r="K125" i="44" s="1"/>
  <c r="K106" i="44"/>
  <c r="K118" i="44" s="1"/>
  <c r="J50" i="44"/>
  <c r="K104" i="44"/>
  <c r="K103" i="44"/>
  <c r="K102" i="44"/>
  <c r="J104" i="44"/>
  <c r="J103" i="44"/>
  <c r="J102" i="44"/>
  <c r="J125" i="44"/>
  <c r="J118" i="44"/>
  <c r="J56" i="44"/>
  <c r="J54" i="44"/>
  <c r="K45" i="44"/>
  <c r="K44" i="44"/>
  <c r="K43" i="44"/>
  <c r="J159" i="44" l="1"/>
  <c r="J160" i="44"/>
  <c r="K179" i="44"/>
  <c r="K171" i="44"/>
  <c r="K172" i="44"/>
  <c r="K180" i="44"/>
  <c r="J155" i="44"/>
  <c r="J156" i="44" s="1"/>
  <c r="J154" i="44"/>
  <c r="J45" i="44"/>
  <c r="J65" i="44" s="1"/>
  <c r="J44" i="44"/>
  <c r="J43" i="44"/>
  <c r="K67" i="44"/>
  <c r="J117" i="44"/>
  <c r="J124" i="44"/>
  <c r="K117" i="44"/>
  <c r="K124" i="44"/>
  <c r="K190" i="44"/>
  <c r="K58" i="44"/>
  <c r="K65" i="44"/>
  <c r="J67" i="44"/>
  <c r="J60" i="44"/>
  <c r="K191" i="44" l="1"/>
  <c r="K203" i="44"/>
  <c r="J190" i="44"/>
  <c r="J191" i="44" s="1"/>
  <c r="K174" i="44"/>
  <c r="K176" i="44"/>
  <c r="K175" i="44" s="1"/>
  <c r="J179" i="44"/>
  <c r="J171" i="44"/>
  <c r="J180" i="44"/>
  <c r="J172" i="44"/>
  <c r="J58" i="44"/>
  <c r="K193" i="44"/>
  <c r="D10" i="46"/>
  <c r="D11" i="46" s="1"/>
  <c r="D12" i="46" s="1"/>
  <c r="K194" i="44"/>
  <c r="K202" i="44"/>
  <c r="K201" i="44"/>
  <c r="K200" i="44"/>
  <c r="K121" i="44"/>
  <c r="K122" i="44"/>
  <c r="K120" i="44"/>
  <c r="K127" i="44"/>
  <c r="J120" i="44"/>
  <c r="J127" i="44"/>
  <c r="J122" i="44"/>
  <c r="J121" i="44"/>
  <c r="K62" i="44"/>
  <c r="K63" i="44"/>
  <c r="K68" i="44" s="1"/>
  <c r="C33" i="47" s="1"/>
  <c r="J33" i="47" s="1"/>
  <c r="E6" i="48" s="1"/>
  <c r="E20" i="48" s="1"/>
  <c r="K61" i="44"/>
  <c r="J61" i="44" l="1"/>
  <c r="J62" i="44"/>
  <c r="J193" i="44"/>
  <c r="J200" i="44"/>
  <c r="J203" i="44"/>
  <c r="J202" i="44"/>
  <c r="C10" i="46"/>
  <c r="C11" i="46" s="1"/>
  <c r="C12" i="46" s="1"/>
  <c r="J194" i="44"/>
  <c r="J201" i="44"/>
  <c r="K182" i="44"/>
  <c r="J176" i="44"/>
  <c r="J175" i="44" s="1"/>
  <c r="J174" i="44"/>
  <c r="J63" i="44"/>
  <c r="J68" i="44" s="1"/>
  <c r="J182" i="44" l="1"/>
  <c r="F15" i="38"/>
  <c r="G15" i="38"/>
  <c r="G17" i="38" s="1"/>
  <c r="H15" i="38"/>
  <c r="H17" i="38" s="1"/>
  <c r="F16" i="38"/>
  <c r="G16" i="38"/>
  <c r="H16" i="38"/>
  <c r="F17" i="38"/>
  <c r="E15" i="38"/>
  <c r="E16" i="38" s="1"/>
  <c r="E13" i="38"/>
  <c r="F12" i="38"/>
  <c r="F13" i="38" s="1"/>
  <c r="G12" i="38"/>
  <c r="G14" i="38" s="1"/>
  <c r="H12" i="38"/>
  <c r="H13" i="38" s="1"/>
  <c r="E12" i="38"/>
  <c r="E14" i="38" s="1"/>
  <c r="H9" i="38"/>
  <c r="G9" i="38"/>
  <c r="F9" i="38"/>
  <c r="E9" i="38"/>
  <c r="F6" i="38"/>
  <c r="G6" i="38"/>
  <c r="H6" i="38"/>
  <c r="E6" i="38"/>
  <c r="F14" i="38" l="1"/>
  <c r="H14" i="38"/>
  <c r="E17" i="38"/>
  <c r="G13" i="38"/>
  <c r="N116" i="3"/>
  <c r="N115" i="3"/>
  <c r="Q119" i="3" s="1"/>
  <c r="U119" i="3" l="1"/>
  <c r="O116" i="3"/>
  <c r="Q116" i="3"/>
  <c r="U116" i="3"/>
  <c r="U115" i="3"/>
  <c r="Q115" i="3"/>
  <c r="P124" i="3"/>
  <c r="P34" i="3"/>
  <c r="O115" i="3"/>
  <c r="X127" i="3"/>
  <c r="X122" i="3"/>
  <c r="X118" i="3"/>
  <c r="X91" i="3"/>
  <c r="X86" i="3"/>
  <c r="X82" i="3"/>
  <c r="X32" i="3"/>
  <c r="X37" i="3"/>
  <c r="U28" i="3"/>
  <c r="X28" i="3" s="1"/>
  <c r="E107" i="3"/>
  <c r="D109" i="3" s="1"/>
  <c r="D96" i="3"/>
  <c r="D95" i="3"/>
  <c r="H94" i="3"/>
  <c r="H93" i="3"/>
  <c r="H92" i="3"/>
  <c r="H91" i="3"/>
  <c r="H90" i="3"/>
  <c r="E90" i="3"/>
  <c r="D90" i="3" s="1"/>
  <c r="D71" i="3"/>
  <c r="D56" i="3"/>
  <c r="E64" i="3" s="1"/>
  <c r="D49" i="3"/>
  <c r="J43" i="3"/>
  <c r="I43" i="3"/>
  <c r="E52" i="3" s="1"/>
  <c r="E39" i="3"/>
  <c r="H39" i="3" s="1"/>
  <c r="E37" i="3"/>
  <c r="H37" i="3" s="1"/>
  <c r="E35" i="3"/>
  <c r="E33" i="3"/>
  <c r="H33" i="3" s="1"/>
  <c r="E31" i="3"/>
  <c r="H31" i="3" s="1"/>
  <c r="E29" i="3"/>
  <c r="E27" i="3"/>
  <c r="H27" i="3" s="1"/>
  <c r="E25" i="3"/>
  <c r="H25" i="3" s="1"/>
  <c r="K15" i="3"/>
  <c r="K11" i="3" s="1"/>
  <c r="H13" i="3"/>
  <c r="H8" i="3"/>
  <c r="X115" i="3" l="1"/>
  <c r="N80" i="3"/>
  <c r="Q83" i="3" s="1"/>
  <c r="V80" i="3"/>
  <c r="Q120" i="3"/>
  <c r="Q125" i="3" s="1"/>
  <c r="U120" i="3"/>
  <c r="O124" i="3"/>
  <c r="X124" i="3" s="1"/>
  <c r="N26" i="3"/>
  <c r="O26" i="3"/>
  <c r="U30" i="3" s="1"/>
  <c r="D9" i="3"/>
  <c r="N123" i="3"/>
  <c r="X116" i="3"/>
  <c r="X114" i="3"/>
  <c r="O80" i="3"/>
  <c r="Q84" i="3" s="1"/>
  <c r="Q80" i="3"/>
  <c r="U80" i="3"/>
  <c r="D110" i="3"/>
  <c r="D88" i="3"/>
  <c r="E88" i="3" s="1"/>
  <c r="D111" i="3"/>
  <c r="D75" i="3"/>
  <c r="D78" i="3"/>
  <c r="Q26" i="3"/>
  <c r="D11" i="3"/>
  <c r="E49" i="3"/>
  <c r="D76" i="3"/>
  <c r="D79" i="3"/>
  <c r="D83" i="3"/>
  <c r="K12" i="3"/>
  <c r="D82" i="3"/>
  <c r="U26" i="3"/>
  <c r="E65" i="3"/>
  <c r="D8" i="3"/>
  <c r="D21" i="3"/>
  <c r="D31" i="3" s="1"/>
  <c r="H29" i="3"/>
  <c r="H35" i="3"/>
  <c r="H50" i="3"/>
  <c r="E58" i="3"/>
  <c r="E62" i="3"/>
  <c r="D77" i="3"/>
  <c r="D80" i="3"/>
  <c r="D84" i="3"/>
  <c r="E48" i="3"/>
  <c r="E61" i="3"/>
  <c r="E51" i="3"/>
  <c r="E59" i="3"/>
  <c r="E63" i="3"/>
  <c r="D74" i="3"/>
  <c r="D81" i="3"/>
  <c r="E50" i="3"/>
  <c r="H49" i="3"/>
  <c r="E60" i="3"/>
  <c r="X120" i="3" l="1"/>
  <c r="U121" i="3"/>
  <c r="U85" i="3"/>
  <c r="U83" i="3"/>
  <c r="U126" i="3"/>
  <c r="X126" i="3" s="1"/>
  <c r="Y125" i="3" s="1"/>
  <c r="N87" i="3"/>
  <c r="X125" i="3"/>
  <c r="Q123" i="3"/>
  <c r="X123" i="3" s="1"/>
  <c r="U84" i="3"/>
  <c r="O88" i="3"/>
  <c r="X88" i="3" s="1"/>
  <c r="X80" i="3"/>
  <c r="Q29" i="3"/>
  <c r="Q35" i="3" s="1"/>
  <c r="N33" i="3"/>
  <c r="U29" i="3"/>
  <c r="U36" i="3" s="1"/>
  <c r="Q89" i="3"/>
  <c r="X89" i="3" s="1"/>
  <c r="Y87" i="3" s="1"/>
  <c r="Q87" i="3"/>
  <c r="Q30" i="3"/>
  <c r="O34" i="3"/>
  <c r="X34" i="3" s="1"/>
  <c r="D15" i="3"/>
  <c r="D16" i="3"/>
  <c r="X26" i="3"/>
  <c r="J44" i="3"/>
  <c r="D10" i="3"/>
  <c r="D12" i="3" s="1"/>
  <c r="D39" i="3"/>
  <c r="D27" i="3"/>
  <c r="D33" i="3"/>
  <c r="H7" i="3"/>
  <c r="Y84" i="3"/>
  <c r="D37" i="3"/>
  <c r="I44" i="3"/>
  <c r="D29" i="3"/>
  <c r="D35" i="3"/>
  <c r="D25" i="3"/>
  <c r="U90" i="3" l="1"/>
  <c r="X90" i="3" s="1"/>
  <c r="X87" i="3"/>
  <c r="U31" i="3"/>
  <c r="X84" i="3"/>
  <c r="X36" i="3"/>
  <c r="X30" i="3"/>
  <c r="Q33" i="3"/>
  <c r="X33" i="3" s="1"/>
  <c r="X35" i="3"/>
  <c r="Y86" i="3"/>
  <c r="Y124" i="3" l="1"/>
  <c r="J145" i="44" l="1"/>
</calcChain>
</file>

<file path=xl/comments1.xml><?xml version="1.0" encoding="utf-8"?>
<comments xmlns="http://schemas.openxmlformats.org/spreadsheetml/2006/main">
  <authors>
    <author>Vincent Mazin</author>
  </authors>
  <commentList>
    <comment ref="E3" authorId="0" shapeId="0">
      <text>
        <r>
          <rPr>
            <b/>
            <sz val="9"/>
            <color indexed="81"/>
            <rFont val="Tahoma"/>
            <family val="2"/>
          </rPr>
          <t>Vincent Mazin:</t>
        </r>
        <r>
          <rPr>
            <sz val="9"/>
            <color indexed="81"/>
            <rFont val="Tahoma"/>
            <family val="2"/>
          </rPr>
          <t xml:space="preserve">
industrie
</t>
        </r>
      </text>
    </comment>
    <comment ref="F3" authorId="0" shapeId="0">
      <text>
        <r>
          <rPr>
            <b/>
            <sz val="9"/>
            <color indexed="81"/>
            <rFont val="Tahoma"/>
            <family val="2"/>
          </rPr>
          <t>Vincent Mazin:</t>
        </r>
        <r>
          <rPr>
            <sz val="9"/>
            <color indexed="81"/>
            <rFont val="Tahoma"/>
            <family val="2"/>
          </rPr>
          <t xml:space="preserve">
tertiaire
</t>
        </r>
      </text>
    </comment>
    <comment ref="E15" authorId="0" shapeId="0">
      <text>
        <r>
          <rPr>
            <b/>
            <sz val="9"/>
            <color indexed="81"/>
            <rFont val="Tahoma"/>
            <family val="2"/>
          </rPr>
          <t>Vincent Mazin:</t>
        </r>
        <r>
          <rPr>
            <sz val="9"/>
            <color indexed="81"/>
            <rFont val="Tahoma"/>
            <family val="2"/>
          </rPr>
          <t xml:space="preserve">
industrie
</t>
        </r>
      </text>
    </comment>
    <comment ref="F15" authorId="0" shapeId="0">
      <text>
        <r>
          <rPr>
            <b/>
            <sz val="9"/>
            <color indexed="81"/>
            <rFont val="Tahoma"/>
            <family val="2"/>
          </rPr>
          <t>Vincent Mazin:</t>
        </r>
        <r>
          <rPr>
            <sz val="9"/>
            <color indexed="81"/>
            <rFont val="Tahoma"/>
            <family val="2"/>
          </rPr>
          <t xml:space="preserve">
tertiaire
</t>
        </r>
      </text>
    </comment>
    <comment ref="E27" authorId="0" shapeId="0">
      <text>
        <r>
          <rPr>
            <b/>
            <sz val="9"/>
            <color indexed="81"/>
            <rFont val="Tahoma"/>
            <family val="2"/>
          </rPr>
          <t>Vincent Mazin:</t>
        </r>
        <r>
          <rPr>
            <sz val="9"/>
            <color indexed="81"/>
            <rFont val="Tahoma"/>
            <family val="2"/>
          </rPr>
          <t xml:space="preserve">
industrie
</t>
        </r>
      </text>
    </comment>
    <comment ref="F27" authorId="0" shapeId="0">
      <text>
        <r>
          <rPr>
            <b/>
            <sz val="9"/>
            <color indexed="81"/>
            <rFont val="Tahoma"/>
            <family val="2"/>
          </rPr>
          <t>Vincent Mazin:</t>
        </r>
        <r>
          <rPr>
            <sz val="9"/>
            <color indexed="81"/>
            <rFont val="Tahoma"/>
            <family val="2"/>
          </rPr>
          <t xml:space="preserve">
tertiaire
</t>
        </r>
      </text>
    </comment>
  </commentList>
</comments>
</file>

<file path=xl/sharedStrings.xml><?xml version="1.0" encoding="utf-8"?>
<sst xmlns="http://schemas.openxmlformats.org/spreadsheetml/2006/main" count="746" uniqueCount="333">
  <si>
    <t>Déchets putrescibles……….</t>
  </si>
  <si>
    <t>Plastiques………………………..</t>
  </si>
  <si>
    <t>Papiers……………………………..</t>
  </si>
  <si>
    <t>Verres………………………………</t>
  </si>
  <si>
    <t>Textiles sanitaires……………</t>
  </si>
  <si>
    <t>Cartons…………………………….</t>
  </si>
  <si>
    <t>Métaux…………………………….</t>
  </si>
  <si>
    <t>Autres………………………………</t>
  </si>
  <si>
    <t>cs = collectes séparées</t>
  </si>
  <si>
    <t>mel = collectes en mélange (OMR)</t>
  </si>
  <si>
    <t>OMR</t>
  </si>
  <si>
    <t>CS</t>
  </si>
  <si>
    <t>kt</t>
  </si>
  <si>
    <t>Mhab</t>
  </si>
  <si>
    <t>OMR/hab</t>
  </si>
  <si>
    <t>CS/hab</t>
  </si>
  <si>
    <t>OMA/hab</t>
  </si>
  <si>
    <t>déchèterie/hab</t>
  </si>
  <si>
    <t>Total déchets/hab</t>
  </si>
  <si>
    <t>Année de référence</t>
  </si>
  <si>
    <t>kg/hab</t>
  </si>
  <si>
    <t>Population métropolitaine</t>
  </si>
  <si>
    <t>Composition OMA MODECOM 2017</t>
  </si>
  <si>
    <t>UVE</t>
  </si>
  <si>
    <t>Valorisation organique</t>
  </si>
  <si>
    <t>ISDND</t>
  </si>
  <si>
    <t>CSR</t>
  </si>
  <si>
    <t>Répartition du traitement des OMA</t>
  </si>
  <si>
    <t>ISDI</t>
  </si>
  <si>
    <t>Filières REP</t>
  </si>
  <si>
    <t>Valorisation énergétique</t>
  </si>
  <si>
    <t>Fractions à ventiler</t>
  </si>
  <si>
    <t>Emb, JRM</t>
  </si>
  <si>
    <t>Textiles, L C</t>
  </si>
  <si>
    <t>Potentiel de valorisation des OMR</t>
  </si>
  <si>
    <t>Potentiel évitable sur les OMA</t>
  </si>
  <si>
    <t>Tonnage concerné</t>
  </si>
  <si>
    <t>Réduction papiers impression</t>
  </si>
  <si>
    <t>Produits avec moins d'emb.</t>
  </si>
  <si>
    <t>Compostage dom/partagé</t>
  </si>
  <si>
    <t>Consigne  réemploi verre</t>
  </si>
  <si>
    <t>Réduction des imprimés</t>
  </si>
  <si>
    <t>Recours couches lavables</t>
  </si>
  <si>
    <t>Réemploi TLC</t>
  </si>
  <si>
    <t>Réduc. sacs usage unique</t>
  </si>
  <si>
    <t>Conséquences</t>
  </si>
  <si>
    <t>Part de MO</t>
  </si>
  <si>
    <t>Part plastiques</t>
  </si>
  <si>
    <t>Part pap/cart</t>
  </si>
  <si>
    <t>PCI</t>
  </si>
  <si>
    <t>Stockage</t>
  </si>
  <si>
    <t>Composition déchèteries MODECOM 2017</t>
  </si>
  <si>
    <t>OMA</t>
  </si>
  <si>
    <t>Déchèteries</t>
  </si>
  <si>
    <t>Déchets verts</t>
  </si>
  <si>
    <t>Encombrants, tout venant</t>
  </si>
  <si>
    <t>Déblais, gravats</t>
  </si>
  <si>
    <t>Déchets de bois</t>
  </si>
  <si>
    <t>Déchets métalliques</t>
  </si>
  <si>
    <t>Mobilier</t>
  </si>
  <si>
    <t>DEE</t>
  </si>
  <si>
    <t>Papiers , cartons</t>
  </si>
  <si>
    <t>Déchets dangereux</t>
  </si>
  <si>
    <t>Plastiques</t>
  </si>
  <si>
    <t>Autres déchets</t>
  </si>
  <si>
    <t>Répartition du traitement des déchets en déchèteries</t>
  </si>
  <si>
    <t>Déchets du bâtiment</t>
  </si>
  <si>
    <t>Devenir des plastiques</t>
  </si>
  <si>
    <t>recyclage</t>
  </si>
  <si>
    <t>recyclage chimique</t>
  </si>
  <si>
    <t>%</t>
  </si>
  <si>
    <t>tonnages</t>
  </si>
  <si>
    <t>XX Mt</t>
  </si>
  <si>
    <t>PIB</t>
  </si>
  <si>
    <t>Production de déchets des entreprises</t>
  </si>
  <si>
    <t>Bâtiment</t>
  </si>
  <si>
    <t>Md€</t>
  </si>
  <si>
    <t>Entreprises hors BTP</t>
  </si>
  <si>
    <t>t/Md€PIB</t>
  </si>
  <si>
    <t>Potentiel de valorisation du tout venant de déchèteries</t>
  </si>
  <si>
    <t>Emb. Carton</t>
  </si>
  <si>
    <t>Emb. papier</t>
  </si>
  <si>
    <t>Autres valo matière</t>
  </si>
  <si>
    <t>de la benne</t>
  </si>
  <si>
    <t>Total DMA</t>
  </si>
  <si>
    <t>Hors SPGD</t>
  </si>
  <si>
    <t>(source chiffres clefs 2018, valeurs 2015)</t>
  </si>
  <si>
    <t>DM</t>
  </si>
  <si>
    <t>Assimilés</t>
  </si>
  <si>
    <t>Industrie</t>
  </si>
  <si>
    <t>Tertiaire</t>
  </si>
  <si>
    <t>Traitement déchets, dépollutions</t>
  </si>
  <si>
    <t>Production totale</t>
  </si>
  <si>
    <t>Déchets entreprises hors BTP</t>
  </si>
  <si>
    <t>dont assimilés</t>
  </si>
  <si>
    <t>Réemploi hors SPGD</t>
  </si>
  <si>
    <t>Répartition du traitement des déchets d'entreprises</t>
  </si>
  <si>
    <t>(source chiffres clefs 2020, valeurs 2017)</t>
  </si>
  <si>
    <t>prod DMA</t>
  </si>
  <si>
    <t>Chiffres clés 2020 (année 2017 DOM inclus)</t>
  </si>
  <si>
    <t>Production de déchets ménagers et assimilés hors DOM/COM</t>
  </si>
  <si>
    <t>Vérification (DOM exclus)</t>
  </si>
  <si>
    <t>Eval DOM/COM</t>
  </si>
  <si>
    <t>population</t>
  </si>
  <si>
    <t>Mhb</t>
  </si>
  <si>
    <t>dont 1,2 Mt des DOM</t>
  </si>
  <si>
    <t>Compostage</t>
  </si>
  <si>
    <t>métha</t>
  </si>
  <si>
    <t>TMB</t>
  </si>
  <si>
    <t>refus de tri</t>
  </si>
  <si>
    <t>refus de valo orga</t>
  </si>
  <si>
    <t>tri</t>
  </si>
  <si>
    <t>divers (pertes, autres..;)</t>
  </si>
  <si>
    <t>Flux secondaires</t>
  </si>
  <si>
    <t>Flux primaires</t>
  </si>
  <si>
    <t>Valorisation matière</t>
  </si>
  <si>
    <t>CS et tri</t>
  </si>
  <si>
    <t>Flux finaux</t>
  </si>
  <si>
    <t>Fabrication CSR</t>
  </si>
  <si>
    <t>Total</t>
  </si>
  <si>
    <t>refus de TMB</t>
  </si>
  <si>
    <t>Total pour vérification</t>
  </si>
  <si>
    <t>refus dUVE</t>
  </si>
  <si>
    <t>refus d'UVE</t>
  </si>
  <si>
    <t>Déchets industrie</t>
  </si>
  <si>
    <t>Déchets commerces</t>
  </si>
  <si>
    <t>Chiffres 2020 globalise 55 % (répartition JLB)</t>
  </si>
  <si>
    <t>Pas de contrainte de consommation ni sur les déchets donc croissance de la production</t>
  </si>
  <si>
    <t>Augmenation des flux en Centre de tri et donc des refus</t>
  </si>
  <si>
    <t xml:space="preserve">réduire de 5% les quantités de DAE par unité de valeur produite, notamment du secteur du BTP en 2030 par rapport à 2010 </t>
  </si>
  <si>
    <t>gaspillage alimentaire : 50% d’ici 2030, par rapport à 2015, dans la consommation, la production, la transformation et la restauration commerciale</t>
  </si>
  <si>
    <t>Méthanisation</t>
  </si>
  <si>
    <t>↑↑</t>
  </si>
  <si>
    <t xml:space="preserve">↑
Développement modéré du recyclage (quantité et qualité), suivant les objectifs de la loi, grâce aux technologies. </t>
  </si>
  <si>
    <t>Gisement</t>
  </si>
  <si>
    <t>collecte séparée</t>
  </si>
  <si>
    <t>mélange</t>
  </si>
  <si>
    <t>TOTAL</t>
  </si>
  <si>
    <t>Bois</t>
  </si>
  <si>
    <t>Encombrants</t>
  </si>
  <si>
    <t xml:space="preserve">Refus de centres de tri DNDAE </t>
  </si>
  <si>
    <t>Autres (refus de centres de tri de collecte séparées, refus de chaîne de tri BTP (Bâtiment et Travaux Publics) et RBA (Résidus de Broyage Automobile))</t>
  </si>
  <si>
    <t xml:space="preserve">Refus de centre de tri de DMA </t>
  </si>
  <si>
    <t>Centres de tri</t>
  </si>
  <si>
    <t>Evolution de la quantité collectée</t>
  </si>
  <si>
    <t xml:space="preserve">Prévention </t>
  </si>
  <si>
    <t>Composition des CSR</t>
  </si>
  <si>
    <t>?</t>
  </si>
  <si>
    <t>flux primaires</t>
  </si>
  <si>
    <t>TMB : compostage</t>
  </si>
  <si>
    <t>TMB : Méthanisation</t>
  </si>
  <si>
    <t>TMB : tri</t>
  </si>
  <si>
    <t>Prévention</t>
  </si>
  <si>
    <t>62% de Total OMR mélange</t>
  </si>
  <si>
    <t>29% de Total OMR mélange</t>
  </si>
  <si>
    <t>Refus centres de tri</t>
  </si>
  <si>
    <t>Refus TMB</t>
  </si>
  <si>
    <t>Refus UVE</t>
  </si>
  <si>
    <t>donnée = 9% de Total OMR mélange ???</t>
  </si>
  <si>
    <t>Valorisaton organique</t>
  </si>
  <si>
    <t>donnée = 22% de TMB comp+TMB métha</t>
  </si>
  <si>
    <t>donnée = 21% de TMB</t>
  </si>
  <si>
    <t>Refus renvoyés à UVE</t>
  </si>
  <si>
    <t>Refus = 4% de valo organique</t>
  </si>
  <si>
    <t>Refus = 21% de TMB</t>
  </si>
  <si>
    <t>9% vers UVE / 18,5% vers ISNDN</t>
  </si>
  <si>
    <t>Refus de valorisation organique (compostage)</t>
  </si>
  <si>
    <t>Refus = 23,8% TMB</t>
  </si>
  <si>
    <t>Refus = 18,5% centres de tri
Refus valo organique
Refus TMB</t>
  </si>
  <si>
    <t>Refus = 0,76% UVE</t>
  </si>
  <si>
    <t>flux secondaires</t>
  </si>
  <si>
    <t>flux finaux</t>
  </si>
  <si>
    <t>60% de Centres de tri</t>
  </si>
  <si>
    <t>34% de compostage</t>
  </si>
  <si>
    <t>4% vers UVE / 4,5% vers ISNDN</t>
  </si>
  <si>
    <t>Refus = 9% Centres de tri</t>
  </si>
  <si>
    <t>11% indus / 10%</t>
  </si>
  <si>
    <t>Centres de tri : industrie</t>
  </si>
  <si>
    <t>Compostage : industrie</t>
  </si>
  <si>
    <t>Prévention (dont consigne)</t>
  </si>
  <si>
    <t>Objectif réglémentaire</t>
  </si>
  <si>
    <t>↑</t>
  </si>
  <si>
    <t xml:space="preserve">Réduction de la matière organique </t>
  </si>
  <si>
    <t>La mise en décharge est faible car on a besoin de toutes les ressources : ↓</t>
  </si>
  <si>
    <t>Provenance pour 1 unité des CSR</t>
  </si>
  <si>
    <t>Quantité totale</t>
  </si>
  <si>
    <t>Ouverture vers les CSR à partir d'OMR</t>
  </si>
  <si>
    <t>Réduction structurelle de la production. 
Pas de contrainte de consommation ni sur les déchets donc croissance de la production</t>
  </si>
  <si>
    <t>Marc: Enjeu = sortie du stackage des DAE au profit de la valorisation matière et de la fabrication des CSR.</t>
  </si>
  <si>
    <t>pas d'évolution de qualité de tri</t>
  </si>
  <si>
    <t>Centres de préparation des CSR</t>
  </si>
  <si>
    <t>Landfill mining - Valorisation matière</t>
  </si>
  <si>
    <t>Landfill mining - Valorisation énergétique</t>
  </si>
  <si>
    <t>aliminium, acier, plastiques</t>
  </si>
  <si>
    <t>Envisager landfill mining pour équilibrer MPR ? Cohérence de coût ?</t>
  </si>
  <si>
    <t>Renouvellement du parc. Renvoi du surplus détournée de la décharge vers les CSR.</t>
  </si>
  <si>
    <t>collecte séparée - % de déchets collectés</t>
  </si>
  <si>
    <t>mélange - % de déchets collectés</t>
  </si>
  <si>
    <t>Prévention (compostage domestique, gaspillage, etc.) - % de réduction</t>
  </si>
  <si>
    <t>Tous déchets passent par les centres de tri.</t>
  </si>
  <si>
    <t>tout UVE - refus UVE</t>
  </si>
  <si>
    <t>ISDND indus</t>
  </si>
  <si>
    <t>11% com</t>
  </si>
  <si>
    <t>7% indus</t>
  </si>
  <si>
    <t>Total CS - CS des putréscibles</t>
  </si>
  <si>
    <t>Papiers/ Cartons…………………………….</t>
  </si>
  <si>
    <t>UVE indus</t>
  </si>
  <si>
    <t>tout UVE-refus</t>
  </si>
  <si>
    <t>Prévention / Augmentation</t>
  </si>
  <si>
    <t>Prévention / Augmentation de la demande, donc de déchets</t>
  </si>
  <si>
    <t>Refus = 9% Refus centres de tri</t>
  </si>
  <si>
    <t>pourcentage des refus valorisation organique</t>
  </si>
  <si>
    <t>Bois…………………………….</t>
  </si>
  <si>
    <t>Part OMR (centre de tri et TMB)</t>
  </si>
  <si>
    <t>égal à CSR depuis Exutoires Décheterie</t>
  </si>
  <si>
    <t>variable d'ajustement</t>
  </si>
  <si>
    <t>Refus de valorisation organique</t>
  </si>
  <si>
    <t>Métaux</t>
  </si>
  <si>
    <t xml:space="preserve">Compostage </t>
  </si>
  <si>
    <t>Refus Centres de tri</t>
  </si>
  <si>
    <t>Refus Valo organique</t>
  </si>
  <si>
    <t>part de déchets intertes</t>
  </si>
  <si>
    <t>Démolition</t>
  </si>
  <si>
    <t>Collecteur</t>
  </si>
  <si>
    <t>Autre</t>
  </si>
  <si>
    <t>Décheterie et plateformes de tri</t>
  </si>
  <si>
    <t>Gisement de déchets par typologie de chantiers</t>
  </si>
  <si>
    <t>Rénovation</t>
  </si>
  <si>
    <t>Neuf</t>
  </si>
  <si>
    <t>Réemploi</t>
  </si>
  <si>
    <t>Répartition gisement par flux principaux de déchets</t>
  </si>
  <si>
    <t>Inertes (béton, terre cuite et déchets inertes en mélange - hors verre plat et hors terres et cailloux)</t>
  </si>
  <si>
    <t>Verre plat</t>
  </si>
  <si>
    <t>Plâtre</t>
  </si>
  <si>
    <t>Laine minérale</t>
  </si>
  <si>
    <t>Moquettes</t>
  </si>
  <si>
    <t>DNDNI en mélange</t>
  </si>
  <si>
    <t>Exutoires finaux déchets Bâtiment</t>
  </si>
  <si>
    <t xml:space="preserve">Inertes - Réutilisation sur chantier </t>
  </si>
  <si>
    <t>Inertes - Recyclage matière (graves recyclées, à partir de béton de démolition principalement)</t>
  </si>
  <si>
    <t xml:space="preserve">Inertes - Remblaiement de carrière </t>
  </si>
  <si>
    <t>Inertes - stockage en ISDI</t>
  </si>
  <si>
    <t>Valorisation matière (recyclage des DNDNI : verre, plâtre, bois en panneaux particules,...)</t>
  </si>
  <si>
    <t>Valorisation énergétique (incinération ou CSR pour plastiques, chaufferies ou CSR pour bois non-traités)</t>
  </si>
  <si>
    <t xml:space="preserve">ISDD (amiante notamment) </t>
  </si>
  <si>
    <t>Hypothèses</t>
  </si>
  <si>
    <t>Taux de valorisation Objectifs prévisionnels REP / fin du 1er agrément (fin 2028) (considérer = TEND 2030) :
recyclage (valo matière) DNDNI (avec verre) : 30% (au lieu de 15% moyenne actuelle)
valo matière + valo énergétique DNDNI (avec verre) : 50% (au lieu de 26% en moyenne actuelle)
Je n'arrive pas à retrouver les mêmes taux pour 2015, je reproduis juste la tendance (i.e. le doublement des taux)</t>
  </si>
  <si>
    <t>2015 en %</t>
  </si>
  <si>
    <t>Voir onglet Evolution Fraction calcul - Partie Bâtiment</t>
  </si>
  <si>
    <t>AME</t>
  </si>
  <si>
    <t>AMS</t>
  </si>
  <si>
    <t xml:space="preserve"> </t>
  </si>
  <si>
    <t>L’impression systématique des tickets de caisse, des tickets de carte bancaire, des tickets distribués par des automates et des bons d’achat et tickets promotionnels seront interdits au plus tard le 1er janvier 2023.</t>
  </si>
  <si>
    <t>Contribue à la prévention des déchets putrescibles</t>
  </si>
  <si>
    <t xml:space="preserve">Agec : Réduire de 15 % les quantités de déchets ménagers et assimilés en 2030 par rapport à 2010 </t>
  </si>
  <si>
    <t>Agec : gaspillage alimentaire : 50% d’ici 2025, par rapport à 2015, dans la distribution alimentaire et la restauration collective</t>
  </si>
  <si>
    <t>Agec : Réduire de 20% les emballages plastiques à usage unique ; suppression des emballages inutiles, tendre vers 100% de recyclage du plastique à usage unnique</t>
  </si>
  <si>
    <t>Agec : Rendre le tri plus efficace grâce à un logo unique, des modalités de tri et une harmonisation de la couleur des poubelles</t>
  </si>
  <si>
    <t>_interdiction de l'élimination des invendus non-alimentaires en 2023
_Distribution et restauration collective devront réduire le gaspillage de 50% par rapport à 2015 d'ici 2025, et d'ici 2030 pour les secteurs qui produisent ou transforment des denrées alimentaires et la restauration commerciale
_Augmenter les sanctions en cas de manquement à l’interdiction du gaspillage alimentaire</t>
  </si>
  <si>
    <t>Rénovations stables en 2030 ; x0,64 en 2050 (sortie menfis)</t>
  </si>
  <si>
    <t>Démolitions stables jusqu'en 2050</t>
  </si>
  <si>
    <t>Construction neuve -24% en 2030 ; -59% en 2050 (hypothèse bâtiment)</t>
  </si>
  <si>
    <t>unité</t>
  </si>
  <si>
    <t>kt déchet</t>
  </si>
  <si>
    <t>GWh</t>
  </si>
  <si>
    <t>1kt déchet =&gt;</t>
  </si>
  <si>
    <t>Source : https://www.grdf.fr/collectivites-territoriales/contribuer-transition-energetique-de-votre-territoire/estimer-biodechets-gaz-vert#_GFRiframe_WAR_GFRportlet_INSTANCE_hhD9frPsqdvx_</t>
  </si>
  <si>
    <t>MJ</t>
  </si>
  <si>
    <t>1kg déchet =&gt;</t>
  </si>
  <si>
    <t>Source : https://expertises.ademe.fr/economie-circulaire/dechets/passer-a-laction/valorisation-energetique/dossier/combustibles-solides-recuperation/preparation-combustibles-solides-recuperation</t>
  </si>
  <si>
    <t>Conversion</t>
  </si>
  <si>
    <t>Atteint partiellement en 2030</t>
  </si>
  <si>
    <t>Refus = 4,5 (+26) valo organique</t>
  </si>
  <si>
    <t>Refus = 4,5 valo organique</t>
  </si>
  <si>
    <t>Refus de valorisation organique (industrie)</t>
  </si>
  <si>
    <t>Déchets putrescibles CS
17% de Total CS 
14% des déchets putréscibles</t>
  </si>
  <si>
    <t>4% vers UVE / 4,5% (+26) ? vers ISNDN</t>
  </si>
  <si>
    <t>Déchets putrescibles CS 
2,5% de Total OMR CS
2,3% des déchets putréscibles</t>
  </si>
  <si>
    <t>60% de Centres de tri. Actuellement 30% sur la moyenne. Sur les sites hautes performance 60%-70%.</t>
  </si>
  <si>
    <t>↓
particuliers :
collecte séparée en sacs  soit par le tri des déchets mélangés. 
professionnels : 
Le niveau de pureté des biodéchets est très variable</t>
  </si>
  <si>
    <t xml:space="preserve">Baisse dans tous les scénarios. A paramètrer avec les hypothèses.
La mise en décharge : ↓↓
</t>
  </si>
  <si>
    <t>Volumes (kt)</t>
  </si>
  <si>
    <t>Evolution ou part (%)</t>
  </si>
  <si>
    <t>Narratif</t>
  </si>
  <si>
    <t>suppression d'emballages à usage unique en 2040</t>
  </si>
  <si>
    <t>Réalisation de l'objectif</t>
  </si>
  <si>
    <t>2. Décheterie / Encombrants</t>
  </si>
  <si>
    <t>3. Déchets des activités économiques</t>
  </si>
  <si>
    <t>A. Gisement</t>
  </si>
  <si>
    <t>B. Exutoire</t>
  </si>
  <si>
    <t>Scénario AME</t>
  </si>
  <si>
    <t>Objectif réglementaire</t>
  </si>
  <si>
    <t>5. Déchets du bâtiment</t>
  </si>
  <si>
    <t>4. Combustibles solides de récupération</t>
  </si>
  <si>
    <t>A. Provenance</t>
  </si>
  <si>
    <t>B. Composition</t>
  </si>
  <si>
    <t>1. Ordures ménagères et assimilées</t>
  </si>
  <si>
    <t>Déchets tertiaire</t>
  </si>
  <si>
    <t>Centres de tri : tertiaire</t>
  </si>
  <si>
    <t>Compostage : tertiaire</t>
  </si>
  <si>
    <t>UVE tertiaire</t>
  </si>
  <si>
    <t>ISDND tertiaire</t>
  </si>
  <si>
    <t>Observé 38 900 kt</t>
  </si>
  <si>
    <t>Total DMA (OMA+décheterie/encombrants)</t>
  </si>
  <si>
    <t>Observé : 42 000 kt</t>
  </si>
  <si>
    <t>Déchets d’entreprises hors BTP</t>
  </si>
  <si>
    <t>Déchets du bâtiment (dont déchets inertes)</t>
  </si>
  <si>
    <t>Déchets des travaux publics</t>
  </si>
  <si>
    <t>Déchets des collectivités</t>
  </si>
  <si>
    <t>Déchets ménagers et assimilés (OMA + déchetterie/encombrants)</t>
  </si>
  <si>
    <t>non pris en compte (inerte)</t>
  </si>
  <si>
    <t>non pris en compte (pas de données)</t>
  </si>
  <si>
    <t>Pris en compte (2015)</t>
  </si>
  <si>
    <t>Compléments</t>
  </si>
  <si>
    <t>Observé SDES (2015)</t>
  </si>
  <si>
    <t>Total pris en compte</t>
  </si>
  <si>
    <t>en milliers de tonnes</t>
  </si>
  <si>
    <t>valeur corrigée d'après les données SDES Tableau 2 https://www.statistiques.developpement-durable.gouv.fr/production-de-dechets-et-recyclage-en-2018-et-2019-synthese-des-connaissances?rubrique=&amp;dossier=183</t>
  </si>
  <si>
    <t>augmentation de la population mais développement des REP qui compensent</t>
  </si>
  <si>
    <t>Hypothèse 10% de prévention en 2030 et 30% en 2050</t>
  </si>
  <si>
    <t>requalibré pour que les matériaux somment à 100%</t>
  </si>
  <si>
    <t>Papier, Carton</t>
  </si>
  <si>
    <t>Broyant fin</t>
  </si>
  <si>
    <t>La composition des CSR est concidéré comme stable. Source Ademe recalibré pour sommer à 100%</t>
  </si>
  <si>
    <t>Version ADEME : seulement commerce. Valeur corrigée d'après les données SDES Tableau 2 https://www.statistiques.developpement-durable.gouv.fr/production-de-dechets-et-recyclage-en-2018-et-2019-synthese-des-connaissances?rubrique=&amp;dossier=183 en retranchant les assimilés qui sont comptés dans OMA</t>
  </si>
  <si>
    <t>x</t>
  </si>
  <si>
    <t>AME 2023</t>
  </si>
  <si>
    <t>AME 2021</t>
  </si>
  <si>
    <t>Inventaire</t>
  </si>
  <si>
    <t>NON CONSIDERE DANS ISDND</t>
  </si>
  <si>
    <t>A enlever ?</t>
  </si>
  <si>
    <t>Ecart AME 2023 / Inventaire</t>
  </si>
  <si>
    <t>2015 (kt)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</si>
</sst>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quot; kt&quot;"/>
    <numFmt numFmtId="165" formatCode="_-* #,##0_-;\-* #,##0_-;_-* &quot;-&quot;??_-;_-@_-"/>
    <numFmt numFmtId="166" formatCode="_-* #,##0.0_-;\-* #,##0.0_-;_-* &quot;-&quot;??_-;_-@_-"/>
    <numFmt numFmtId="167" formatCode="#,##0.0&quot; kt&quot;"/>
    <numFmt numFmtId="168" formatCode="0.0%"/>
  </numFmts>
  <fonts count="28" x14ac:knownFonts="1">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name val="Calibri"/>
      <family val="2"/>
      <scheme val="minor"/>
    </font>
    <font>
      <b/>
      <sz val="11"/>
      <color theme="7" tint="-0.249977111117893"/>
      <name val="Calibri"/>
      <family val="2"/>
      <scheme val="minor"/>
    </font>
    <font>
      <b/>
      <sz val="11"/>
      <name val="Calibri"/>
      <family val="2"/>
      <scheme val="minor"/>
    </font>
    <font>
      <sz val="11"/>
      <color theme="1"/>
      <name val="Calibri"/>
      <family val="2"/>
    </font>
    <font>
      <b/>
      <sz val="14"/>
      <color rgb="FFFF0000"/>
      <name val="Calibri"/>
      <family val="2"/>
      <scheme val="minor"/>
    </font>
    <font>
      <sz val="11"/>
      <color theme="0" tint="-0.499984740745262"/>
      <name val="Calibri"/>
      <family val="2"/>
      <scheme val="minor"/>
    </font>
    <font>
      <sz val="9"/>
      <color theme="1"/>
      <name val="Calibri"/>
      <family val="2"/>
      <scheme val="minor"/>
    </font>
    <font>
      <i/>
      <sz val="11"/>
      <color rgb="FF000000"/>
      <name val="Calibri"/>
      <family val="2"/>
    </font>
    <font>
      <b/>
      <sz val="11"/>
      <color rgb="FF000000"/>
      <name val="Calibri"/>
      <family val="2"/>
    </font>
    <font>
      <b/>
      <i/>
      <sz val="11"/>
      <color rgb="FF000000"/>
      <name val="Calibri"/>
      <family val="2"/>
    </font>
    <font>
      <sz val="11"/>
      <name val="Calibri"/>
      <family val="2"/>
    </font>
    <font>
      <sz val="11"/>
      <color rgb="FF000000"/>
      <name val="Calibri"/>
      <family val="2"/>
    </font>
    <font>
      <b/>
      <sz val="11"/>
      <name val="Calibri"/>
      <family val="2"/>
    </font>
    <font>
      <sz val="10"/>
      <name val="Arial"/>
      <family val="2"/>
    </font>
    <font>
      <b/>
      <sz val="28"/>
      <color theme="1"/>
      <name val="Calibri"/>
      <family val="2"/>
      <scheme val="minor"/>
    </font>
    <font>
      <sz val="28"/>
      <color theme="1"/>
      <name val="Calibri"/>
      <family val="2"/>
      <scheme val="minor"/>
    </font>
    <font>
      <sz val="11"/>
      <color rgb="FF000000"/>
      <name val="Calibri"/>
      <family val="2"/>
      <scheme val="minor"/>
    </font>
    <font>
      <i/>
      <sz val="11"/>
      <name val="Calibri"/>
      <family val="2"/>
    </font>
    <font>
      <i/>
      <sz val="11"/>
      <color rgb="FF000000"/>
      <name val="Calibri"/>
      <family val="2"/>
      <scheme val="minor"/>
    </font>
    <font>
      <u/>
      <sz val="11"/>
      <color theme="10"/>
      <name val="Calibri"/>
      <family val="2"/>
      <scheme val="minor"/>
    </font>
    <font>
      <sz val="9"/>
      <color indexed="81"/>
      <name val="Tahoma"/>
      <family val="2"/>
    </font>
    <font>
      <b/>
      <sz val="9"/>
      <color indexed="81"/>
      <name val="Tahoma"/>
      <family val="2"/>
    </font>
    <font>
      <b/>
      <sz val="11"/>
      <color rgb="FF00B050"/>
      <name val="Calibri"/>
      <family val="2"/>
      <scheme val="minor"/>
    </font>
  </fonts>
  <fills count="28">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5"/>
        <bgColor indexed="64"/>
      </patternFill>
    </fill>
    <fill>
      <patternFill patternType="solid">
        <fgColor rgb="FFFFFF00"/>
        <bgColor indexed="64"/>
      </patternFill>
    </fill>
    <fill>
      <patternFill patternType="solid">
        <fgColor rgb="FFFCE4D6"/>
        <bgColor rgb="FF000000"/>
      </patternFill>
    </fill>
    <fill>
      <patternFill patternType="solid">
        <fgColor theme="8" tint="0.79998168889431442"/>
        <bgColor rgb="FF000000"/>
      </patternFill>
    </fill>
    <fill>
      <patternFill patternType="solid">
        <fgColor theme="1" tint="0.499984740745262"/>
        <bgColor indexed="64"/>
      </patternFill>
    </fill>
    <fill>
      <patternFill patternType="solid">
        <fgColor theme="2" tint="-0.499984740745262"/>
        <bgColor indexed="64"/>
      </patternFill>
    </fill>
    <fill>
      <patternFill patternType="solid">
        <fgColor rgb="FF00FF00"/>
        <bgColor indexed="64"/>
      </patternFill>
    </fill>
    <fill>
      <patternFill patternType="solid">
        <fgColor theme="4"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0" tint="-0.14999847407452621"/>
        <bgColor rgb="FF000000"/>
      </patternFill>
    </fill>
    <fill>
      <patternFill patternType="solid">
        <fgColor theme="5" tint="0.79998168889431442"/>
        <bgColor rgb="FF000000"/>
      </patternFill>
    </fill>
    <fill>
      <patternFill patternType="solid">
        <fgColor theme="0"/>
        <bgColor indexed="64"/>
      </patternFill>
    </fill>
    <fill>
      <patternFill patternType="solid">
        <fgColor rgb="FFCFD5EA"/>
        <bgColor indexed="64"/>
      </patternFill>
    </fill>
    <fill>
      <patternFill patternType="solid">
        <fgColor rgb="FFE9EBF5"/>
        <bgColor indexed="64"/>
      </patternFill>
    </fill>
    <fill>
      <patternFill patternType="solid">
        <fgColor theme="7" tint="0.39997558519241921"/>
        <bgColor indexed="64"/>
      </patternFill>
    </fill>
    <fill>
      <patternFill patternType="solid">
        <fgColor theme="6" tint="0.79998168889431442"/>
        <bgColor indexed="64"/>
      </patternFill>
    </fill>
    <fill>
      <patternFill patternType="lightUp"/>
    </fill>
    <fill>
      <patternFill patternType="solid">
        <fgColor rgb="FFFF0000"/>
        <bgColor indexed="64"/>
      </patternFill>
    </fill>
  </fills>
  <borders count="44">
    <border>
      <left/>
      <right/>
      <top/>
      <bottom/>
      <diagonal/>
    </border>
    <border>
      <left/>
      <right/>
      <top style="thin">
        <color auto="1"/>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auto="1"/>
      </right>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auto="1"/>
      </top>
      <bottom style="thin">
        <color auto="1"/>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diagonal/>
    </border>
    <border>
      <left/>
      <right style="medium">
        <color rgb="FFFFFFFF"/>
      </right>
      <top/>
      <bottom style="medium">
        <color rgb="FFFFFFFF"/>
      </bottom>
      <diagonal/>
    </border>
    <border>
      <left/>
      <right/>
      <top style="medium">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18" fillId="0" borderId="0"/>
    <xf numFmtId="0" fontId="24" fillId="0" borderId="0" applyNumberFormat="0" applyFill="0" applyBorder="0" applyAlignment="0" applyProtection="0"/>
  </cellStyleXfs>
  <cellXfs count="537">
    <xf numFmtId="0" fontId="0" fillId="0" borderId="0" xfId="0"/>
    <xf numFmtId="0" fontId="0" fillId="2" borderId="1" xfId="0" applyFill="1" applyBorder="1"/>
    <xf numFmtId="9" fontId="0" fillId="2" borderId="1" xfId="0" applyNumberFormat="1" applyFill="1" applyBorder="1" applyAlignment="1">
      <alignment horizontal="center"/>
    </xf>
    <xf numFmtId="164" fontId="0" fillId="2" borderId="1" xfId="0" applyNumberFormat="1" applyFill="1" applyBorder="1" applyAlignment="1">
      <alignment horizontal="right"/>
    </xf>
    <xf numFmtId="164" fontId="2" fillId="2" borderId="3" xfId="0" applyNumberFormat="1" applyFont="1" applyFill="1" applyBorder="1" applyAlignment="1">
      <alignment horizontal="right"/>
    </xf>
    <xf numFmtId="0" fontId="0" fillId="0" borderId="1" xfId="0" applyBorder="1"/>
    <xf numFmtId="0" fontId="0" fillId="0" borderId="1" xfId="0" applyBorder="1" applyAlignment="1">
      <alignment horizontal="center"/>
    </xf>
    <xf numFmtId="164" fontId="2" fillId="0" borderId="1" xfId="0" applyNumberFormat="1" applyFont="1" applyBorder="1" applyAlignment="1">
      <alignment horizontal="right"/>
    </xf>
    <xf numFmtId="164" fontId="0" fillId="0" borderId="3" xfId="0" applyNumberFormat="1" applyBorder="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right"/>
    </xf>
    <xf numFmtId="164" fontId="0" fillId="0" borderId="6" xfId="0" applyNumberFormat="1" applyBorder="1" applyAlignment="1">
      <alignment horizontal="right"/>
    </xf>
    <xf numFmtId="164" fontId="0" fillId="2" borderId="6" xfId="0" applyNumberFormat="1" applyFill="1" applyBorder="1" applyAlignment="1">
      <alignment horizontal="right"/>
    </xf>
    <xf numFmtId="9" fontId="0" fillId="0" borderId="7" xfId="2" applyFont="1" applyBorder="1" applyAlignment="1">
      <alignment horizontal="center"/>
    </xf>
    <xf numFmtId="0" fontId="2" fillId="0" borderId="6" xfId="0" applyFont="1" applyBorder="1" applyAlignment="1">
      <alignment horizontal="center" vertical="center"/>
    </xf>
    <xf numFmtId="0" fontId="0" fillId="0" borderId="7" xfId="0" applyBorder="1"/>
    <xf numFmtId="0" fontId="2" fillId="2" borderId="6" xfId="0" applyFont="1" applyFill="1" applyBorder="1" applyAlignment="1">
      <alignment horizontal="center" vertical="center"/>
    </xf>
    <xf numFmtId="0" fontId="0" fillId="0" borderId="8" xfId="0" applyBorder="1"/>
    <xf numFmtId="0" fontId="0" fillId="0" borderId="3" xfId="0" applyBorder="1"/>
    <xf numFmtId="1" fontId="0" fillId="0" borderId="5" xfId="0" applyNumberFormat="1" applyBorder="1"/>
    <xf numFmtId="0" fontId="0" fillId="3" borderId="1" xfId="0" applyFill="1" applyBorder="1"/>
    <xf numFmtId="0" fontId="0" fillId="3" borderId="3" xfId="0" applyFill="1" applyBorder="1"/>
    <xf numFmtId="165" fontId="0" fillId="0" borderId="5" xfId="0" applyNumberFormat="1" applyBorder="1" applyAlignment="1">
      <alignment horizontal="left" indent="1"/>
    </xf>
    <xf numFmtId="0" fontId="2" fillId="3" borderId="5" xfId="0" applyFont="1" applyFill="1" applyBorder="1"/>
    <xf numFmtId="0" fontId="2" fillId="0" borderId="9" xfId="0" applyFont="1" applyBorder="1"/>
    <xf numFmtId="0" fontId="2" fillId="0" borderId="10" xfId="0" applyFont="1" applyBorder="1"/>
    <xf numFmtId="0" fontId="2" fillId="0" borderId="2" xfId="0" applyFont="1" applyBorder="1"/>
    <xf numFmtId="0" fontId="2" fillId="0" borderId="11" xfId="0" applyFont="1" applyBorder="1"/>
    <xf numFmtId="0" fontId="2" fillId="0" borderId="4" xfId="0" applyFont="1" applyBorder="1"/>
    <xf numFmtId="0" fontId="0" fillId="2" borderId="8" xfId="0" applyFill="1" applyBorder="1" applyAlignment="1">
      <alignment vertical="center"/>
    </xf>
    <xf numFmtId="164" fontId="2" fillId="2" borderId="8" xfId="0" applyNumberFormat="1" applyFont="1" applyFill="1" applyBorder="1" applyAlignment="1">
      <alignment horizontal="right"/>
    </xf>
    <xf numFmtId="9" fontId="0" fillId="2" borderId="8" xfId="2" applyFont="1" applyFill="1" applyBorder="1" applyAlignment="1">
      <alignment horizontal="center" vertical="center"/>
    </xf>
    <xf numFmtId="0" fontId="0" fillId="4" borderId="0" xfId="0" applyFill="1"/>
    <xf numFmtId="0" fontId="0" fillId="2" borderId="0" xfId="0" applyFill="1"/>
    <xf numFmtId="164" fontId="2" fillId="4" borderId="8" xfId="0" applyNumberFormat="1" applyFont="1" applyFill="1" applyBorder="1" applyAlignment="1">
      <alignment horizontal="right"/>
    </xf>
    <xf numFmtId="9" fontId="2" fillId="4" borderId="8" xfId="2" applyFont="1" applyFill="1" applyBorder="1" applyAlignment="1">
      <alignment horizontal="center" vertical="center"/>
    </xf>
    <xf numFmtId="164" fontId="0" fillId="4" borderId="8" xfId="0" applyNumberFormat="1" applyFill="1" applyBorder="1" applyAlignment="1">
      <alignment horizontal="right"/>
    </xf>
    <xf numFmtId="9" fontId="0" fillId="4" borderId="8" xfId="2" applyFont="1" applyFill="1" applyBorder="1" applyAlignment="1">
      <alignment horizontal="center" vertical="center"/>
    </xf>
    <xf numFmtId="0" fontId="0" fillId="4" borderId="8" xfId="0" applyFill="1" applyBorder="1" applyAlignment="1">
      <alignment vertical="center"/>
    </xf>
    <xf numFmtId="164" fontId="2" fillId="4" borderId="0" xfId="0" applyNumberFormat="1" applyFont="1" applyFill="1"/>
    <xf numFmtId="164" fontId="0" fillId="2" borderId="8" xfId="0" applyNumberFormat="1" applyFill="1" applyBorder="1" applyAlignment="1">
      <alignment horizontal="right"/>
    </xf>
    <xf numFmtId="9" fontId="2" fillId="2" borderId="8" xfId="2" applyFont="1" applyFill="1" applyBorder="1" applyAlignment="1">
      <alignment horizontal="center" vertical="center"/>
    </xf>
    <xf numFmtId="0" fontId="2" fillId="5" borderId="0" xfId="0" applyFont="1" applyFill="1"/>
    <xf numFmtId="165" fontId="2" fillId="5" borderId="0" xfId="1" applyNumberFormat="1" applyFont="1" applyFill="1"/>
    <xf numFmtId="0" fontId="0" fillId="2" borderId="8" xfId="0" applyFill="1" applyBorder="1" applyAlignment="1">
      <alignment horizontal="left"/>
    </xf>
    <xf numFmtId="164" fontId="2" fillId="0" borderId="8" xfId="0" applyNumberFormat="1" applyFont="1" applyBorder="1" applyAlignment="1">
      <alignment horizontal="right"/>
    </xf>
    <xf numFmtId="9" fontId="2" fillId="0" borderId="8" xfId="0" applyNumberFormat="1" applyFont="1" applyBorder="1" applyAlignment="1">
      <alignment horizontal="center"/>
    </xf>
    <xf numFmtId="9" fontId="0" fillId="0" borderId="8" xfId="0" applyNumberFormat="1" applyBorder="1" applyAlignment="1">
      <alignment horizontal="center"/>
    </xf>
    <xf numFmtId="164" fontId="0" fillId="0" borderId="8" xfId="0" applyNumberFormat="1" applyBorder="1" applyAlignment="1">
      <alignment horizontal="right"/>
    </xf>
    <xf numFmtId="0" fontId="0" fillId="6" borderId="0" xfId="0" applyFill="1"/>
    <xf numFmtId="0" fontId="2" fillId="6" borderId="0" xfId="0" applyFont="1" applyFill="1"/>
    <xf numFmtId="0" fontId="2" fillId="0" borderId="0" xfId="0" applyFont="1"/>
    <xf numFmtId="0" fontId="2" fillId="0" borderId="13" xfId="0" applyFont="1" applyBorder="1"/>
    <xf numFmtId="0" fontId="2" fillId="0" borderId="14" xfId="0" applyFont="1" applyBorder="1"/>
    <xf numFmtId="1" fontId="0" fillId="0" borderId="0" xfId="0" applyNumberFormat="1"/>
    <xf numFmtId="166" fontId="2" fillId="0" borderId="12" xfId="1" applyNumberFormat="1" applyFont="1" applyBorder="1"/>
    <xf numFmtId="164" fontId="2" fillId="2" borderId="0" xfId="0" applyNumberFormat="1" applyFont="1" applyFill="1"/>
    <xf numFmtId="9" fontId="0" fillId="0" borderId="0" xfId="2" applyFont="1"/>
    <xf numFmtId="0" fontId="0" fillId="2" borderId="8" xfId="0" applyFill="1" applyBorder="1" applyAlignment="1">
      <alignment horizontal="left" vertical="center"/>
    </xf>
    <xf numFmtId="0" fontId="0" fillId="2" borderId="8" xfId="0" applyFill="1" applyBorder="1" applyAlignment="1">
      <alignment horizontal="right"/>
    </xf>
    <xf numFmtId="0" fontId="0" fillId="2" borderId="8" xfId="0" applyFill="1" applyBorder="1"/>
    <xf numFmtId="165" fontId="0" fillId="0" borderId="0" xfId="1" applyNumberFormat="1" applyFont="1" applyBorder="1"/>
    <xf numFmtId="165" fontId="0" fillId="0" borderId="0" xfId="0" applyNumberFormat="1"/>
    <xf numFmtId="165" fontId="0" fillId="0" borderId="0" xfId="1" applyNumberFormat="1" applyFont="1"/>
    <xf numFmtId="0" fontId="0" fillId="0" borderId="8" xfId="0" applyBorder="1" applyAlignment="1">
      <alignment wrapText="1"/>
    </xf>
    <xf numFmtId="165" fontId="0" fillId="0" borderId="8" xfId="1" applyNumberFormat="1" applyFont="1" applyBorder="1"/>
    <xf numFmtId="165" fontId="0" fillId="0" borderId="8" xfId="0" applyNumberFormat="1" applyBorder="1"/>
    <xf numFmtId="167" fontId="0" fillId="0" borderId="0" xfId="0" applyNumberFormat="1"/>
    <xf numFmtId="0" fontId="4" fillId="0" borderId="0" xfId="0" applyFont="1" applyAlignment="1">
      <alignment horizontal="right"/>
    </xf>
    <xf numFmtId="0" fontId="3" fillId="0" borderId="0" xfId="0" applyFont="1"/>
    <xf numFmtId="165" fontId="3" fillId="0" borderId="0" xfId="0" applyNumberFormat="1" applyFont="1"/>
    <xf numFmtId="165" fontId="3" fillId="0" borderId="0" xfId="1" applyNumberFormat="1" applyFont="1"/>
    <xf numFmtId="9" fontId="3" fillId="0" borderId="0" xfId="0" applyNumberFormat="1" applyFont="1"/>
    <xf numFmtId="0" fontId="3" fillId="0" borderId="15" xfId="0" applyFont="1" applyBorder="1"/>
    <xf numFmtId="0" fontId="0" fillId="0" borderId="9" xfId="0" applyBorder="1"/>
    <xf numFmtId="0" fontId="0" fillId="0" borderId="10" xfId="0" applyBorder="1"/>
    <xf numFmtId="0" fontId="0" fillId="0" borderId="2" xfId="0" applyBorder="1"/>
    <xf numFmtId="0" fontId="6" fillId="0" borderId="8" xfId="0" applyFont="1" applyBorder="1"/>
    <xf numFmtId="165" fontId="0" fillId="0" borderId="5" xfId="1" applyNumberFormat="1" applyFont="1" applyBorder="1" applyAlignment="1"/>
    <xf numFmtId="165" fontId="0" fillId="0" borderId="3" xfId="1" applyNumberFormat="1" applyFont="1" applyBorder="1" applyAlignment="1"/>
    <xf numFmtId="0" fontId="0" fillId="7" borderId="8" xfId="0" applyFill="1" applyBorder="1"/>
    <xf numFmtId="165" fontId="0" fillId="7" borderId="8" xfId="1" applyNumberFormat="1" applyFont="1" applyFill="1" applyBorder="1"/>
    <xf numFmtId="165" fontId="0" fillId="7" borderId="8" xfId="0" applyNumberFormat="1" applyFill="1" applyBorder="1"/>
    <xf numFmtId="0" fontId="0" fillId="7" borderId="0" xfId="0" applyFill="1"/>
    <xf numFmtId="165" fontId="0" fillId="7" borderId="8" xfId="1" applyNumberFormat="1" applyFont="1" applyFill="1" applyBorder="1" applyAlignment="1"/>
    <xf numFmtId="0" fontId="3" fillId="7" borderId="15" xfId="0" applyFont="1" applyFill="1" applyBorder="1"/>
    <xf numFmtId="165" fontId="0" fillId="7" borderId="8" xfId="1" applyNumberFormat="1" applyFont="1" applyFill="1" applyBorder="1" applyAlignment="1">
      <alignment vertical="center"/>
    </xf>
    <xf numFmtId="0" fontId="0" fillId="7" borderId="8" xfId="0" applyFill="1" applyBorder="1" applyAlignment="1">
      <alignment vertical="center"/>
    </xf>
    <xf numFmtId="164" fontId="0" fillId="0" borderId="8" xfId="0" applyNumberFormat="1" applyBorder="1"/>
    <xf numFmtId="0" fontId="5" fillId="0" borderId="8" xfId="0" applyFont="1" applyBorder="1"/>
    <xf numFmtId="165" fontId="0" fillId="0" borderId="5" xfId="1" applyNumberFormat="1" applyFont="1" applyBorder="1"/>
    <xf numFmtId="165" fontId="0" fillId="0" borderId="3" xfId="1" applyNumberFormat="1" applyFont="1" applyBorder="1"/>
    <xf numFmtId="165" fontId="3" fillId="0" borderId="8" xfId="1" applyNumberFormat="1" applyFont="1" applyBorder="1"/>
    <xf numFmtId="0" fontId="0" fillId="0" borderId="16" xfId="0" applyBorder="1"/>
    <xf numFmtId="0" fontId="0" fillId="0" borderId="17" xfId="0" applyBorder="1"/>
    <xf numFmtId="164" fontId="2" fillId="13" borderId="8" xfId="0" applyNumberFormat="1" applyFont="1" applyFill="1" applyBorder="1" applyAlignment="1">
      <alignment horizontal="right"/>
    </xf>
    <xf numFmtId="0" fontId="9" fillId="0" borderId="0" xfId="0" applyFont="1" applyAlignment="1">
      <alignment horizontal="left" vertical="center"/>
    </xf>
    <xf numFmtId="0" fontId="0" fillId="13" borderId="5" xfId="0" applyFill="1" applyBorder="1"/>
    <xf numFmtId="0" fontId="0" fillId="0" borderId="0" xfId="0" applyAlignment="1">
      <alignment horizontal="center" wrapText="1"/>
    </xf>
    <xf numFmtId="0" fontId="0" fillId="8" borderId="30" xfId="0" applyFill="1" applyBorder="1"/>
    <xf numFmtId="0" fontId="0" fillId="8" borderId="9" xfId="0" applyFill="1" applyBorder="1"/>
    <xf numFmtId="0" fontId="0" fillId="9" borderId="30" xfId="0" applyFill="1" applyBorder="1"/>
    <xf numFmtId="9" fontId="0" fillId="13" borderId="24" xfId="0" applyNumberFormat="1" applyFill="1" applyBorder="1"/>
    <xf numFmtId="0" fontId="5" fillId="0" borderId="0" xfId="0" applyFont="1"/>
    <xf numFmtId="0" fontId="0" fillId="13" borderId="1" xfId="0" applyFill="1" applyBorder="1"/>
    <xf numFmtId="9" fontId="0" fillId="0" borderId="0" xfId="2" applyFont="1" applyFill="1" applyBorder="1"/>
    <xf numFmtId="0" fontId="0" fillId="13" borderId="6" xfId="0" applyFill="1" applyBorder="1" applyAlignment="1">
      <alignment horizontal="left" vertical="center"/>
    </xf>
    <xf numFmtId="0" fontId="0" fillId="14" borderId="8" xfId="0" applyFill="1" applyBorder="1"/>
    <xf numFmtId="0" fontId="0" fillId="14" borderId="6" xfId="0" applyFill="1" applyBorder="1"/>
    <xf numFmtId="9" fontId="0" fillId="14" borderId="8" xfId="0" applyNumberFormat="1" applyFill="1" applyBorder="1"/>
    <xf numFmtId="165" fontId="0" fillId="14" borderId="8" xfId="1" applyNumberFormat="1" applyFont="1" applyFill="1" applyBorder="1"/>
    <xf numFmtId="165" fontId="0" fillId="13" borderId="24" xfId="1" applyNumberFormat="1" applyFont="1" applyFill="1" applyBorder="1"/>
    <xf numFmtId="165" fontId="0" fillId="0" borderId="0" xfId="1" applyNumberFormat="1" applyFont="1" applyAlignment="1">
      <alignment horizontal="center" wrapText="1"/>
    </xf>
    <xf numFmtId="164" fontId="0" fillId="0" borderId="0" xfId="0" applyNumberFormat="1"/>
    <xf numFmtId="0" fontId="13" fillId="18" borderId="0" xfId="0" applyFont="1" applyFill="1" applyAlignment="1">
      <alignment vertical="center" wrapText="1"/>
    </xf>
    <xf numFmtId="0" fontId="13" fillId="17" borderId="0" xfId="0" applyFont="1" applyFill="1" applyAlignment="1">
      <alignment vertical="center" wrapText="1"/>
    </xf>
    <xf numFmtId="0" fontId="8" fillId="11" borderId="0" xfId="0" applyFont="1" applyFill="1" applyAlignment="1">
      <alignment horizontal="left" vertical="center" wrapText="1"/>
    </xf>
    <xf numFmtId="0" fontId="8" fillId="0" borderId="0" xfId="0" applyFont="1" applyAlignment="1">
      <alignment horizontal="left" vertical="center" wrapText="1"/>
    </xf>
    <xf numFmtId="0" fontId="13" fillId="18" borderId="8" xfId="0" applyFont="1" applyFill="1" applyBorder="1" applyAlignment="1">
      <alignment horizontal="left" vertical="center" wrapText="1"/>
    </xf>
    <xf numFmtId="0" fontId="12" fillId="0" borderId="8" xfId="0" applyFont="1" applyBorder="1" applyAlignment="1">
      <alignment horizontal="left" vertical="center" wrapText="1"/>
    </xf>
    <xf numFmtId="9" fontId="0" fillId="0" borderId="0" xfId="0" applyNumberFormat="1"/>
    <xf numFmtId="0" fontId="13" fillId="19" borderId="8" xfId="0" applyFont="1" applyFill="1" applyBorder="1" applyAlignment="1">
      <alignment horizontal="left" vertical="center" wrapText="1"/>
    </xf>
    <xf numFmtId="0" fontId="8" fillId="19" borderId="8" xfId="0" applyFont="1" applyFill="1" applyBorder="1" applyAlignment="1">
      <alignment horizontal="left" vertical="center" wrapText="1"/>
    </xf>
    <xf numFmtId="0" fontId="8" fillId="12" borderId="8" xfId="0" applyFont="1" applyFill="1" applyBorder="1" applyAlignment="1">
      <alignment horizontal="left" vertical="center" wrapText="1"/>
    </xf>
    <xf numFmtId="0" fontId="8" fillId="20" borderId="8" xfId="0" applyFont="1" applyFill="1" applyBorder="1" applyAlignment="1">
      <alignment horizontal="left" vertical="center" wrapText="1"/>
    </xf>
    <xf numFmtId="9" fontId="5" fillId="0" borderId="0" xfId="0" applyNumberFormat="1" applyFont="1"/>
    <xf numFmtId="0" fontId="8" fillId="12" borderId="6" xfId="0" applyFont="1" applyFill="1" applyBorder="1" applyAlignment="1">
      <alignment horizontal="left" vertical="center" wrapText="1"/>
    </xf>
    <xf numFmtId="0" fontId="12" fillId="0" borderId="0" xfId="0" applyFont="1" applyAlignment="1">
      <alignment horizontal="center" vertical="center" wrapText="1"/>
    </xf>
    <xf numFmtId="0" fontId="3" fillId="0" borderId="0" xfId="0" applyFont="1" applyAlignment="1">
      <alignment wrapText="1"/>
    </xf>
    <xf numFmtId="0" fontId="11" fillId="0" borderId="0" xfId="0" applyFont="1"/>
    <xf numFmtId="0" fontId="2" fillId="0" borderId="0" xfId="0" applyFont="1" applyAlignment="1">
      <alignment horizontal="center" wrapText="1"/>
    </xf>
    <xf numFmtId="0" fontId="2" fillId="21" borderId="0" xfId="0" applyFont="1" applyFill="1" applyAlignment="1">
      <alignment vertical="center" wrapText="1"/>
    </xf>
    <xf numFmtId="0" fontId="21" fillId="22" borderId="40" xfId="0" applyFont="1" applyFill="1" applyBorder="1" applyAlignment="1">
      <alignment vertical="center" wrapText="1"/>
    </xf>
    <xf numFmtId="0" fontId="21" fillId="23" borderId="40" xfId="0" applyFont="1" applyFill="1" applyBorder="1" applyAlignment="1">
      <alignment vertical="center" wrapText="1"/>
    </xf>
    <xf numFmtId="0" fontId="21" fillId="23" borderId="41" xfId="0" applyFont="1" applyFill="1" applyBorder="1" applyAlignment="1">
      <alignment vertical="center" wrapText="1"/>
    </xf>
    <xf numFmtId="164" fontId="15" fillId="0" borderId="0" xfId="0" applyNumberFormat="1" applyFont="1" applyAlignment="1">
      <alignment horizontal="right" vertical="center" wrapText="1"/>
    </xf>
    <xf numFmtId="3" fontId="5" fillId="0" borderId="42" xfId="0" applyNumberFormat="1" applyFont="1" applyBorder="1" applyAlignment="1">
      <alignment horizontal="right" vertical="center" wrapText="1"/>
    </xf>
    <xf numFmtId="0" fontId="23" fillId="0" borderId="40" xfId="0" applyFont="1" applyBorder="1" applyAlignment="1">
      <alignment vertical="center" wrapText="1"/>
    </xf>
    <xf numFmtId="164" fontId="22" fillId="0" borderId="0" xfId="0" applyNumberFormat="1" applyFont="1" applyAlignment="1">
      <alignment horizontal="right" vertical="center" wrapText="1"/>
    </xf>
    <xf numFmtId="0" fontId="0" fillId="9" borderId="9" xfId="0" applyFill="1" applyBorder="1"/>
    <xf numFmtId="9" fontId="0" fillId="14" borderId="5" xfId="0" applyNumberFormat="1" applyFill="1" applyBorder="1"/>
    <xf numFmtId="9" fontId="0" fillId="13" borderId="27" xfId="0" applyNumberFormat="1" applyFill="1" applyBorder="1"/>
    <xf numFmtId="165" fontId="0" fillId="14" borderId="5" xfId="1" applyNumberFormat="1" applyFont="1" applyFill="1" applyBorder="1"/>
    <xf numFmtId="165" fontId="0" fillId="13" borderId="27" xfId="1" applyNumberFormat="1" applyFont="1" applyFill="1" applyBorder="1"/>
    <xf numFmtId="165" fontId="0" fillId="0" borderId="0" xfId="1" applyNumberFormat="1" applyFont="1" applyFill="1" applyBorder="1"/>
    <xf numFmtId="0" fontId="2" fillId="0" borderId="0" xfId="0" applyFont="1" applyAlignment="1">
      <alignment vertical="center" wrapText="1"/>
    </xf>
    <xf numFmtId="0" fontId="0" fillId="0" borderId="0" xfId="0" applyAlignment="1">
      <alignment vertical="center"/>
    </xf>
    <xf numFmtId="0" fontId="7" fillId="8" borderId="8" xfId="0" applyFont="1" applyFill="1" applyBorder="1" applyAlignment="1">
      <alignment horizontal="center" vertical="center" wrapText="1"/>
    </xf>
    <xf numFmtId="0" fontId="7" fillId="8" borderId="6" xfId="0" applyFont="1" applyFill="1" applyBorder="1" applyAlignment="1">
      <alignment vertical="center" wrapText="1"/>
    </xf>
    <xf numFmtId="0" fontId="7" fillId="8" borderId="6" xfId="0" applyFont="1" applyFill="1" applyBorder="1" applyAlignment="1">
      <alignment horizontal="center" vertical="center" wrapText="1"/>
    </xf>
    <xf numFmtId="0" fontId="0" fillId="0" borderId="8" xfId="0" applyBorder="1" applyAlignment="1">
      <alignment vertical="center" wrapText="1"/>
    </xf>
    <xf numFmtId="0" fontId="5" fillId="0" borderId="0" xfId="0" applyFont="1" applyAlignment="1">
      <alignment vertical="center" wrapText="1"/>
    </xf>
    <xf numFmtId="0" fontId="0" fillId="0" borderId="0" xfId="0" applyAlignment="1">
      <alignment vertical="center" wrapText="1"/>
    </xf>
    <xf numFmtId="0" fontId="0" fillId="2" borderId="8" xfId="0" applyFill="1" applyBorder="1" applyAlignment="1">
      <alignment horizontal="left" vertical="center" wrapText="1"/>
    </xf>
    <xf numFmtId="0" fontId="0" fillId="0" borderId="8" xfId="0" applyBorder="1" applyAlignment="1">
      <alignment horizontal="left" vertical="center" wrapText="1"/>
    </xf>
    <xf numFmtId="0" fontId="15" fillId="0" borderId="0" xfId="0" applyFont="1" applyAlignment="1">
      <alignment vertical="center" wrapText="1"/>
    </xf>
    <xf numFmtId="0" fontId="0" fillId="5" borderId="8" xfId="0" applyFill="1" applyBorder="1" applyAlignment="1">
      <alignment vertical="center" wrapText="1"/>
    </xf>
    <xf numFmtId="0" fontId="5" fillId="0" borderId="3" xfId="0" applyFont="1" applyBorder="1" applyAlignment="1">
      <alignment vertical="center" wrapText="1"/>
    </xf>
    <xf numFmtId="9" fontId="0" fillId="0" borderId="0" xfId="0" applyNumberFormat="1" applyAlignment="1">
      <alignment vertical="center" wrapText="1"/>
    </xf>
    <xf numFmtId="0" fontId="7" fillId="2" borderId="8" xfId="0" applyFont="1" applyFill="1" applyBorder="1" applyAlignment="1">
      <alignment vertical="center" wrapText="1"/>
    </xf>
    <xf numFmtId="0" fontId="24" fillId="0" borderId="0" xfId="4" applyAlignment="1">
      <alignment vertical="center" wrapText="1"/>
    </xf>
    <xf numFmtId="0" fontId="12" fillId="0" borderId="8" xfId="0" applyFont="1" applyBorder="1" applyAlignment="1">
      <alignment vertical="center" wrapText="1"/>
    </xf>
    <xf numFmtId="0" fontId="8" fillId="17" borderId="8" xfId="0" applyFont="1" applyFill="1" applyBorder="1" applyAlignment="1">
      <alignment vertical="center" wrapText="1"/>
    </xf>
    <xf numFmtId="0" fontId="8" fillId="0" borderId="8" xfId="0" applyFont="1" applyBorder="1" applyAlignment="1">
      <alignment vertical="center" wrapText="1"/>
    </xf>
    <xf numFmtId="0" fontId="12" fillId="0" borderId="8" xfId="0" applyFont="1" applyBorder="1" applyAlignment="1">
      <alignment horizontal="right" vertical="center" wrapText="1"/>
    </xf>
    <xf numFmtId="0" fontId="8" fillId="8" borderId="8" xfId="0" applyFont="1" applyFill="1" applyBorder="1" applyAlignment="1">
      <alignment vertical="center" wrapText="1"/>
    </xf>
    <xf numFmtId="0" fontId="8" fillId="19" borderId="8" xfId="0" applyFont="1" applyFill="1" applyBorder="1" applyAlignment="1">
      <alignment vertical="center" wrapText="1"/>
    </xf>
    <xf numFmtId="0" fontId="5" fillId="0" borderId="0" xfId="0" applyFont="1" applyAlignment="1">
      <alignment horizontal="right"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9" fontId="0" fillId="0" borderId="0" xfId="2" applyFont="1" applyAlignment="1">
      <alignment horizontal="center" vertical="center" wrapText="1"/>
    </xf>
    <xf numFmtId="0" fontId="9" fillId="0" borderId="0" xfId="0" applyFont="1" applyAlignment="1">
      <alignment horizontal="center" vertical="center" wrapText="1"/>
    </xf>
    <xf numFmtId="0" fontId="2" fillId="8" borderId="30" xfId="0" applyFont="1" applyFill="1" applyBorder="1" applyAlignment="1">
      <alignment horizontal="center" vertical="center" wrapText="1"/>
    </xf>
    <xf numFmtId="0" fontId="2" fillId="8" borderId="31" xfId="0" applyFont="1" applyFill="1" applyBorder="1" applyAlignment="1">
      <alignment horizontal="center" vertical="center" wrapText="1"/>
    </xf>
    <xf numFmtId="0" fontId="7" fillId="8" borderId="30" xfId="0" applyFont="1" applyFill="1" applyBorder="1" applyAlignment="1">
      <alignment horizontal="center" vertical="center" wrapText="1"/>
    </xf>
    <xf numFmtId="0" fontId="7" fillId="8" borderId="31" xfId="0" applyFont="1" applyFill="1" applyBorder="1" applyAlignment="1">
      <alignment horizontal="center" vertical="center" wrapText="1"/>
    </xf>
    <xf numFmtId="9" fontId="0" fillId="0" borderId="8" xfId="2" applyFont="1" applyBorder="1" applyAlignment="1">
      <alignment vertical="center" wrapText="1"/>
    </xf>
    <xf numFmtId="9" fontId="0" fillId="0" borderId="5" xfId="2" applyFont="1" applyFill="1" applyBorder="1" applyAlignment="1">
      <alignment horizontal="right" vertical="center" wrapText="1"/>
    </xf>
    <xf numFmtId="9" fontId="0" fillId="0" borderId="24" xfId="2" applyFont="1" applyFill="1" applyBorder="1" applyAlignment="1">
      <alignment vertical="center" wrapText="1"/>
    </xf>
    <xf numFmtId="9" fontId="0" fillId="0" borderId="27" xfId="2" applyFont="1" applyFill="1" applyBorder="1" applyAlignment="1">
      <alignment vertical="center" wrapText="1"/>
    </xf>
    <xf numFmtId="164" fontId="7" fillId="0" borderId="25" xfId="0" applyNumberFormat="1" applyFont="1" applyBorder="1" applyAlignment="1">
      <alignment vertical="center" wrapText="1"/>
    </xf>
    <xf numFmtId="0" fontId="0" fillId="2" borderId="8" xfId="0" applyFill="1" applyBorder="1" applyAlignment="1">
      <alignment vertical="center" wrapText="1"/>
    </xf>
    <xf numFmtId="9" fontId="0" fillId="2" borderId="5" xfId="2" applyFont="1" applyFill="1" applyBorder="1" applyAlignment="1">
      <alignment horizontal="right" vertical="center" wrapText="1"/>
    </xf>
    <xf numFmtId="9" fontId="0" fillId="2" borderId="24" xfId="2" applyFont="1" applyFill="1" applyBorder="1" applyAlignment="1">
      <alignment vertical="center" wrapText="1"/>
    </xf>
    <xf numFmtId="9" fontId="0" fillId="2" borderId="27" xfId="2" applyFont="1" applyFill="1" applyBorder="1" applyAlignment="1">
      <alignment vertical="center" wrapText="1"/>
    </xf>
    <xf numFmtId="164" fontId="5" fillId="2" borderId="36" xfId="0" applyNumberFormat="1" applyFont="1" applyFill="1" applyBorder="1" applyAlignment="1">
      <alignment vertical="center" wrapText="1"/>
    </xf>
    <xf numFmtId="164" fontId="5" fillId="2" borderId="25" xfId="0" applyNumberFormat="1" applyFont="1" applyFill="1" applyBorder="1" applyAlignment="1">
      <alignment vertical="center" wrapText="1"/>
    </xf>
    <xf numFmtId="164" fontId="2" fillId="2" borderId="8" xfId="0" applyNumberFormat="1" applyFont="1" applyFill="1" applyBorder="1" applyAlignment="1">
      <alignment horizontal="right" vertical="center" wrapText="1"/>
    </xf>
    <xf numFmtId="9" fontId="5" fillId="2" borderId="24" xfId="0" applyNumberFormat="1" applyFont="1" applyFill="1" applyBorder="1" applyAlignment="1">
      <alignment vertical="center" wrapText="1"/>
    </xf>
    <xf numFmtId="9" fontId="5" fillId="2" borderId="5" xfId="2" applyFont="1" applyFill="1" applyBorder="1" applyAlignment="1">
      <alignment vertical="center" wrapText="1"/>
    </xf>
    <xf numFmtId="9" fontId="0" fillId="0" borderId="5" xfId="2" applyFont="1" applyBorder="1" applyAlignment="1">
      <alignment horizontal="right" vertical="center" wrapText="1"/>
    </xf>
    <xf numFmtId="9" fontId="5" fillId="0" borderId="24" xfId="0" applyNumberFormat="1" applyFont="1" applyBorder="1" applyAlignment="1">
      <alignment vertical="center" wrapText="1"/>
    </xf>
    <xf numFmtId="9" fontId="5" fillId="0" borderId="5" xfId="2" applyFont="1" applyBorder="1" applyAlignment="1">
      <alignment vertical="center" wrapText="1"/>
    </xf>
    <xf numFmtId="164" fontId="5" fillId="0" borderId="36" xfId="0" applyNumberFormat="1" applyFont="1" applyBorder="1" applyAlignment="1">
      <alignment vertical="center" wrapText="1"/>
    </xf>
    <xf numFmtId="164" fontId="5" fillId="0" borderId="25" xfId="0" applyNumberFormat="1" applyFont="1" applyBorder="1" applyAlignment="1">
      <alignment vertical="center" wrapText="1"/>
    </xf>
    <xf numFmtId="164" fontId="2" fillId="0" borderId="8" xfId="0" applyNumberFormat="1" applyFont="1" applyBorder="1" applyAlignment="1">
      <alignment horizontal="right" vertical="center" wrapText="1"/>
    </xf>
    <xf numFmtId="9" fontId="5" fillId="0" borderId="5" xfId="0" applyNumberFormat="1" applyFont="1" applyBorder="1" applyAlignment="1">
      <alignment vertical="center" wrapText="1"/>
    </xf>
    <xf numFmtId="9" fontId="5" fillId="0" borderId="24" xfId="2" applyFont="1" applyBorder="1" applyAlignment="1">
      <alignment vertical="center" wrapText="1"/>
    </xf>
    <xf numFmtId="9" fontId="5" fillId="2" borderId="5" xfId="0" applyNumberFormat="1" applyFont="1" applyFill="1" applyBorder="1" applyAlignment="1">
      <alignment vertical="center" wrapText="1"/>
    </xf>
    <xf numFmtId="9" fontId="5" fillId="2" borderId="24" xfId="2" applyFont="1" applyFill="1" applyBorder="1" applyAlignment="1">
      <alignment vertical="center" wrapText="1"/>
    </xf>
    <xf numFmtId="9" fontId="0" fillId="2" borderId="5" xfId="0" applyNumberFormat="1" applyFill="1" applyBorder="1" applyAlignment="1">
      <alignment vertical="center" wrapText="1"/>
    </xf>
    <xf numFmtId="9" fontId="0" fillId="0" borderId="24" xfId="2" applyFont="1" applyBorder="1" applyAlignment="1">
      <alignment vertical="center" wrapText="1"/>
    </xf>
    <xf numFmtId="9" fontId="0" fillId="0" borderId="27" xfId="2" applyFont="1" applyBorder="1" applyAlignment="1">
      <alignment vertical="center" wrapText="1"/>
    </xf>
    <xf numFmtId="0" fontId="0" fillId="2" borderId="1" xfId="0" applyFill="1" applyBorder="1" applyAlignment="1">
      <alignment vertical="center" wrapText="1"/>
    </xf>
    <xf numFmtId="9" fontId="0" fillId="2" borderId="5" xfId="2" applyFont="1" applyFill="1" applyBorder="1" applyAlignment="1">
      <alignment vertical="center" wrapText="1"/>
    </xf>
    <xf numFmtId="164" fontId="5" fillId="2" borderId="3" xfId="0" applyNumberFormat="1" applyFont="1" applyFill="1" applyBorder="1" applyAlignment="1">
      <alignment vertical="center" wrapText="1"/>
    </xf>
    <xf numFmtId="164" fontId="5" fillId="2" borderId="24" xfId="0" applyNumberFormat="1" applyFont="1" applyFill="1" applyBorder="1" applyAlignment="1">
      <alignment vertical="center" wrapText="1"/>
    </xf>
    <xf numFmtId="0" fontId="0" fillId="0" borderId="1" xfId="0" applyBorder="1" applyAlignment="1">
      <alignment vertical="center" wrapText="1"/>
    </xf>
    <xf numFmtId="9" fontId="5" fillId="0" borderId="24" xfId="2" applyFont="1" applyFill="1" applyBorder="1" applyAlignment="1">
      <alignment vertical="center" wrapText="1"/>
    </xf>
    <xf numFmtId="9" fontId="5" fillId="0" borderId="5" xfId="2" applyFont="1" applyFill="1" applyBorder="1" applyAlignment="1">
      <alignment vertical="center" wrapText="1"/>
    </xf>
    <xf numFmtId="164" fontId="5" fillId="0" borderId="3" xfId="0" applyNumberFormat="1" applyFont="1" applyBorder="1" applyAlignment="1">
      <alignment vertical="center" wrapText="1"/>
    </xf>
    <xf numFmtId="164" fontId="5" fillId="0" borderId="24" xfId="0" applyNumberFormat="1" applyFont="1" applyBorder="1" applyAlignment="1">
      <alignment vertical="center" wrapText="1"/>
    </xf>
    <xf numFmtId="0" fontId="2" fillId="8" borderId="8" xfId="0" applyFont="1" applyFill="1" applyBorder="1" applyAlignment="1">
      <alignment vertical="center" wrapText="1"/>
    </xf>
    <xf numFmtId="164" fontId="2" fillId="8" borderId="8" xfId="0" applyNumberFormat="1" applyFont="1" applyFill="1" applyBorder="1" applyAlignment="1">
      <alignment horizontal="right" vertical="center" wrapText="1"/>
    </xf>
    <xf numFmtId="9" fontId="0" fillId="8" borderId="5" xfId="2" applyFont="1" applyFill="1" applyBorder="1" applyAlignment="1">
      <alignment horizontal="right" vertical="center" wrapText="1"/>
    </xf>
    <xf numFmtId="9" fontId="0" fillId="8" borderId="24" xfId="2" applyFont="1" applyFill="1" applyBorder="1" applyAlignment="1">
      <alignment vertical="center" wrapText="1"/>
    </xf>
    <xf numFmtId="9" fontId="0" fillId="8" borderId="27" xfId="2" applyFont="1" applyFill="1" applyBorder="1" applyAlignment="1">
      <alignment vertical="center" wrapText="1"/>
    </xf>
    <xf numFmtId="164" fontId="5" fillId="8" borderId="36" xfId="0" applyNumberFormat="1" applyFont="1" applyFill="1" applyBorder="1" applyAlignment="1">
      <alignment vertical="center" wrapText="1"/>
    </xf>
    <xf numFmtId="164" fontId="5" fillId="8" borderId="25" xfId="0" applyNumberFormat="1" applyFont="1" applyFill="1" applyBorder="1" applyAlignment="1">
      <alignment vertical="center" wrapText="1"/>
    </xf>
    <xf numFmtId="164" fontId="0" fillId="8" borderId="8" xfId="0" applyNumberFormat="1" applyFill="1" applyBorder="1" applyAlignment="1">
      <alignment vertical="center" wrapText="1"/>
    </xf>
    <xf numFmtId="9" fontId="0" fillId="8" borderId="9" xfId="2" applyFont="1" applyFill="1" applyBorder="1" applyAlignment="1">
      <alignment horizontal="right" vertical="center" wrapText="1"/>
    </xf>
    <xf numFmtId="9" fontId="0" fillId="8" borderId="30" xfId="2" applyFont="1" applyFill="1" applyBorder="1" applyAlignment="1">
      <alignment vertical="center" wrapText="1"/>
    </xf>
    <xf numFmtId="0" fontId="2" fillId="0" borderId="0" xfId="0" applyFont="1" applyAlignment="1">
      <alignment horizontal="left" vertical="center" wrapText="1"/>
    </xf>
    <xf numFmtId="164" fontId="7" fillId="15" borderId="18" xfId="0" applyNumberFormat="1" applyFont="1" applyFill="1" applyBorder="1" applyAlignment="1">
      <alignment vertical="center" wrapText="1"/>
    </xf>
    <xf numFmtId="9" fontId="2" fillId="0" borderId="0" xfId="2" applyFont="1" applyBorder="1" applyAlignment="1">
      <alignment horizontal="right" vertical="center" wrapText="1"/>
    </xf>
    <xf numFmtId="0" fontId="2" fillId="5" borderId="12" xfId="0" applyFont="1" applyFill="1" applyBorder="1" applyAlignment="1">
      <alignment vertical="center" wrapText="1"/>
    </xf>
    <xf numFmtId="9" fontId="2" fillId="5" borderId="12" xfId="2" applyFont="1" applyFill="1" applyBorder="1" applyAlignment="1">
      <alignment horizontal="right" vertical="center" wrapText="1"/>
    </xf>
    <xf numFmtId="0" fontId="7" fillId="5" borderId="32" xfId="0" applyFont="1" applyFill="1" applyBorder="1" applyAlignment="1">
      <alignment vertical="center" wrapText="1"/>
    </xf>
    <xf numFmtId="0" fontId="7" fillId="5" borderId="33" xfId="0" applyFont="1" applyFill="1" applyBorder="1" applyAlignment="1">
      <alignment vertical="center" wrapText="1"/>
    </xf>
    <xf numFmtId="0" fontId="2" fillId="4" borderId="0" xfId="0" applyFont="1" applyFill="1" applyAlignment="1">
      <alignment vertical="center" wrapText="1"/>
    </xf>
    <xf numFmtId="0" fontId="2" fillId="4" borderId="12" xfId="0" applyFont="1" applyFill="1" applyBorder="1" applyAlignment="1">
      <alignment vertical="center" wrapText="1"/>
    </xf>
    <xf numFmtId="9" fontId="2" fillId="4" borderId="12" xfId="2" applyFont="1" applyFill="1" applyBorder="1" applyAlignment="1">
      <alignment horizontal="right" vertical="center" wrapText="1"/>
    </xf>
    <xf numFmtId="0" fontId="7" fillId="4" borderId="32" xfId="0" applyFont="1" applyFill="1" applyBorder="1" applyAlignment="1">
      <alignment vertical="center" wrapText="1"/>
    </xf>
    <xf numFmtId="0" fontId="7" fillId="4" borderId="33" xfId="0" applyFont="1" applyFill="1" applyBorder="1" applyAlignment="1">
      <alignment vertical="center" wrapText="1"/>
    </xf>
    <xf numFmtId="0" fontId="0" fillId="3" borderId="1" xfId="0" applyFill="1" applyBorder="1" applyAlignment="1">
      <alignment horizontal="left" vertical="center" wrapText="1"/>
    </xf>
    <xf numFmtId="0" fontId="2" fillId="3" borderId="12" xfId="0" applyFont="1" applyFill="1" applyBorder="1" applyAlignment="1">
      <alignment vertical="center" wrapText="1"/>
    </xf>
    <xf numFmtId="9" fontId="2" fillId="3" borderId="12" xfId="2" applyFont="1" applyFill="1" applyBorder="1" applyAlignment="1">
      <alignment horizontal="right" vertical="center" wrapText="1"/>
    </xf>
    <xf numFmtId="0" fontId="7" fillId="3" borderId="18" xfId="0" applyFont="1" applyFill="1" applyBorder="1" applyAlignment="1">
      <alignment vertical="center" wrapText="1"/>
    </xf>
    <xf numFmtId="0" fontId="7" fillId="3" borderId="19" xfId="0" applyFont="1" applyFill="1" applyBorder="1" applyAlignment="1">
      <alignment vertical="center" wrapText="1"/>
    </xf>
    <xf numFmtId="0" fontId="0" fillId="5" borderId="8" xfId="0" applyFill="1" applyBorder="1" applyAlignment="1">
      <alignment horizontal="left" vertical="center" wrapText="1"/>
    </xf>
    <xf numFmtId="164" fontId="2" fillId="5" borderId="3" xfId="0" applyNumberFormat="1" applyFont="1" applyFill="1" applyBorder="1" applyAlignment="1">
      <alignment horizontal="right" vertical="center" wrapText="1"/>
    </xf>
    <xf numFmtId="9" fontId="0" fillId="5" borderId="22" xfId="2" applyFont="1" applyFill="1" applyBorder="1" applyAlignment="1">
      <alignment vertical="center" wrapText="1"/>
    </xf>
    <xf numFmtId="9" fontId="0" fillId="5" borderId="35" xfId="2" applyFont="1" applyFill="1" applyBorder="1" applyAlignment="1">
      <alignment vertical="center" wrapText="1"/>
    </xf>
    <xf numFmtId="164" fontId="5" fillId="5" borderId="36" xfId="0" applyNumberFormat="1" applyFont="1" applyFill="1" applyBorder="1" applyAlignment="1">
      <alignment vertical="center" wrapText="1"/>
    </xf>
    <xf numFmtId="164" fontId="5" fillId="5" borderId="25" xfId="0" applyNumberFormat="1" applyFont="1" applyFill="1" applyBorder="1" applyAlignment="1">
      <alignment vertical="center" wrapText="1"/>
    </xf>
    <xf numFmtId="0" fontId="0" fillId="3" borderId="8" xfId="0" applyFill="1" applyBorder="1" applyAlignment="1">
      <alignment horizontal="left" vertical="center" wrapText="1"/>
    </xf>
    <xf numFmtId="9" fontId="0" fillId="3" borderId="8" xfId="0" applyNumberFormat="1" applyFill="1" applyBorder="1" applyAlignment="1">
      <alignment vertical="center" wrapText="1"/>
    </xf>
    <xf numFmtId="164" fontId="2" fillId="3" borderId="3" xfId="0" applyNumberFormat="1" applyFont="1" applyFill="1" applyBorder="1" applyAlignment="1">
      <alignment horizontal="right" vertical="center" wrapText="1"/>
    </xf>
    <xf numFmtId="9" fontId="0" fillId="3" borderId="5" xfId="2" applyFont="1" applyFill="1" applyBorder="1" applyAlignment="1">
      <alignment vertical="center" wrapText="1"/>
    </xf>
    <xf numFmtId="164" fontId="5" fillId="3" borderId="36" xfId="0" applyNumberFormat="1" applyFont="1" applyFill="1" applyBorder="1" applyAlignment="1">
      <alignment vertical="center" wrapText="1"/>
    </xf>
    <xf numFmtId="164" fontId="5" fillId="3" borderId="25" xfId="0" applyNumberFormat="1" applyFont="1" applyFill="1" applyBorder="1" applyAlignment="1">
      <alignment vertical="center" wrapText="1"/>
    </xf>
    <xf numFmtId="9" fontId="0" fillId="3" borderId="24" xfId="2" applyFont="1" applyFill="1" applyBorder="1" applyAlignment="1">
      <alignment vertical="center" wrapText="1"/>
    </xf>
    <xf numFmtId="9" fontId="0" fillId="3" borderId="27" xfId="2" applyFont="1" applyFill="1" applyBorder="1" applyAlignment="1">
      <alignment vertical="center" wrapText="1"/>
    </xf>
    <xf numFmtId="0" fontId="0" fillId="4" borderId="8" xfId="0" applyFill="1" applyBorder="1" applyAlignment="1">
      <alignment horizontal="left" vertical="center" wrapText="1"/>
    </xf>
    <xf numFmtId="9" fontId="0" fillId="4" borderId="8" xfId="0" applyNumberFormat="1" applyFill="1" applyBorder="1" applyAlignment="1">
      <alignment vertical="center" wrapText="1"/>
    </xf>
    <xf numFmtId="164" fontId="2" fillId="4" borderId="3" xfId="0" applyNumberFormat="1" applyFont="1" applyFill="1" applyBorder="1" applyAlignment="1">
      <alignment horizontal="right" vertical="center" wrapText="1"/>
    </xf>
    <xf numFmtId="9" fontId="0" fillId="4" borderId="24" xfId="2" applyFont="1" applyFill="1" applyBorder="1" applyAlignment="1">
      <alignment vertical="center" wrapText="1"/>
    </xf>
    <xf numFmtId="9" fontId="0" fillId="4" borderId="27" xfId="2" applyFont="1" applyFill="1" applyBorder="1" applyAlignment="1">
      <alignment vertical="center" wrapText="1"/>
    </xf>
    <xf numFmtId="164" fontId="5" fillId="4" borderId="36" xfId="0" applyNumberFormat="1" applyFont="1" applyFill="1" applyBorder="1" applyAlignment="1">
      <alignment vertical="center" wrapText="1"/>
    </xf>
    <xf numFmtId="164" fontId="5" fillId="4" borderId="25" xfId="0" applyNumberFormat="1" applyFont="1" applyFill="1" applyBorder="1" applyAlignment="1">
      <alignment vertical="center" wrapText="1"/>
    </xf>
    <xf numFmtId="9" fontId="0" fillId="5" borderId="5" xfId="2" applyFont="1" applyFill="1" applyBorder="1" applyAlignment="1">
      <alignment vertical="center" wrapText="1"/>
    </xf>
    <xf numFmtId="9" fontId="5" fillId="3" borderId="5" xfId="2" applyFont="1" applyFill="1" applyBorder="1" applyAlignment="1">
      <alignment vertical="center" wrapText="1"/>
    </xf>
    <xf numFmtId="0" fontId="0" fillId="4" borderId="8" xfId="0" applyFill="1" applyBorder="1" applyAlignment="1">
      <alignment vertical="center" wrapText="1"/>
    </xf>
    <xf numFmtId="9" fontId="0" fillId="4" borderId="5" xfId="2" applyFont="1" applyFill="1" applyBorder="1" applyAlignment="1">
      <alignment vertical="center" wrapText="1"/>
    </xf>
    <xf numFmtId="9" fontId="5" fillId="5" borderId="24" xfId="2" applyFont="1" applyFill="1" applyBorder="1" applyAlignment="1">
      <alignment vertical="center" wrapText="1"/>
    </xf>
    <xf numFmtId="9" fontId="5" fillId="5" borderId="5" xfId="2" applyFont="1" applyFill="1" applyBorder="1" applyAlignment="1">
      <alignment vertical="center" wrapText="1"/>
    </xf>
    <xf numFmtId="9" fontId="0" fillId="5" borderId="24" xfId="2" applyFont="1" applyFill="1" applyBorder="1" applyAlignment="1">
      <alignment vertical="center" wrapText="1"/>
    </xf>
    <xf numFmtId="9" fontId="0" fillId="5" borderId="27" xfId="2" applyFont="1" applyFill="1" applyBorder="1" applyAlignment="1">
      <alignment vertical="center" wrapText="1"/>
    </xf>
    <xf numFmtId="10" fontId="0" fillId="3" borderId="8" xfId="0" applyNumberFormat="1" applyFill="1" applyBorder="1" applyAlignment="1">
      <alignment vertical="center" wrapText="1"/>
    </xf>
    <xf numFmtId="0" fontId="0" fillId="3" borderId="8" xfId="0" applyFill="1" applyBorder="1" applyAlignment="1">
      <alignment vertical="center" wrapText="1"/>
    </xf>
    <xf numFmtId="10" fontId="0" fillId="4" borderId="8" xfId="0" applyNumberFormat="1" applyFill="1" applyBorder="1" applyAlignment="1">
      <alignment vertical="center" wrapText="1"/>
    </xf>
    <xf numFmtId="9" fontId="0" fillId="5" borderId="8" xfId="0" applyNumberFormat="1" applyFill="1" applyBorder="1" applyAlignment="1">
      <alignment vertical="center" wrapText="1"/>
    </xf>
    <xf numFmtId="9" fontId="0" fillId="5" borderId="20" xfId="2" applyFont="1" applyFill="1" applyBorder="1" applyAlignment="1">
      <alignment vertical="center" wrapText="1"/>
    </xf>
    <xf numFmtId="9" fontId="0" fillId="5" borderId="26" xfId="2" applyFont="1" applyFill="1" applyBorder="1" applyAlignment="1">
      <alignment vertical="center" wrapText="1"/>
    </xf>
    <xf numFmtId="9" fontId="0" fillId="0" borderId="5" xfId="2" applyFont="1" applyFill="1" applyBorder="1" applyAlignment="1">
      <alignment vertical="center" wrapText="1"/>
    </xf>
    <xf numFmtId="43" fontId="0" fillId="0" borderId="8" xfId="1" applyFont="1" applyBorder="1" applyAlignment="1">
      <alignment vertical="center" wrapText="1"/>
    </xf>
    <xf numFmtId="0" fontId="0" fillId="0" borderId="24" xfId="0" applyBorder="1" applyAlignment="1">
      <alignment vertical="center" wrapText="1"/>
    </xf>
    <xf numFmtId="0" fontId="0" fillId="0" borderId="5" xfId="0" applyBorder="1" applyAlignment="1">
      <alignment vertical="center" wrapText="1"/>
    </xf>
    <xf numFmtId="0" fontId="2" fillId="8" borderId="30" xfId="0" applyFont="1" applyFill="1" applyBorder="1" applyAlignment="1">
      <alignment vertical="center" wrapText="1"/>
    </xf>
    <xf numFmtId="0" fontId="2" fillId="8" borderId="31" xfId="0" applyFont="1" applyFill="1" applyBorder="1" applyAlignment="1">
      <alignment vertical="center" wrapText="1"/>
    </xf>
    <xf numFmtId="0" fontId="7" fillId="8" borderId="30" xfId="0" applyFont="1" applyFill="1" applyBorder="1" applyAlignment="1">
      <alignment vertical="center" wrapText="1"/>
    </xf>
    <xf numFmtId="0" fontId="7" fillId="8" borderId="31" xfId="0" applyFont="1" applyFill="1" applyBorder="1" applyAlignment="1">
      <alignment vertical="center" wrapText="1"/>
    </xf>
    <xf numFmtId="9" fontId="0" fillId="0" borderId="24" xfId="0" applyNumberFormat="1" applyBorder="1" applyAlignment="1">
      <alignment vertical="center" wrapText="1"/>
    </xf>
    <xf numFmtId="9" fontId="0" fillId="0" borderId="5" xfId="0" applyNumberFormat="1" applyBorder="1" applyAlignment="1">
      <alignment vertical="center" wrapText="1"/>
    </xf>
    <xf numFmtId="164" fontId="7" fillId="0" borderId="36" xfId="0" applyNumberFormat="1" applyFont="1" applyBorder="1" applyAlignment="1">
      <alignment vertical="center" wrapText="1"/>
    </xf>
    <xf numFmtId="0" fontId="2" fillId="0" borderId="8" xfId="0" applyFont="1" applyBorder="1" applyAlignment="1">
      <alignment vertical="center" wrapText="1"/>
    </xf>
    <xf numFmtId="9" fontId="2" fillId="0" borderId="8" xfId="0" applyNumberFormat="1" applyFont="1" applyBorder="1" applyAlignment="1">
      <alignment horizontal="center" vertical="center" wrapText="1"/>
    </xf>
    <xf numFmtId="9" fontId="0" fillId="0" borderId="5" xfId="2" applyFont="1" applyBorder="1" applyAlignment="1">
      <alignment vertical="center" wrapText="1"/>
    </xf>
    <xf numFmtId="9" fontId="5" fillId="0" borderId="27" xfId="0" applyNumberFormat="1" applyFont="1" applyBorder="1" applyAlignment="1">
      <alignment vertical="center" wrapText="1"/>
    </xf>
    <xf numFmtId="9" fontId="5" fillId="0" borderId="27" xfId="2" applyFont="1" applyBorder="1" applyAlignment="1">
      <alignment vertical="center" wrapText="1"/>
    </xf>
    <xf numFmtId="9" fontId="0" fillId="0" borderId="8" xfId="0" applyNumberFormat="1" applyBorder="1" applyAlignment="1">
      <alignment horizontal="center" vertical="center" wrapText="1"/>
    </xf>
    <xf numFmtId="164" fontId="0" fillId="0" borderId="8" xfId="0" applyNumberFormat="1" applyBorder="1" applyAlignment="1">
      <alignment horizontal="right" vertical="center" wrapText="1"/>
    </xf>
    <xf numFmtId="9" fontId="0" fillId="8" borderId="5" xfId="2" applyFont="1" applyFill="1" applyBorder="1" applyAlignment="1" applyProtection="1">
      <alignment vertical="center" wrapText="1"/>
      <protection locked="0"/>
    </xf>
    <xf numFmtId="9" fontId="2" fillId="8" borderId="8" xfId="2" applyFont="1" applyFill="1" applyBorder="1" applyAlignment="1">
      <alignment vertical="center" wrapText="1"/>
    </xf>
    <xf numFmtId="9" fontId="2" fillId="8" borderId="5" xfId="2" applyFont="1" applyFill="1" applyBorder="1" applyAlignment="1">
      <alignment vertical="center" wrapText="1"/>
    </xf>
    <xf numFmtId="0" fontId="4" fillId="10" borderId="15" xfId="0" applyFont="1" applyFill="1" applyBorder="1" applyAlignment="1">
      <alignment vertical="center" wrapText="1"/>
    </xf>
    <xf numFmtId="0" fontId="0" fillId="10" borderId="0" xfId="0" applyFill="1" applyAlignment="1">
      <alignment vertical="center" wrapText="1"/>
    </xf>
    <xf numFmtId="164" fontId="7" fillId="10" borderId="18" xfId="0" applyNumberFormat="1" applyFont="1" applyFill="1" applyBorder="1" applyAlignment="1">
      <alignment vertical="center" wrapText="1"/>
    </xf>
    <xf numFmtId="9" fontId="0" fillId="0" borderId="0" xfId="2" applyFont="1" applyBorder="1" applyAlignment="1">
      <alignment horizontal="right" vertical="center" wrapText="1"/>
    </xf>
    <xf numFmtId="0" fontId="0" fillId="0" borderId="18" xfId="0" applyBorder="1" applyAlignment="1">
      <alignment vertical="center" wrapText="1"/>
    </xf>
    <xf numFmtId="0" fontId="5" fillId="0" borderId="19" xfId="0" applyFont="1" applyBorder="1" applyAlignment="1">
      <alignment vertical="center" wrapText="1"/>
    </xf>
    <xf numFmtId="0" fontId="4" fillId="0" borderId="0" xfId="0" applyFont="1" applyAlignment="1">
      <alignment vertical="center" wrapText="1"/>
    </xf>
    <xf numFmtId="0" fontId="2" fillId="5" borderId="32" xfId="0" applyFont="1" applyFill="1" applyBorder="1" applyAlignment="1">
      <alignment vertical="center" wrapText="1"/>
    </xf>
    <xf numFmtId="0" fontId="2" fillId="5" borderId="33" xfId="0" applyFont="1" applyFill="1" applyBorder="1" applyAlignment="1">
      <alignment vertical="center" wrapText="1"/>
    </xf>
    <xf numFmtId="0" fontId="2" fillId="4" borderId="32" xfId="0" applyFont="1" applyFill="1" applyBorder="1" applyAlignment="1">
      <alignment vertical="center" wrapText="1"/>
    </xf>
    <xf numFmtId="0" fontId="2" fillId="4" borderId="33" xfId="0" applyFont="1" applyFill="1" applyBorder="1" applyAlignment="1">
      <alignment vertical="center" wrapText="1"/>
    </xf>
    <xf numFmtId="0" fontId="2" fillId="3" borderId="32" xfId="0" applyFont="1" applyFill="1" applyBorder="1" applyAlignment="1">
      <alignment vertical="center" wrapText="1"/>
    </xf>
    <xf numFmtId="0" fontId="0" fillId="0" borderId="0" xfId="0" applyAlignment="1">
      <alignment horizontal="left" vertical="center" wrapText="1"/>
    </xf>
    <xf numFmtId="9" fontId="0" fillId="0" borderId="0" xfId="2" applyFont="1" applyAlignment="1">
      <alignment horizontal="right" vertical="center" wrapText="1"/>
    </xf>
    <xf numFmtId="9" fontId="0" fillId="5" borderId="5" xfId="0" applyNumberFormat="1" applyFill="1" applyBorder="1" applyAlignment="1">
      <alignment vertical="center" wrapText="1"/>
    </xf>
    <xf numFmtId="9" fontId="5" fillId="5" borderId="8" xfId="0" applyNumberFormat="1" applyFont="1" applyFill="1" applyBorder="1" applyAlignment="1">
      <alignment vertical="center" wrapText="1"/>
    </xf>
    <xf numFmtId="9" fontId="5" fillId="3" borderId="24" xfId="2" applyFont="1" applyFill="1" applyBorder="1" applyAlignment="1">
      <alignment vertical="center" wrapText="1"/>
    </xf>
    <xf numFmtId="9" fontId="5" fillId="4" borderId="24" xfId="2" applyFont="1" applyFill="1" applyBorder="1" applyAlignment="1">
      <alignment vertical="center" wrapText="1"/>
    </xf>
    <xf numFmtId="0" fontId="0" fillId="8" borderId="8" xfId="0" applyFill="1" applyBorder="1" applyAlignment="1">
      <alignment vertical="center" wrapText="1"/>
    </xf>
    <xf numFmtId="164" fontId="2" fillId="8" borderId="3" xfId="0" applyNumberFormat="1" applyFont="1" applyFill="1" applyBorder="1" applyAlignment="1">
      <alignment horizontal="right" vertical="center" wrapText="1"/>
    </xf>
    <xf numFmtId="9" fontId="5" fillId="8" borderId="24" xfId="2" applyFont="1" applyFill="1" applyBorder="1" applyAlignment="1">
      <alignment vertical="center" wrapText="1"/>
    </xf>
    <xf numFmtId="9" fontId="5" fillId="8" borderId="25" xfId="2" applyFont="1" applyFill="1" applyBorder="1" applyAlignment="1">
      <alignment vertical="center" wrapText="1"/>
    </xf>
    <xf numFmtId="0" fontId="0" fillId="8" borderId="8" xfId="0" applyFill="1" applyBorder="1" applyAlignment="1">
      <alignment horizontal="left" vertical="center" wrapText="1"/>
    </xf>
    <xf numFmtId="9" fontId="0" fillId="8" borderId="8" xfId="0" applyNumberFormat="1" applyFill="1" applyBorder="1" applyAlignment="1">
      <alignment vertical="center" wrapText="1"/>
    </xf>
    <xf numFmtId="9" fontId="5" fillId="5" borderId="25" xfId="2" applyFont="1" applyFill="1" applyBorder="1" applyAlignment="1">
      <alignment vertical="center" wrapText="1"/>
    </xf>
    <xf numFmtId="9" fontId="5" fillId="4" borderId="5" xfId="2" applyFont="1" applyFill="1" applyBorder="1" applyAlignment="1">
      <alignment vertical="center" wrapText="1"/>
    </xf>
    <xf numFmtId="9" fontId="0" fillId="8" borderId="25" xfId="2" applyFont="1" applyFill="1" applyBorder="1" applyAlignment="1">
      <alignment vertical="center" wrapText="1"/>
    </xf>
    <xf numFmtId="9" fontId="0" fillId="5" borderId="21" xfId="2" applyFont="1" applyFill="1" applyBorder="1" applyAlignment="1">
      <alignment vertical="center" wrapText="1"/>
    </xf>
    <xf numFmtId="9" fontId="0" fillId="5" borderId="25" xfId="2" applyFont="1" applyFill="1" applyBorder="1" applyAlignment="1">
      <alignment vertical="center" wrapText="1"/>
    </xf>
    <xf numFmtId="0" fontId="0" fillId="0" borderId="25" xfId="0"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43" fontId="0" fillId="0" borderId="0" xfId="1" applyFont="1" applyBorder="1" applyAlignment="1">
      <alignment vertical="center" wrapText="1"/>
    </xf>
    <xf numFmtId="0" fontId="0" fillId="0" borderId="19" xfId="0" applyBorder="1" applyAlignment="1">
      <alignment vertical="center" wrapText="1"/>
    </xf>
    <xf numFmtId="0" fontId="5" fillId="0" borderId="18" xfId="0" applyFont="1" applyBorder="1" applyAlignment="1">
      <alignment vertical="center" wrapText="1"/>
    </xf>
    <xf numFmtId="9" fontId="0" fillId="0" borderId="18" xfId="0" applyNumberFormat="1" applyBorder="1" applyAlignment="1">
      <alignment vertical="center" wrapText="1"/>
    </xf>
    <xf numFmtId="9" fontId="2" fillId="2" borderId="8" xfId="0" applyNumberFormat="1" applyFont="1" applyFill="1" applyBorder="1" applyAlignment="1">
      <alignment horizontal="center" vertical="center" wrapText="1"/>
    </xf>
    <xf numFmtId="164" fontId="2" fillId="2" borderId="8" xfId="0" applyNumberFormat="1" applyFont="1" applyFill="1" applyBorder="1" applyAlignment="1">
      <alignment vertical="center" wrapText="1"/>
    </xf>
    <xf numFmtId="164" fontId="0" fillId="0" borderId="0" xfId="0" applyNumberFormat="1" applyAlignment="1">
      <alignment vertical="center" wrapText="1"/>
    </xf>
    <xf numFmtId="164" fontId="5" fillId="2" borderId="1" xfId="0" applyNumberFormat="1" applyFont="1" applyFill="1" applyBorder="1" applyAlignment="1">
      <alignment vertical="center" wrapText="1"/>
    </xf>
    <xf numFmtId="0" fontId="5" fillId="0" borderId="8" xfId="0" applyFont="1" applyBorder="1" applyAlignment="1">
      <alignment vertical="center" wrapText="1"/>
    </xf>
    <xf numFmtId="164" fontId="2" fillId="0" borderId="8" xfId="0" applyNumberFormat="1" applyFont="1" applyBorder="1" applyAlignment="1">
      <alignment vertical="center" wrapText="1"/>
    </xf>
    <xf numFmtId="164" fontId="5" fillId="0" borderId="1" xfId="0" applyNumberFormat="1" applyFont="1" applyBorder="1" applyAlignment="1">
      <alignment vertical="center" wrapText="1"/>
    </xf>
    <xf numFmtId="9" fontId="0" fillId="0" borderId="0" xfId="2" applyFont="1" applyBorder="1" applyAlignment="1">
      <alignment vertical="center" wrapText="1"/>
    </xf>
    <xf numFmtId="9" fontId="0" fillId="0" borderId="0" xfId="2" applyFont="1" applyAlignment="1">
      <alignment vertical="center" wrapText="1"/>
    </xf>
    <xf numFmtId="164" fontId="7" fillId="15" borderId="25" xfId="0" applyNumberFormat="1" applyFont="1" applyFill="1" applyBorder="1" applyAlignment="1">
      <alignment vertical="center" wrapText="1"/>
    </xf>
    <xf numFmtId="164" fontId="7" fillId="15" borderId="5" xfId="0" applyNumberFormat="1" applyFont="1" applyFill="1" applyBorder="1" applyAlignment="1">
      <alignment vertical="center" wrapText="1"/>
    </xf>
    <xf numFmtId="9" fontId="3" fillId="0" borderId="0" xfId="0" applyNumberFormat="1" applyFont="1" applyAlignment="1">
      <alignment vertical="center" wrapText="1"/>
    </xf>
    <xf numFmtId="0" fontId="2" fillId="3" borderId="33" xfId="0" applyFont="1" applyFill="1" applyBorder="1" applyAlignment="1">
      <alignment vertical="center" wrapText="1"/>
    </xf>
    <xf numFmtId="9" fontId="0" fillId="5" borderId="23" xfId="2" applyFont="1" applyFill="1" applyBorder="1" applyAlignment="1">
      <alignment vertical="center" wrapText="1"/>
    </xf>
    <xf numFmtId="9" fontId="0" fillId="5" borderId="28" xfId="2" applyFont="1" applyFill="1" applyBorder="1" applyAlignment="1">
      <alignment vertical="center" wrapText="1"/>
    </xf>
    <xf numFmtId="9" fontId="0" fillId="5" borderId="29" xfId="2" applyFont="1" applyFill="1" applyBorder="1" applyAlignment="1">
      <alignment vertical="center" wrapText="1"/>
    </xf>
    <xf numFmtId="9" fontId="0" fillId="3" borderId="25" xfId="2" applyFont="1" applyFill="1" applyBorder="1" applyAlignment="1">
      <alignment vertical="center" wrapText="1"/>
    </xf>
    <xf numFmtId="9" fontId="0" fillId="3" borderId="8" xfId="2" applyFont="1" applyFill="1" applyBorder="1" applyAlignment="1">
      <alignment vertical="center" wrapText="1"/>
    </xf>
    <xf numFmtId="9" fontId="0" fillId="4" borderId="34" xfId="2" applyFont="1" applyFill="1" applyBorder="1" applyAlignment="1">
      <alignment vertical="center" wrapText="1"/>
    </xf>
    <xf numFmtId="9" fontId="0" fillId="4" borderId="24" xfId="0" applyNumberFormat="1" applyFill="1" applyBorder="1" applyAlignment="1">
      <alignment vertical="center" wrapText="1"/>
    </xf>
    <xf numFmtId="0" fontId="0" fillId="8" borderId="24" xfId="0" applyFill="1" applyBorder="1" applyAlignment="1">
      <alignment vertical="center" wrapText="1"/>
    </xf>
    <xf numFmtId="0" fontId="0" fillId="8" borderId="25" xfId="0" applyFill="1" applyBorder="1" applyAlignment="1">
      <alignment vertical="center" wrapText="1"/>
    </xf>
    <xf numFmtId="0" fontId="5" fillId="8" borderId="18" xfId="0" applyFont="1" applyFill="1" applyBorder="1" applyAlignment="1">
      <alignment vertical="center" wrapText="1"/>
    </xf>
    <xf numFmtId="0" fontId="5" fillId="8" borderId="19" xfId="0" applyFont="1" applyFill="1" applyBorder="1" applyAlignment="1">
      <alignment vertical="center" wrapText="1"/>
    </xf>
    <xf numFmtId="0" fontId="0" fillId="0" borderId="0" xfId="1" applyNumberFormat="1" applyFont="1" applyBorder="1" applyAlignment="1">
      <alignment vertical="center" wrapText="1"/>
    </xf>
    <xf numFmtId="0" fontId="2" fillId="0" borderId="8" xfId="0" applyFont="1" applyBorder="1" applyAlignment="1">
      <alignment horizontal="left" vertical="center" wrapText="1"/>
    </xf>
    <xf numFmtId="165" fontId="2" fillId="0" borderId="8" xfId="1" applyNumberFormat="1" applyFont="1" applyFill="1" applyBorder="1" applyAlignment="1">
      <alignment horizontal="right" vertical="center" wrapText="1"/>
    </xf>
    <xf numFmtId="164" fontId="2" fillId="0" borderId="24" xfId="0" applyNumberFormat="1" applyFont="1" applyBorder="1" applyAlignment="1">
      <alignment horizontal="right" vertical="center" wrapText="1"/>
    </xf>
    <xf numFmtId="164" fontId="2" fillId="0" borderId="25" xfId="0" applyNumberFormat="1" applyFont="1" applyBorder="1" applyAlignment="1">
      <alignment horizontal="right" vertical="center" wrapText="1"/>
    </xf>
    <xf numFmtId="164" fontId="7" fillId="0" borderId="24" xfId="0" applyNumberFormat="1" applyFont="1" applyBorder="1" applyAlignment="1">
      <alignment horizontal="right" vertical="center" wrapText="1"/>
    </xf>
    <xf numFmtId="9" fontId="10" fillId="0" borderId="24" xfId="2" applyFont="1" applyBorder="1" applyAlignment="1">
      <alignment vertical="center" wrapText="1"/>
    </xf>
    <xf numFmtId="9" fontId="10" fillId="0" borderId="25" xfId="2" applyFont="1" applyBorder="1" applyAlignment="1">
      <alignment vertical="center" wrapText="1"/>
    </xf>
    <xf numFmtId="9" fontId="0" fillId="0" borderId="25" xfId="2" applyFont="1" applyBorder="1" applyAlignment="1">
      <alignment vertical="center" wrapText="1"/>
    </xf>
    <xf numFmtId="0" fontId="0" fillId="0" borderId="6" xfId="0" applyBorder="1" applyAlignment="1">
      <alignment vertical="center" wrapText="1"/>
    </xf>
    <xf numFmtId="9" fontId="0" fillId="0" borderId="8" xfId="2" applyFont="1" applyFill="1" applyBorder="1" applyAlignment="1">
      <alignment vertical="center" wrapText="1"/>
    </xf>
    <xf numFmtId="9" fontId="0" fillId="0" borderId="8" xfId="2" applyFont="1" applyBorder="1" applyAlignment="1">
      <alignment horizontal="right" vertical="center" wrapText="1"/>
    </xf>
    <xf numFmtId="164" fontId="5" fillId="0" borderId="0" xfId="0" applyNumberFormat="1" applyFont="1" applyAlignment="1">
      <alignment vertical="center" wrapText="1"/>
    </xf>
    <xf numFmtId="9" fontId="5" fillId="0" borderId="8" xfId="2" applyFont="1" applyBorder="1" applyAlignment="1">
      <alignment vertical="center" wrapText="1"/>
    </xf>
    <xf numFmtId="9" fontId="5" fillId="0" borderId="8" xfId="2" applyFont="1" applyBorder="1" applyAlignment="1">
      <alignment horizontal="right" vertical="center" wrapText="1"/>
    </xf>
    <xf numFmtId="164" fontId="5" fillId="0" borderId="24" xfId="0" applyNumberFormat="1" applyFont="1" applyBorder="1" applyAlignment="1">
      <alignment horizontal="right" vertical="center" wrapText="1"/>
    </xf>
    <xf numFmtId="164" fontId="0" fillId="0" borderId="24" xfId="0" applyNumberFormat="1" applyBorder="1" applyAlignment="1">
      <alignment horizontal="right" vertical="center" wrapText="1"/>
    </xf>
    <xf numFmtId="164" fontId="5" fillId="0" borderId="8" xfId="0" applyNumberFormat="1" applyFont="1" applyBorder="1" applyAlignment="1">
      <alignment horizontal="right" vertical="center" wrapText="1"/>
    </xf>
    <xf numFmtId="9" fontId="5" fillId="0" borderId="0" xfId="2" applyFont="1" applyBorder="1" applyAlignment="1">
      <alignment vertical="center" wrapText="1"/>
    </xf>
    <xf numFmtId="164" fontId="5" fillId="0" borderId="0" xfId="0" applyNumberFormat="1" applyFont="1" applyAlignment="1">
      <alignment horizontal="right" vertical="center" wrapText="1"/>
    </xf>
    <xf numFmtId="9" fontId="5" fillId="0" borderId="0" xfId="2" applyFont="1" applyBorder="1" applyAlignment="1">
      <alignment horizontal="right" vertical="center" wrapText="1"/>
    </xf>
    <xf numFmtId="1" fontId="2" fillId="0" borderId="8" xfId="0" applyNumberFormat="1" applyFont="1" applyBorder="1" applyAlignment="1">
      <alignment vertical="center" wrapText="1"/>
    </xf>
    <xf numFmtId="9" fontId="5" fillId="0" borderId="0" xfId="2" applyFont="1" applyAlignment="1">
      <alignment horizontal="right" vertical="center" wrapText="1"/>
    </xf>
    <xf numFmtId="9" fontId="2" fillId="0" borderId="8" xfId="2" applyFont="1" applyFill="1" applyBorder="1" applyAlignment="1">
      <alignment vertical="center" wrapText="1"/>
    </xf>
    <xf numFmtId="9" fontId="0" fillId="0" borderId="24" xfId="2" applyFont="1" applyFill="1" applyBorder="1" applyAlignment="1">
      <alignment horizontal="right" vertical="center" wrapText="1"/>
    </xf>
    <xf numFmtId="9" fontId="2" fillId="0" borderId="0" xfId="2" applyFont="1" applyFill="1" applyBorder="1" applyAlignment="1">
      <alignment horizontal="right" vertical="center" wrapText="1"/>
    </xf>
    <xf numFmtId="9" fontId="12" fillId="0" borderId="8" xfId="0" applyNumberFormat="1" applyFont="1" applyBorder="1" applyAlignment="1">
      <alignment vertical="center" wrapText="1"/>
    </xf>
    <xf numFmtId="164" fontId="13" fillId="0" borderId="8" xfId="0" applyNumberFormat="1" applyFont="1" applyBorder="1" applyAlignment="1">
      <alignment horizontal="right" vertical="center" wrapText="1"/>
    </xf>
    <xf numFmtId="9" fontId="8" fillId="0" borderId="8" xfId="2" applyFont="1" applyFill="1" applyBorder="1" applyAlignment="1">
      <alignment horizontal="right" vertical="center" wrapText="1"/>
    </xf>
    <xf numFmtId="164" fontId="16" fillId="0" borderId="8" xfId="0" applyNumberFormat="1" applyFont="1" applyBorder="1" applyAlignment="1">
      <alignment horizontal="right" vertical="center" wrapText="1"/>
    </xf>
    <xf numFmtId="168" fontId="12" fillId="17" borderId="8" xfId="0" applyNumberFormat="1" applyFont="1" applyFill="1" applyBorder="1" applyAlignment="1">
      <alignment vertical="center" wrapText="1"/>
    </xf>
    <xf numFmtId="164" fontId="13" fillId="17" borderId="8" xfId="0" applyNumberFormat="1" applyFont="1" applyFill="1" applyBorder="1" applyAlignment="1">
      <alignment horizontal="right" vertical="center" wrapText="1"/>
    </xf>
    <xf numFmtId="9" fontId="8" fillId="17" borderId="8" xfId="2" applyFont="1" applyFill="1" applyBorder="1" applyAlignment="1">
      <alignment horizontal="right" vertical="center" wrapText="1"/>
    </xf>
    <xf numFmtId="168" fontId="12" fillId="0" borderId="8" xfId="0" applyNumberFormat="1" applyFont="1" applyBorder="1" applyAlignment="1">
      <alignment vertical="center" wrapText="1"/>
    </xf>
    <xf numFmtId="9" fontId="0" fillId="0" borderId="6" xfId="2" applyFont="1" applyFill="1" applyBorder="1" applyAlignment="1">
      <alignment vertical="center" wrapText="1"/>
    </xf>
    <xf numFmtId="164" fontId="2" fillId="0" borderId="2" xfId="0" applyNumberFormat="1" applyFont="1" applyBorder="1" applyAlignment="1">
      <alignment horizontal="right" vertical="center" wrapText="1"/>
    </xf>
    <xf numFmtId="0" fontId="14" fillId="18" borderId="0" xfId="0" applyFont="1" applyFill="1" applyAlignment="1">
      <alignment vertical="center" wrapText="1"/>
    </xf>
    <xf numFmtId="9" fontId="13" fillId="18" borderId="0" xfId="2" applyFont="1" applyFill="1" applyBorder="1" applyAlignment="1">
      <alignment horizontal="right" vertical="center" wrapText="1"/>
    </xf>
    <xf numFmtId="164" fontId="2" fillId="0" borderId="0" xfId="0" applyNumberFormat="1" applyFont="1" applyAlignment="1">
      <alignment horizontal="right" vertical="center" wrapText="1"/>
    </xf>
    <xf numFmtId="0" fontId="14" fillId="17" borderId="0" xfId="0" applyFont="1" applyFill="1" applyAlignment="1">
      <alignment vertical="center" wrapText="1"/>
    </xf>
    <xf numFmtId="9" fontId="13" fillId="17" borderId="0" xfId="2" applyFont="1" applyFill="1" applyBorder="1" applyAlignment="1">
      <alignment horizontal="right" vertical="center" wrapText="1"/>
    </xf>
    <xf numFmtId="0" fontId="14" fillId="11" borderId="0" xfId="0" applyFont="1" applyFill="1" applyAlignment="1">
      <alignment vertical="center" wrapText="1"/>
    </xf>
    <xf numFmtId="0" fontId="13" fillId="11" borderId="0" xfId="0" applyFont="1" applyFill="1" applyAlignment="1">
      <alignment vertical="center" wrapText="1"/>
    </xf>
    <xf numFmtId="9" fontId="13" fillId="11" borderId="0" xfId="2" applyFont="1" applyFill="1" applyBorder="1" applyAlignment="1">
      <alignment horizontal="right" vertical="center" wrapText="1"/>
    </xf>
    <xf numFmtId="0" fontId="14" fillId="0" borderId="0" xfId="0" applyFont="1" applyAlignment="1">
      <alignment vertical="center" wrapText="1"/>
    </xf>
    <xf numFmtId="0" fontId="13" fillId="0" borderId="0" xfId="0" applyFont="1" applyAlignment="1">
      <alignment vertical="center" wrapText="1"/>
    </xf>
    <xf numFmtId="9" fontId="13" fillId="0" borderId="0" xfId="2" applyFont="1" applyFill="1" applyBorder="1" applyAlignment="1">
      <alignment horizontal="right" vertical="center" wrapText="1"/>
    </xf>
    <xf numFmtId="9" fontId="5" fillId="0" borderId="0" xfId="2" applyFont="1" applyFill="1" applyBorder="1" applyAlignment="1">
      <alignment vertical="center" wrapText="1"/>
    </xf>
    <xf numFmtId="9" fontId="12" fillId="18" borderId="8" xfId="2" applyFont="1" applyFill="1" applyBorder="1" applyAlignment="1">
      <alignment horizontal="right" vertical="center" wrapText="1"/>
    </xf>
    <xf numFmtId="164" fontId="13" fillId="5" borderId="8" xfId="0" applyNumberFormat="1" applyFont="1" applyFill="1" applyBorder="1" applyAlignment="1">
      <alignment horizontal="right" vertical="center" wrapText="1"/>
    </xf>
    <xf numFmtId="9" fontId="8" fillId="5" borderId="8" xfId="2" applyFont="1" applyFill="1" applyBorder="1" applyAlignment="1">
      <alignment horizontal="right" vertical="center" wrapText="1"/>
    </xf>
    <xf numFmtId="9" fontId="12" fillId="19" borderId="8" xfId="2" applyFont="1" applyFill="1" applyBorder="1" applyAlignment="1">
      <alignment horizontal="right" vertical="center" wrapText="1"/>
    </xf>
    <xf numFmtId="164" fontId="13" fillId="8" borderId="8" xfId="0" applyNumberFormat="1" applyFont="1" applyFill="1" applyBorder="1" applyAlignment="1">
      <alignment horizontal="right" vertical="center" wrapText="1"/>
    </xf>
    <xf numFmtId="9" fontId="8" fillId="8" borderId="8" xfId="2" applyFont="1" applyFill="1" applyBorder="1" applyAlignment="1">
      <alignment horizontal="right" vertical="center" wrapText="1"/>
    </xf>
    <xf numFmtId="0" fontId="12" fillId="8" borderId="8" xfId="0" applyFont="1" applyFill="1" applyBorder="1" applyAlignment="1">
      <alignment horizontal="right" vertical="center" wrapText="1"/>
    </xf>
    <xf numFmtId="0" fontId="0" fillId="8" borderId="8" xfId="0" applyFill="1" applyBorder="1" applyAlignment="1">
      <alignment horizontal="right" vertical="center" wrapText="1"/>
    </xf>
    <xf numFmtId="9" fontId="12" fillId="20" borderId="8" xfId="0" applyNumberFormat="1" applyFont="1" applyFill="1" applyBorder="1" applyAlignment="1">
      <alignment horizontal="right" vertical="center" wrapText="1"/>
    </xf>
    <xf numFmtId="164" fontId="13" fillId="3" borderId="8" xfId="0" applyNumberFormat="1" applyFont="1" applyFill="1" applyBorder="1" applyAlignment="1">
      <alignment horizontal="right" vertical="center" wrapText="1"/>
    </xf>
    <xf numFmtId="9" fontId="8" fillId="3" borderId="8" xfId="2" applyFont="1" applyFill="1" applyBorder="1" applyAlignment="1">
      <alignment horizontal="right" vertical="center" wrapText="1"/>
    </xf>
    <xf numFmtId="9" fontId="12" fillId="19" borderId="8" xfId="0" applyNumberFormat="1" applyFont="1" applyFill="1" applyBorder="1" applyAlignment="1">
      <alignment horizontal="right" vertical="center" wrapText="1"/>
    </xf>
    <xf numFmtId="10" fontId="0" fillId="8" borderId="8" xfId="0" applyNumberFormat="1" applyFill="1" applyBorder="1" applyAlignment="1">
      <alignment horizontal="right" vertical="center" wrapText="1"/>
    </xf>
    <xf numFmtId="9" fontId="0" fillId="8" borderId="8" xfId="0" applyNumberFormat="1" applyFill="1" applyBorder="1" applyAlignment="1">
      <alignment horizontal="right" vertical="center" wrapText="1"/>
    </xf>
    <xf numFmtId="0" fontId="12" fillId="19" borderId="8" xfId="0" applyFont="1" applyFill="1" applyBorder="1" applyAlignment="1">
      <alignment horizontal="right" vertical="center" wrapText="1"/>
    </xf>
    <xf numFmtId="43" fontId="0" fillId="8" borderId="8" xfId="1" applyFont="1" applyFill="1" applyBorder="1" applyAlignment="1">
      <alignment horizontal="right" vertical="center" wrapText="1"/>
    </xf>
    <xf numFmtId="9" fontId="12" fillId="20" borderId="8" xfId="2" applyFont="1" applyFill="1" applyBorder="1" applyAlignment="1">
      <alignment horizontal="right" vertical="center" wrapText="1"/>
    </xf>
    <xf numFmtId="9" fontId="13" fillId="3" borderId="8" xfId="2" applyFont="1" applyFill="1" applyBorder="1" applyAlignment="1">
      <alignment horizontal="right" vertical="center" wrapText="1"/>
    </xf>
    <xf numFmtId="9" fontId="12" fillId="12" borderId="8" xfId="2" applyFont="1" applyFill="1" applyBorder="1" applyAlignment="1">
      <alignment horizontal="right" vertical="center" wrapText="1"/>
    </xf>
    <xf numFmtId="9" fontId="13" fillId="5" borderId="8" xfId="2" applyFont="1" applyFill="1" applyBorder="1" applyAlignment="1">
      <alignment horizontal="right" vertical="center" wrapText="1"/>
    </xf>
    <xf numFmtId="0" fontId="12" fillId="12" borderId="8" xfId="0" applyFont="1" applyFill="1" applyBorder="1" applyAlignment="1">
      <alignment horizontal="right" vertical="center" wrapText="1"/>
    </xf>
    <xf numFmtId="9" fontId="12" fillId="12" borderId="6" xfId="2" applyFont="1" applyFill="1" applyBorder="1" applyAlignment="1">
      <alignment horizontal="right" vertical="center" wrapText="1"/>
    </xf>
    <xf numFmtId="164" fontId="13" fillId="5" borderId="6" xfId="0" applyNumberFormat="1" applyFont="1" applyFill="1" applyBorder="1" applyAlignment="1">
      <alignment horizontal="right" vertical="center" wrapText="1"/>
    </xf>
    <xf numFmtId="9" fontId="13" fillId="5" borderId="6" xfId="2" applyFont="1" applyFill="1" applyBorder="1" applyAlignment="1">
      <alignment horizontal="right" vertical="center" wrapText="1"/>
    </xf>
    <xf numFmtId="0" fontId="12" fillId="0" borderId="0" xfId="0" applyFont="1" applyAlignment="1">
      <alignment horizontal="right" vertical="center" wrapText="1"/>
    </xf>
    <xf numFmtId="164" fontId="13" fillId="0" borderId="0" xfId="0" applyNumberFormat="1" applyFont="1" applyAlignment="1">
      <alignment horizontal="right" vertical="center" wrapText="1"/>
    </xf>
    <xf numFmtId="9" fontId="8" fillId="0" borderId="0" xfId="2" applyFont="1" applyFill="1" applyBorder="1" applyAlignment="1">
      <alignment horizontal="right" vertical="center" wrapText="1"/>
    </xf>
    <xf numFmtId="0" fontId="0" fillId="0" borderId="0" xfId="0" applyAlignment="1">
      <alignment horizontal="right" vertical="center" wrapText="1"/>
    </xf>
    <xf numFmtId="43" fontId="0" fillId="0" borderId="0" xfId="1" applyFont="1" applyBorder="1" applyAlignment="1">
      <alignment horizontal="right" vertical="center" wrapText="1"/>
    </xf>
    <xf numFmtId="0" fontId="17" fillId="0" borderId="0" xfId="0" applyFont="1" applyAlignment="1">
      <alignment horizontal="center" vertical="center" wrapText="1"/>
    </xf>
    <xf numFmtId="164" fontId="17" fillId="0" borderId="0" xfId="0" applyNumberFormat="1" applyFont="1" applyAlignment="1">
      <alignment horizontal="left" vertical="center" wrapText="1"/>
    </xf>
    <xf numFmtId="0" fontId="21" fillId="0" borderId="42" xfId="0" applyFont="1" applyBorder="1" applyAlignment="1">
      <alignment vertical="center" wrapText="1"/>
    </xf>
    <xf numFmtId="165" fontId="4" fillId="0" borderId="0" xfId="1" applyNumberFormat="1" applyFont="1" applyFill="1" applyBorder="1" applyAlignment="1">
      <alignment vertical="center" wrapText="1"/>
    </xf>
    <xf numFmtId="9" fontId="0" fillId="0" borderId="0" xfId="2" applyFont="1" applyFill="1" applyBorder="1" applyAlignment="1">
      <alignment horizontal="right" vertical="center" wrapText="1"/>
    </xf>
    <xf numFmtId="43" fontId="0" fillId="0" borderId="0" xfId="1" applyFont="1" applyAlignment="1">
      <alignment vertical="center"/>
    </xf>
    <xf numFmtId="0" fontId="0" fillId="0" borderId="8" xfId="0" applyBorder="1" applyAlignment="1">
      <alignment horizontal="center" vertical="center" wrapText="1"/>
    </xf>
    <xf numFmtId="0" fontId="5" fillId="0" borderId="0" xfId="0" applyFont="1" applyAlignment="1">
      <alignment horizontal="center" vertical="center" wrapText="1"/>
    </xf>
    <xf numFmtId="164" fontId="0" fillId="0" borderId="0" xfId="0" applyNumberFormat="1" applyAlignment="1">
      <alignment horizontal="center" vertical="center" wrapText="1"/>
    </xf>
    <xf numFmtId="9" fontId="0" fillId="0" borderId="0" xfId="2" applyFont="1" applyBorder="1" applyAlignment="1">
      <alignment horizontal="center" vertical="center" wrapText="1"/>
    </xf>
    <xf numFmtId="9" fontId="3" fillId="0" borderId="0" xfId="0" applyNumberFormat="1" applyFont="1" applyAlignment="1">
      <alignment horizontal="center" vertical="center" wrapText="1"/>
    </xf>
    <xf numFmtId="165" fontId="5" fillId="0" borderId="0" xfId="1" applyNumberFormat="1" applyFont="1" applyAlignment="1">
      <alignment vertical="center" wrapText="1"/>
    </xf>
    <xf numFmtId="0" fontId="0" fillId="24" borderId="0" xfId="0" applyFill="1" applyAlignment="1">
      <alignment horizontal="center" vertical="center"/>
    </xf>
    <xf numFmtId="0" fontId="0" fillId="0" borderId="12" xfId="0" applyBorder="1" applyAlignment="1">
      <alignment horizontal="center" vertical="center"/>
    </xf>
    <xf numFmtId="165" fontId="0" fillId="0" borderId="0" xfId="1" applyNumberFormat="1" applyFont="1" applyAlignment="1">
      <alignment vertical="center"/>
    </xf>
    <xf numFmtId="0" fontId="0" fillId="2" borderId="12" xfId="0" applyFill="1" applyBorder="1" applyAlignment="1">
      <alignment horizontal="center" vertical="center"/>
    </xf>
    <xf numFmtId="0" fontId="0" fillId="0" borderId="2" xfId="0" applyBorder="1" applyAlignment="1">
      <alignment vertical="center"/>
    </xf>
    <xf numFmtId="0" fontId="0" fillId="0" borderId="14" xfId="0" applyBorder="1" applyAlignment="1">
      <alignment vertical="center"/>
    </xf>
    <xf numFmtId="165" fontId="0" fillId="0" borderId="0" xfId="0" applyNumberFormat="1" applyAlignment="1">
      <alignment vertical="center"/>
    </xf>
    <xf numFmtId="0" fontId="0" fillId="2" borderId="0" xfId="0" applyFill="1" applyAlignment="1">
      <alignment horizontal="center" vertical="center"/>
    </xf>
    <xf numFmtId="9" fontId="5" fillId="0" borderId="5" xfId="2" applyFont="1" applyFill="1" applyBorder="1" applyAlignment="1">
      <alignment horizontal="center" vertical="center" wrapText="1"/>
    </xf>
    <xf numFmtId="165" fontId="0" fillId="25" borderId="0" xfId="1" applyNumberFormat="1" applyFont="1" applyFill="1" applyAlignment="1">
      <alignment vertical="center"/>
    </xf>
    <xf numFmtId="0" fontId="0" fillId="0" borderId="12" xfId="0" applyBorder="1" applyAlignment="1">
      <alignment vertical="center" wrapText="1"/>
    </xf>
    <xf numFmtId="43" fontId="0" fillId="0" borderId="2" xfId="1" applyFont="1" applyBorder="1" applyAlignment="1">
      <alignment vertical="center"/>
    </xf>
    <xf numFmtId="43" fontId="0" fillId="0" borderId="14" xfId="1" applyFont="1" applyBorder="1" applyAlignment="1">
      <alignment vertical="center"/>
    </xf>
    <xf numFmtId="0" fontId="0" fillId="26" borderId="14" xfId="0" applyFill="1" applyBorder="1" applyAlignment="1">
      <alignment vertical="center"/>
    </xf>
    <xf numFmtId="165" fontId="1" fillId="0" borderId="0" xfId="1" applyNumberFormat="1" applyFont="1" applyAlignment="1"/>
    <xf numFmtId="165" fontId="2" fillId="0" borderId="0" xfId="0" applyNumberFormat="1" applyFont="1"/>
    <xf numFmtId="43" fontId="0" fillId="26" borderId="14" xfId="1" applyFont="1" applyFill="1" applyBorder="1" applyAlignment="1">
      <alignment vertical="center"/>
    </xf>
    <xf numFmtId="43" fontId="0" fillId="26" borderId="0" xfId="1" applyFont="1" applyFill="1" applyAlignment="1">
      <alignment vertical="center"/>
    </xf>
    <xf numFmtId="43" fontId="0" fillId="0" borderId="0" xfId="1" applyFont="1" applyAlignment="1">
      <alignment vertical="center" wrapText="1"/>
    </xf>
    <xf numFmtId="0" fontId="3" fillId="5" borderId="8" xfId="0" applyFont="1" applyFill="1" applyBorder="1" applyAlignment="1">
      <alignment vertical="center" wrapText="1"/>
    </xf>
    <xf numFmtId="0" fontId="3" fillId="5" borderId="8" xfId="0" applyFont="1" applyFill="1" applyBorder="1" applyAlignment="1">
      <alignment horizontal="left" vertical="center" wrapText="1"/>
    </xf>
    <xf numFmtId="165" fontId="0" fillId="2" borderId="0" xfId="1" applyNumberFormat="1" applyFont="1" applyFill="1" applyAlignment="1">
      <alignment vertical="center" wrapText="1"/>
    </xf>
    <xf numFmtId="165" fontId="5" fillId="2" borderId="0" xfId="1" applyNumberFormat="1" applyFont="1" applyFill="1" applyAlignment="1">
      <alignment vertical="center" wrapText="1"/>
    </xf>
    <xf numFmtId="0" fontId="3" fillId="8" borderId="8" xfId="0" applyFont="1" applyFill="1" applyBorder="1" applyAlignment="1">
      <alignment vertical="center" wrapText="1"/>
    </xf>
    <xf numFmtId="0" fontId="5" fillId="27" borderId="0" xfId="0" applyFont="1" applyFill="1" applyAlignment="1">
      <alignment vertical="center" wrapText="1"/>
    </xf>
    <xf numFmtId="0" fontId="3" fillId="0" borderId="0" xfId="0" applyFont="1" applyAlignment="1">
      <alignment vertical="center" wrapText="1"/>
    </xf>
    <xf numFmtId="0" fontId="27" fillId="0" borderId="0" xfId="0" applyFont="1" applyAlignment="1">
      <alignment vertical="center" wrapText="1"/>
    </xf>
    <xf numFmtId="43" fontId="0" fillId="4" borderId="2" xfId="1" applyFont="1" applyFill="1" applyBorder="1" applyAlignment="1">
      <alignment vertical="center"/>
    </xf>
    <xf numFmtId="43" fontId="0" fillId="4" borderId="14" xfId="1" applyFont="1" applyFill="1" applyBorder="1" applyAlignment="1">
      <alignment vertical="center"/>
    </xf>
    <xf numFmtId="43" fontId="0" fillId="4" borderId="0" xfId="1" applyFont="1" applyFill="1" applyAlignment="1">
      <alignment vertical="center"/>
    </xf>
    <xf numFmtId="168" fontId="0" fillId="7" borderId="0" xfId="2" applyNumberFormat="1" applyFont="1" applyFill="1" applyAlignment="1">
      <alignment horizontal="center" vertical="center"/>
    </xf>
    <xf numFmtId="165" fontId="0" fillId="2" borderId="0" xfId="0" applyNumberFormat="1" applyFill="1" applyAlignment="1">
      <alignment vertical="center" wrapText="1"/>
    </xf>
    <xf numFmtId="165" fontId="0" fillId="0" borderId="0" xfId="1" applyNumberFormat="1" applyFont="1" applyAlignment="1">
      <alignment vertical="center" wrapText="1"/>
    </xf>
    <xf numFmtId="165" fontId="0" fillId="0" borderId="0" xfId="0" applyNumberFormat="1" applyAlignment="1">
      <alignment vertical="center" wrapText="1"/>
    </xf>
    <xf numFmtId="165" fontId="27" fillId="0" borderId="0" xfId="0" applyNumberFormat="1" applyFont="1" applyAlignment="1">
      <alignment vertical="center" wrapText="1"/>
    </xf>
    <xf numFmtId="0" fontId="0" fillId="13" borderId="7" xfId="0" applyFill="1" applyBorder="1" applyAlignment="1">
      <alignment horizontal="left" vertical="center"/>
    </xf>
    <xf numFmtId="0" fontId="0" fillId="13" borderId="8" xfId="0" applyFill="1" applyBorder="1" applyAlignment="1">
      <alignment horizontal="left" vertical="center"/>
    </xf>
    <xf numFmtId="0" fontId="0" fillId="0" borderId="35" xfId="0" applyBorder="1" applyAlignment="1">
      <alignment horizontal="center" wrapText="1"/>
    </xf>
    <xf numFmtId="0" fontId="0" fillId="0" borderId="43" xfId="0" applyBorder="1" applyAlignment="1">
      <alignment horizontal="center" wrapText="1"/>
    </xf>
    <xf numFmtId="0" fontId="0" fillId="0" borderId="0" xfId="0" applyAlignment="1">
      <alignment horizontal="center" wrapText="1"/>
    </xf>
    <xf numFmtId="0" fontId="2" fillId="0" borderId="24" xfId="0" applyFont="1" applyBorder="1" applyAlignment="1">
      <alignment horizontal="center"/>
    </xf>
    <xf numFmtId="0" fontId="2" fillId="0" borderId="25" xfId="0" applyFont="1" applyBorder="1" applyAlignment="1">
      <alignment horizontal="center"/>
    </xf>
    <xf numFmtId="0" fontId="0" fillId="9" borderId="24" xfId="0" applyFill="1" applyBorder="1" applyAlignment="1">
      <alignment horizontal="center"/>
    </xf>
    <xf numFmtId="0" fontId="0" fillId="9" borderId="5" xfId="0" applyFill="1" applyBorder="1" applyAlignment="1">
      <alignment horizontal="center"/>
    </xf>
    <xf numFmtId="0" fontId="0" fillId="0" borderId="0" xfId="0" applyAlignment="1">
      <alignment horizontal="center"/>
    </xf>
    <xf numFmtId="0" fontId="0" fillId="0" borderId="8" xfId="0" applyBorder="1" applyAlignment="1">
      <alignment horizontal="left" vertical="center"/>
    </xf>
    <xf numFmtId="9" fontId="0" fillId="0" borderId="8" xfId="0" applyNumberFormat="1" applyBorder="1" applyAlignment="1">
      <alignment horizontal="center" vertical="center"/>
    </xf>
    <xf numFmtId="164" fontId="2" fillId="0" borderId="8" xfId="0" applyNumberFormat="1" applyFont="1" applyBorder="1" applyAlignment="1">
      <alignment horizontal="right" vertical="center"/>
    </xf>
    <xf numFmtId="164" fontId="2" fillId="0" borderId="2" xfId="0" applyNumberFormat="1" applyFont="1" applyBorder="1" applyAlignment="1">
      <alignment horizontal="center" vertical="center"/>
    </xf>
    <xf numFmtId="164" fontId="2" fillId="0" borderId="4" xfId="0" applyNumberFormat="1" applyFont="1" applyBorder="1" applyAlignment="1">
      <alignment horizontal="center" vertical="center"/>
    </xf>
    <xf numFmtId="165" fontId="0" fillId="7" borderId="5" xfId="1" applyNumberFormat="1" applyFont="1" applyFill="1" applyBorder="1" applyAlignment="1">
      <alignment horizontal="center" vertical="center"/>
    </xf>
    <xf numFmtId="0" fontId="0" fillId="7" borderId="3" xfId="0" applyFill="1" applyBorder="1" applyAlignment="1">
      <alignment horizontal="center" vertical="center"/>
    </xf>
    <xf numFmtId="0" fontId="0" fillId="2" borderId="8" xfId="0" applyFill="1" applyBorder="1" applyAlignment="1">
      <alignment vertical="center"/>
    </xf>
    <xf numFmtId="164" fontId="2" fillId="2" borderId="8" xfId="0" applyNumberFormat="1" applyFont="1" applyFill="1" applyBorder="1" applyAlignment="1">
      <alignment horizontal="right" vertical="center"/>
    </xf>
    <xf numFmtId="9" fontId="2" fillId="2" borderId="8" xfId="2" applyFont="1" applyFill="1" applyBorder="1" applyAlignment="1">
      <alignment horizontal="center" vertical="center"/>
    </xf>
    <xf numFmtId="0" fontId="0" fillId="2" borderId="8" xfId="0" applyFill="1" applyBorder="1" applyAlignment="1">
      <alignment horizontal="left" vertical="center"/>
    </xf>
    <xf numFmtId="9" fontId="2" fillId="2" borderId="6" xfId="2" applyFont="1" applyFill="1" applyBorder="1" applyAlignment="1">
      <alignment horizontal="center" vertical="center"/>
    </xf>
    <xf numFmtId="9" fontId="2" fillId="2" borderId="15" xfId="2" applyFont="1" applyFill="1" applyBorder="1" applyAlignment="1">
      <alignment horizontal="center" vertical="center"/>
    </xf>
    <xf numFmtId="9" fontId="2" fillId="2" borderId="7" xfId="2" applyFont="1" applyFill="1" applyBorder="1" applyAlignment="1">
      <alignment horizontal="center" vertical="center"/>
    </xf>
    <xf numFmtId="0" fontId="20" fillId="7" borderId="0" xfId="0" applyFont="1" applyFill="1" applyAlignment="1">
      <alignment horizontal="center" vertical="center" wrapText="1"/>
    </xf>
    <xf numFmtId="0" fontId="2" fillId="8" borderId="24" xfId="0" applyFont="1" applyFill="1" applyBorder="1" applyAlignment="1">
      <alignment horizontal="center" vertical="center" wrapText="1"/>
    </xf>
    <xf numFmtId="0" fontId="2" fillId="8" borderId="25" xfId="0" applyFont="1" applyFill="1" applyBorder="1" applyAlignment="1">
      <alignment horizontal="center" vertical="center" wrapText="1"/>
    </xf>
    <xf numFmtId="0" fontId="7" fillId="8" borderId="24" xfId="0" applyFont="1" applyFill="1" applyBorder="1" applyAlignment="1">
      <alignment horizontal="center" vertical="center" wrapText="1"/>
    </xf>
    <xf numFmtId="0" fontId="7" fillId="8" borderId="25" xfId="0" applyFont="1" applyFill="1" applyBorder="1" applyAlignment="1">
      <alignment horizontal="center" vertical="center" wrapText="1"/>
    </xf>
    <xf numFmtId="0" fontId="5" fillId="0" borderId="13" xfId="0" applyFont="1" applyBorder="1" applyAlignment="1">
      <alignment horizontal="left" vertical="center" wrapText="1"/>
    </xf>
    <xf numFmtId="0" fontId="5" fillId="0" borderId="0" xfId="0" applyFont="1" applyAlignment="1">
      <alignment horizontal="left" vertical="center" wrapText="1"/>
    </xf>
    <xf numFmtId="0" fontId="19" fillId="16" borderId="0" xfId="0" applyFont="1" applyFill="1" applyAlignment="1">
      <alignment horizontal="center" vertical="center" wrapText="1"/>
    </xf>
    <xf numFmtId="0" fontId="7" fillId="0" borderId="0" xfId="0" applyFont="1" applyAlignment="1">
      <alignment horizontal="center" vertical="center" wrapText="1"/>
    </xf>
    <xf numFmtId="0" fontId="0" fillId="8" borderId="6" xfId="0" applyFill="1" applyBorder="1" applyAlignment="1">
      <alignment horizontal="left" vertical="center" wrapText="1"/>
    </xf>
    <xf numFmtId="0" fontId="0" fillId="8" borderId="15" xfId="0" applyFill="1" applyBorder="1" applyAlignment="1">
      <alignment horizontal="left" vertical="center" wrapText="1"/>
    </xf>
    <xf numFmtId="0" fontId="0" fillId="8" borderId="7" xfId="0" applyFill="1" applyBorder="1" applyAlignment="1">
      <alignment horizontal="left" vertical="center" wrapText="1"/>
    </xf>
    <xf numFmtId="0" fontId="2" fillId="8" borderId="28" xfId="0" applyFont="1" applyFill="1" applyBorder="1" applyAlignment="1">
      <alignment horizontal="center" vertical="center" wrapText="1"/>
    </xf>
    <xf numFmtId="0" fontId="2" fillId="8" borderId="29" xfId="0" applyFont="1" applyFill="1" applyBorder="1" applyAlignment="1">
      <alignment horizontal="center" vertical="center" wrapText="1"/>
    </xf>
    <xf numFmtId="0" fontId="0" fillId="2" borderId="6"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7" xfId="0" applyFill="1" applyBorder="1" applyAlignment="1">
      <alignment horizontal="center" vertical="center" wrapText="1"/>
    </xf>
    <xf numFmtId="0" fontId="0" fillId="0" borderId="6" xfId="0" applyBorder="1" applyAlignment="1">
      <alignment horizontal="center" vertical="center" wrapText="1"/>
    </xf>
    <xf numFmtId="0" fontId="0" fillId="0" borderId="15" xfId="0" applyBorder="1" applyAlignment="1">
      <alignment horizontal="center" vertical="center" wrapText="1"/>
    </xf>
    <xf numFmtId="0" fontId="0" fillId="0" borderId="7" xfId="0" applyBorder="1" applyAlignment="1">
      <alignment horizontal="center" vertical="center" wrapText="1"/>
    </xf>
    <xf numFmtId="0" fontId="0" fillId="2" borderId="8" xfId="0" applyFill="1" applyBorder="1" applyAlignment="1">
      <alignment horizontal="left" vertical="center" wrapText="1"/>
    </xf>
    <xf numFmtId="0" fontId="2" fillId="8" borderId="8" xfId="0" applyFont="1" applyFill="1" applyBorder="1" applyAlignment="1">
      <alignment horizontal="center" vertical="center" wrapText="1"/>
    </xf>
    <xf numFmtId="0" fontId="3" fillId="5" borderId="6" xfId="0" applyFont="1" applyFill="1" applyBorder="1" applyAlignment="1">
      <alignment horizontal="left" vertical="center" wrapText="1"/>
    </xf>
    <xf numFmtId="0" fontId="3" fillId="5" borderId="15" xfId="0" applyFont="1" applyFill="1" applyBorder="1" applyAlignment="1">
      <alignment horizontal="left" vertical="center" wrapText="1"/>
    </xf>
    <xf numFmtId="0" fontId="3" fillId="5" borderId="7" xfId="0" applyFont="1" applyFill="1" applyBorder="1" applyAlignment="1">
      <alignment horizontal="left" vertical="center" wrapText="1"/>
    </xf>
    <xf numFmtId="0" fontId="19" fillId="9" borderId="37" xfId="0" applyFont="1" applyFill="1" applyBorder="1" applyAlignment="1">
      <alignment horizontal="center" vertical="center" wrapText="1"/>
    </xf>
    <xf numFmtId="0" fontId="19" fillId="9" borderId="39" xfId="0" applyFont="1" applyFill="1" applyBorder="1" applyAlignment="1">
      <alignment horizontal="center" vertical="center" wrapText="1"/>
    </xf>
    <xf numFmtId="0" fontId="19" fillId="9" borderId="38" xfId="0" applyFont="1" applyFill="1" applyBorder="1" applyAlignment="1">
      <alignment horizontal="center" vertical="center" wrapText="1"/>
    </xf>
    <xf numFmtId="0" fontId="0" fillId="0" borderId="8" xfId="0" applyBorder="1" applyAlignment="1">
      <alignment horizontal="left" vertical="center" wrapText="1"/>
    </xf>
    <xf numFmtId="0" fontId="0" fillId="5" borderId="6" xfId="0" applyFill="1" applyBorder="1" applyAlignment="1">
      <alignment horizontal="left" vertical="center" wrapText="1"/>
    </xf>
    <xf numFmtId="0" fontId="0" fillId="5" borderId="15" xfId="0" applyFill="1" applyBorder="1" applyAlignment="1">
      <alignment horizontal="left" vertical="center" wrapText="1"/>
    </xf>
    <xf numFmtId="0" fontId="0" fillId="5" borderId="7" xfId="0" applyFill="1" applyBorder="1" applyAlignment="1">
      <alignment horizontal="left" vertical="center" wrapText="1"/>
    </xf>
    <xf numFmtId="0" fontId="2" fillId="0" borderId="0" xfId="0" applyFont="1" applyAlignment="1">
      <alignment horizontal="center"/>
    </xf>
  </cellXfs>
  <cellStyles count="5">
    <cellStyle name="Lien hypertexte" xfId="4" builtinId="8"/>
    <cellStyle name="Milliers" xfId="1" builtinId="3"/>
    <cellStyle name="Normal" xfId="0" builtinId="0"/>
    <cellStyle name="Normal 2" xfId="3"/>
    <cellStyle name="Pourcentage" xfId="2" builtinId="5"/>
  </cellStyles>
  <dxfs count="0"/>
  <tableStyles count="0" defaultTableStyle="TableStyleMedium2" defaultPivotStyle="PivotStyleLight16"/>
  <colors>
    <mruColors>
      <color rgb="FF00FF00"/>
      <color rgb="FFF5E01B"/>
      <color rgb="FFFFA7A7"/>
      <color rgb="FFBCAC10"/>
      <color rgb="FFFFCCFF"/>
      <color rgb="FF996633"/>
      <color rgb="FFFF9933"/>
      <color rgb="FFCC6600"/>
      <color rgb="FFC0879F"/>
      <color rgb="FF810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2015 (kt)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Citepa!$I$2</c:f>
              <c:strCache>
                <c:ptCount val="1"/>
                <c:pt idx="0">
                  <c:v>AME 2021</c:v>
                </c:pt>
              </c:strCache>
            </c:strRef>
          </c:tx>
          <c:spPr>
            <a:solidFill>
              <a:schemeClr val="accent2"/>
            </a:solid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Citepa!$H$3:$H$6</c:f>
              <c:strCache>
                <c:ptCount val="4"/>
                <c:pt idx="0">
                  <c:v>Compostage</c:v>
                </c:pt>
                <c:pt idx="1">
                  <c:v>Méthanisation</c:v>
                </c:pt>
                <c:pt idx="2">
                  <c:v>UVE</c:v>
                </c:pt>
                <c:pt idx="3">
                  <c:v>ISDND</c:v>
                </c:pt>
              </c:strCache>
            </c:strRef>
          </c:cat>
          <c:val>
            <c:numRef>
              <c:f>Citepa!$I$3:$I$6</c:f>
              <c:numCache>
                <c:formatCode>_-* #\ ##0_-;\-* #\ ##0_-;_-* "-"??_-;_-@_-</c:formatCode>
                <c:ptCount val="4"/>
                <c:pt idx="0">
                  <c:v>8200</c:v>
                </c:pt>
                <c:pt idx="1">
                  <c:v>1049.9999999999998</c:v>
                </c:pt>
                <c:pt idx="2">
                  <c:v>13000</c:v>
                </c:pt>
                <c:pt idx="3">
                  <c:v>18600</c:v>
                </c:pt>
              </c:numCache>
            </c:numRef>
          </c:val>
          <c:extLst>
            <c:ext xmlns:c16="http://schemas.microsoft.com/office/drawing/2014/chart" uri="{C3380CC4-5D6E-409C-BE32-E72D297353CC}">
              <c16:uniqueId val="{00000000-CF51-4309-A03A-DFB1405598EC}"/>
            </c:ext>
          </c:extLst>
        </c:ser>
        <c:ser>
          <c:idx val="1"/>
          <c:order val="1"/>
          <c:tx>
            <c:strRef>
              <c:f>Citepa!$J$2</c:f>
              <c:strCache>
                <c:ptCount val="1"/>
                <c:pt idx="0">
                  <c:v>AME 2023</c:v>
                </c:pt>
              </c:strCache>
            </c:strRef>
          </c:tx>
          <c:spPr>
            <a:solidFill>
              <a:schemeClr val="accent1"/>
            </a:solid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Citepa!$H$3:$H$6</c:f>
              <c:strCache>
                <c:ptCount val="4"/>
                <c:pt idx="0">
                  <c:v>Compostage</c:v>
                </c:pt>
                <c:pt idx="1">
                  <c:v>Méthanisation</c:v>
                </c:pt>
                <c:pt idx="2">
                  <c:v>UVE</c:v>
                </c:pt>
                <c:pt idx="3">
                  <c:v>ISDND</c:v>
                </c:pt>
              </c:strCache>
            </c:strRef>
          </c:cat>
          <c:val>
            <c:numRef>
              <c:f>Citepa!$J$3:$J$6</c:f>
              <c:numCache>
                <c:formatCode>_-* #\ ##0_-;\-* #\ ##0_-;_-* "-"??_-;_-@_-</c:formatCode>
                <c:ptCount val="4"/>
                <c:pt idx="0">
                  <c:v>10703.572700000001</c:v>
                </c:pt>
                <c:pt idx="1">
                  <c:v>777</c:v>
                </c:pt>
                <c:pt idx="2">
                  <c:v>17586.687745439998</c:v>
                </c:pt>
                <c:pt idx="3">
                  <c:v>21567.891024239998</c:v>
                </c:pt>
              </c:numCache>
            </c:numRef>
          </c:val>
          <c:extLst>
            <c:ext xmlns:c16="http://schemas.microsoft.com/office/drawing/2014/chart" uri="{C3380CC4-5D6E-409C-BE32-E72D297353CC}">
              <c16:uniqueId val="{00000001-CF51-4309-A03A-DFB1405598EC}"/>
            </c:ext>
          </c:extLst>
        </c:ser>
        <c:ser>
          <c:idx val="2"/>
          <c:order val="2"/>
          <c:tx>
            <c:strRef>
              <c:f>Citepa!$K$2</c:f>
              <c:strCache>
                <c:ptCount val="1"/>
                <c:pt idx="0">
                  <c:v>Inventaire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Citepa!$H$3:$H$6</c:f>
              <c:strCache>
                <c:ptCount val="4"/>
                <c:pt idx="0">
                  <c:v>Compostage</c:v>
                </c:pt>
                <c:pt idx="1">
                  <c:v>Méthanisation</c:v>
                </c:pt>
                <c:pt idx="2">
                  <c:v>UVE</c:v>
                </c:pt>
                <c:pt idx="3">
                  <c:v>ISDND</c:v>
                </c:pt>
              </c:strCache>
            </c:strRef>
          </c:cat>
          <c:val>
            <c:numRef>
              <c:f>Citepa!$K$3:$K$6</c:f>
              <c:numCache>
                <c:formatCode>_-* #\ ##0_-;\-* #\ ##0_-;_-* "-"??_-;_-@_-</c:formatCode>
                <c:ptCount val="4"/>
                <c:pt idx="0">
                  <c:v>8880.6975000000002</c:v>
                </c:pt>
                <c:pt idx="1">
                  <c:v>890.69500000000005</c:v>
                </c:pt>
                <c:pt idx="2">
                  <c:v>14413</c:v>
                </c:pt>
                <c:pt idx="3">
                  <c:v>17825.5</c:v>
                </c:pt>
              </c:numCache>
            </c:numRef>
          </c:val>
          <c:extLst>
            <c:ext xmlns:c16="http://schemas.microsoft.com/office/drawing/2014/chart" uri="{C3380CC4-5D6E-409C-BE32-E72D297353CC}">
              <c16:uniqueId val="{00000002-CF51-4309-A03A-DFB1405598EC}"/>
            </c:ext>
          </c:extLst>
        </c:ser>
        <c:dLbls>
          <c:showLegendKey val="0"/>
          <c:showVal val="0"/>
          <c:showCatName val="0"/>
          <c:showSerName val="0"/>
          <c:showPercent val="0"/>
          <c:showBubbleSize val="0"/>
        </c:dLbls>
        <c:gapWidth val="219"/>
        <c:overlap val="-27"/>
        <c:axId val="710232688"/>
        <c:axId val="710234656"/>
      </c:barChart>
      <c:catAx>
        <c:axId val="71023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0234656"/>
        <c:crosses val="autoZero"/>
        <c:auto val="1"/>
        <c:lblAlgn val="ctr"/>
        <c:lblOffset val="100"/>
        <c:noMultiLvlLbl val="0"/>
      </c:catAx>
      <c:valAx>
        <c:axId val="710234656"/>
        <c:scaling>
          <c:orientation val="minMax"/>
        </c:scaling>
        <c:delete val="0"/>
        <c:axPos val="l"/>
        <c:majorGridlines>
          <c:spPr>
            <a:ln w="9525" cap="flat" cmpd="sng" algn="ctr">
              <a:solidFill>
                <a:schemeClr val="tx1">
                  <a:lumMod val="15000"/>
                  <a:lumOff val="85000"/>
                </a:schemeClr>
              </a:solidFill>
              <a:round/>
            </a:ln>
            <a:effectLst/>
          </c:spPr>
        </c:majorGridlines>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0232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Compostage (kt)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0"/>
          <c:tx>
            <c:strRef>
              <c:f>Citepa!$B$9</c:f>
              <c:strCache>
                <c:ptCount val="1"/>
                <c:pt idx="0">
                  <c:v>AME 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Citepa!$C$10:$E$10</c:f>
              <c:numCache>
                <c:formatCode>_-* #\ ##0_-;\-* #\ ##0_-;_-* "-"??_-;_-@_-</c:formatCode>
                <c:ptCount val="3"/>
                <c:pt idx="0">
                  <c:v>8200</c:v>
                </c:pt>
                <c:pt idx="1">
                  <c:v>9933.3333333333339</c:v>
                </c:pt>
                <c:pt idx="2">
                  <c:v>10666.666666666668</c:v>
                </c:pt>
              </c:numCache>
            </c:numRef>
          </c:val>
          <c:extLst>
            <c:ext xmlns:c16="http://schemas.microsoft.com/office/drawing/2014/chart" uri="{C3380CC4-5D6E-409C-BE32-E72D297353CC}">
              <c16:uniqueId val="{00000000-2420-47A4-AB0D-B0DEEB71474E}"/>
            </c:ext>
          </c:extLst>
        </c:ser>
        <c:ser>
          <c:idx val="0"/>
          <c:order val="1"/>
          <c:tx>
            <c:strRef>
              <c:f>Citepa!$B$2</c:f>
              <c:strCache>
                <c:ptCount val="1"/>
                <c:pt idx="0">
                  <c:v>AME 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Citepa!$C$2:$E$2</c:f>
              <c:numCache>
                <c:formatCode>General</c:formatCode>
                <c:ptCount val="3"/>
                <c:pt idx="0">
                  <c:v>2015</c:v>
                </c:pt>
                <c:pt idx="1">
                  <c:v>2030</c:v>
                </c:pt>
                <c:pt idx="2">
                  <c:v>2050</c:v>
                </c:pt>
              </c:numCache>
            </c:numRef>
          </c:cat>
          <c:val>
            <c:numRef>
              <c:f>Citepa!$C$3:$E$3</c:f>
              <c:numCache>
                <c:formatCode>_-* #\ ##0_-;\-* #\ ##0_-;_-* "-"??_-;_-@_-</c:formatCode>
                <c:ptCount val="3"/>
                <c:pt idx="0">
                  <c:v>10703.572700000001</c:v>
                </c:pt>
                <c:pt idx="1">
                  <c:v>10682.784900915691</c:v>
                </c:pt>
                <c:pt idx="2">
                  <c:v>9313.2224627559299</c:v>
                </c:pt>
              </c:numCache>
            </c:numRef>
          </c:val>
          <c:extLst>
            <c:ext xmlns:c16="http://schemas.microsoft.com/office/drawing/2014/chart" uri="{C3380CC4-5D6E-409C-BE32-E72D297353CC}">
              <c16:uniqueId val="{00000001-2420-47A4-AB0D-B0DEEB71474E}"/>
            </c:ext>
          </c:extLst>
        </c:ser>
        <c:ser>
          <c:idx val="2"/>
          <c:order val="2"/>
          <c:tx>
            <c:strRef>
              <c:f>Citepa!$B$16</c:f>
              <c:strCache>
                <c:ptCount val="1"/>
                <c:pt idx="0">
                  <c:v>Inventaire</c:v>
                </c:pt>
              </c:strCache>
            </c:strRef>
          </c:tx>
          <c:spPr>
            <a:solidFill>
              <a:schemeClr val="accent3"/>
            </a:solidFill>
            <a:ln>
              <a:noFill/>
            </a:ln>
            <a:effectLst/>
          </c:spPr>
          <c:invertIfNegative val="0"/>
          <c:dPt>
            <c:idx val="1"/>
            <c:invertIfNegative val="0"/>
            <c:bubble3D val="0"/>
            <c:spPr>
              <a:pattFill prst="wdUpDiag">
                <a:fgClr>
                  <a:schemeClr val="accent3"/>
                </a:fgClr>
                <a:bgClr>
                  <a:schemeClr val="bg1"/>
                </a:bgClr>
              </a:pattFill>
              <a:ln>
                <a:noFill/>
              </a:ln>
              <a:effectLst/>
            </c:spPr>
            <c:extLst>
              <c:ext xmlns:c16="http://schemas.microsoft.com/office/drawing/2014/chart" uri="{C3380CC4-5D6E-409C-BE32-E72D297353CC}">
                <c16:uniqueId val="{00000003-2420-47A4-AB0D-B0DEEB71474E}"/>
              </c:ext>
            </c:extLst>
          </c:dPt>
          <c:dPt>
            <c:idx val="2"/>
            <c:invertIfNegative val="0"/>
            <c:bubble3D val="0"/>
            <c:spPr>
              <a:pattFill prst="wdUpDiag">
                <a:fgClr>
                  <a:schemeClr val="accent3"/>
                </a:fgClr>
                <a:bgClr>
                  <a:schemeClr val="bg1"/>
                </a:bgClr>
              </a:pattFill>
              <a:ln>
                <a:noFill/>
              </a:ln>
              <a:effectLst/>
            </c:spPr>
            <c:extLst>
              <c:ext xmlns:c16="http://schemas.microsoft.com/office/drawing/2014/chart" uri="{C3380CC4-5D6E-409C-BE32-E72D297353CC}">
                <c16:uniqueId val="{00000005-2420-47A4-AB0D-B0DEEB7147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Citepa!$C$17:$E$17</c:f>
              <c:numCache>
                <c:formatCode>_-* #\ ##0_-;\-* #\ ##0_-;_-* "-"??_-;_-@_-</c:formatCode>
                <c:ptCount val="3"/>
                <c:pt idx="0">
                  <c:v>8880.6975000000002</c:v>
                </c:pt>
                <c:pt idx="1">
                  <c:v>8863.449973353263</c:v>
                </c:pt>
                <c:pt idx="2">
                  <c:v>7727.1312822437712</c:v>
                </c:pt>
              </c:numCache>
            </c:numRef>
          </c:val>
          <c:extLst>
            <c:ext xmlns:c16="http://schemas.microsoft.com/office/drawing/2014/chart" uri="{C3380CC4-5D6E-409C-BE32-E72D297353CC}">
              <c16:uniqueId val="{00000006-2420-47A4-AB0D-B0DEEB71474E}"/>
            </c:ext>
          </c:extLst>
        </c:ser>
        <c:dLbls>
          <c:showLegendKey val="0"/>
          <c:showVal val="0"/>
          <c:showCatName val="0"/>
          <c:showSerName val="0"/>
          <c:showPercent val="0"/>
          <c:showBubbleSize val="0"/>
        </c:dLbls>
        <c:gapWidth val="150"/>
        <c:axId val="1068259520"/>
        <c:axId val="1068255256"/>
      </c:barChart>
      <c:catAx>
        <c:axId val="1068259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68255256"/>
        <c:crosses val="autoZero"/>
        <c:auto val="1"/>
        <c:lblAlgn val="ctr"/>
        <c:lblOffset val="100"/>
        <c:noMultiLvlLbl val="0"/>
      </c:catAx>
      <c:valAx>
        <c:axId val="1068255256"/>
        <c:scaling>
          <c:orientation val="minMax"/>
        </c:scaling>
        <c:delete val="0"/>
        <c:axPos val="l"/>
        <c:majorGridlines>
          <c:spPr>
            <a:ln w="9525" cap="flat" cmpd="sng" algn="ctr">
              <a:solidFill>
                <a:schemeClr val="tx1">
                  <a:lumMod val="15000"/>
                  <a:lumOff val="85000"/>
                </a:schemeClr>
              </a:solidFill>
              <a:round/>
            </a:ln>
            <a:effectLst/>
          </c:spPr>
        </c:majorGridlines>
        <c:numFmt formatCode="_-* #\ ##0_-;\-* #\ ##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68259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Méthanisation (kt)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0"/>
          <c:tx>
            <c:strRef>
              <c:f>Citepa!$B$9</c:f>
              <c:strCache>
                <c:ptCount val="1"/>
                <c:pt idx="0">
                  <c:v>AME 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Citepa!$C$11:$E$11</c:f>
              <c:numCache>
                <c:formatCode>_-* #\ ##0_-;\-* #\ ##0_-;_-* "-"??_-;_-@_-</c:formatCode>
                <c:ptCount val="3"/>
                <c:pt idx="0">
                  <c:v>1049.9999999999998</c:v>
                </c:pt>
                <c:pt idx="1">
                  <c:v>2133.333333333333</c:v>
                </c:pt>
                <c:pt idx="2">
                  <c:v>2866.6666666666652</c:v>
                </c:pt>
              </c:numCache>
            </c:numRef>
          </c:val>
          <c:extLst>
            <c:ext xmlns:c16="http://schemas.microsoft.com/office/drawing/2014/chart" uri="{C3380CC4-5D6E-409C-BE32-E72D297353CC}">
              <c16:uniqueId val="{00000000-930C-4E7C-9AB0-AB6440D3425C}"/>
            </c:ext>
          </c:extLst>
        </c:ser>
        <c:ser>
          <c:idx val="0"/>
          <c:order val="1"/>
          <c:tx>
            <c:strRef>
              <c:f>Citepa!$B$2</c:f>
              <c:strCache>
                <c:ptCount val="1"/>
                <c:pt idx="0">
                  <c:v>AME 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Citepa!$C$2:$E$2</c:f>
              <c:numCache>
                <c:formatCode>General</c:formatCode>
                <c:ptCount val="3"/>
                <c:pt idx="0">
                  <c:v>2015</c:v>
                </c:pt>
                <c:pt idx="1">
                  <c:v>2030</c:v>
                </c:pt>
                <c:pt idx="2">
                  <c:v>2050</c:v>
                </c:pt>
              </c:numCache>
            </c:numRef>
          </c:cat>
          <c:val>
            <c:numRef>
              <c:f>Citepa!$C$4:$E$4</c:f>
              <c:numCache>
                <c:formatCode>_-* #\ ##0_-;\-* #\ ##0_-;_-* "-"??_-;_-@_-</c:formatCode>
                <c:ptCount val="3"/>
                <c:pt idx="0">
                  <c:v>777</c:v>
                </c:pt>
                <c:pt idx="1">
                  <c:v>450.2113726845638</c:v>
                </c:pt>
                <c:pt idx="2">
                  <c:v>527.57544476510066</c:v>
                </c:pt>
              </c:numCache>
            </c:numRef>
          </c:val>
          <c:extLst>
            <c:ext xmlns:c16="http://schemas.microsoft.com/office/drawing/2014/chart" uri="{C3380CC4-5D6E-409C-BE32-E72D297353CC}">
              <c16:uniqueId val="{00000001-930C-4E7C-9AB0-AB6440D3425C}"/>
            </c:ext>
          </c:extLst>
        </c:ser>
        <c:ser>
          <c:idx val="2"/>
          <c:order val="2"/>
          <c:tx>
            <c:strRef>
              <c:f>Citepa!$B$16</c:f>
              <c:strCache>
                <c:ptCount val="1"/>
                <c:pt idx="0">
                  <c:v>Inventaire</c:v>
                </c:pt>
              </c:strCache>
            </c:strRef>
          </c:tx>
          <c:spPr>
            <a:solidFill>
              <a:schemeClr val="accent3"/>
            </a:solidFill>
            <a:ln>
              <a:noFill/>
            </a:ln>
            <a:effectLst/>
          </c:spPr>
          <c:invertIfNegative val="0"/>
          <c:dPt>
            <c:idx val="1"/>
            <c:invertIfNegative val="0"/>
            <c:bubble3D val="0"/>
            <c:spPr>
              <a:pattFill prst="wdUpDiag">
                <a:fgClr>
                  <a:schemeClr val="accent3"/>
                </a:fgClr>
                <a:bgClr>
                  <a:schemeClr val="bg1"/>
                </a:bgClr>
              </a:pattFill>
              <a:ln>
                <a:noFill/>
              </a:ln>
              <a:effectLst/>
            </c:spPr>
            <c:extLst>
              <c:ext xmlns:c16="http://schemas.microsoft.com/office/drawing/2014/chart" uri="{C3380CC4-5D6E-409C-BE32-E72D297353CC}">
                <c16:uniqueId val="{00000003-930C-4E7C-9AB0-AB6440D3425C}"/>
              </c:ext>
            </c:extLst>
          </c:dPt>
          <c:dPt>
            <c:idx val="2"/>
            <c:invertIfNegative val="0"/>
            <c:bubble3D val="0"/>
            <c:spPr>
              <a:pattFill prst="wdUpDiag">
                <a:fgClr>
                  <a:schemeClr val="accent3"/>
                </a:fgClr>
                <a:bgClr>
                  <a:schemeClr val="bg1"/>
                </a:bgClr>
              </a:pattFill>
              <a:ln>
                <a:noFill/>
              </a:ln>
              <a:effectLst/>
            </c:spPr>
            <c:extLst>
              <c:ext xmlns:c16="http://schemas.microsoft.com/office/drawing/2014/chart" uri="{C3380CC4-5D6E-409C-BE32-E72D297353CC}">
                <c16:uniqueId val="{00000005-930C-4E7C-9AB0-AB6440D342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Citepa!$C$18:$E$18</c:f>
              <c:numCache>
                <c:formatCode>_-* #\ ##0_-;\-* #\ ##0_-;_-* "-"??_-;_-@_-</c:formatCode>
                <c:ptCount val="3"/>
                <c:pt idx="0">
                  <c:v>890.69500000000005</c:v>
                </c:pt>
                <c:pt idx="1">
                  <c:v>516.08882701837524</c:v>
                </c:pt>
                <c:pt idx="2">
                  <c:v>604.77324424073538</c:v>
                </c:pt>
              </c:numCache>
            </c:numRef>
          </c:val>
          <c:extLst>
            <c:ext xmlns:c16="http://schemas.microsoft.com/office/drawing/2014/chart" uri="{C3380CC4-5D6E-409C-BE32-E72D297353CC}">
              <c16:uniqueId val="{00000006-930C-4E7C-9AB0-AB6440D3425C}"/>
            </c:ext>
          </c:extLst>
        </c:ser>
        <c:dLbls>
          <c:showLegendKey val="0"/>
          <c:showVal val="0"/>
          <c:showCatName val="0"/>
          <c:showSerName val="0"/>
          <c:showPercent val="0"/>
          <c:showBubbleSize val="0"/>
        </c:dLbls>
        <c:gapWidth val="150"/>
        <c:axId val="1068259520"/>
        <c:axId val="1068255256"/>
      </c:barChart>
      <c:catAx>
        <c:axId val="1068259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68255256"/>
        <c:crosses val="autoZero"/>
        <c:auto val="1"/>
        <c:lblAlgn val="ctr"/>
        <c:lblOffset val="100"/>
        <c:noMultiLvlLbl val="0"/>
      </c:catAx>
      <c:valAx>
        <c:axId val="1068255256"/>
        <c:scaling>
          <c:orientation val="minMax"/>
        </c:scaling>
        <c:delete val="0"/>
        <c:axPos val="l"/>
        <c:majorGridlines>
          <c:spPr>
            <a:ln w="9525" cap="flat" cmpd="sng" algn="ctr">
              <a:solidFill>
                <a:schemeClr val="tx1">
                  <a:lumMod val="15000"/>
                  <a:lumOff val="85000"/>
                </a:schemeClr>
              </a:solidFill>
              <a:round/>
            </a:ln>
            <a:effectLst/>
          </c:spPr>
        </c:majorGridlines>
        <c:numFmt formatCode="_-* #\ ##0_-;\-* #\ ##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68259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ISDND (kt)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0"/>
          <c:tx>
            <c:strRef>
              <c:f>Citepa!$B$9</c:f>
              <c:strCache>
                <c:ptCount val="1"/>
                <c:pt idx="0">
                  <c:v>AME 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Citepa!$C$13:$E$13</c:f>
              <c:numCache>
                <c:formatCode>_-* #\ ##0_-;\-* #\ ##0_-;_-* "-"??_-;_-@_-</c:formatCode>
                <c:ptCount val="3"/>
                <c:pt idx="0">
                  <c:v>18600</c:v>
                </c:pt>
                <c:pt idx="1">
                  <c:v>14531.116381443127</c:v>
                </c:pt>
                <c:pt idx="2">
                  <c:v>15279.356412837611</c:v>
                </c:pt>
              </c:numCache>
            </c:numRef>
          </c:val>
          <c:extLst>
            <c:ext xmlns:c16="http://schemas.microsoft.com/office/drawing/2014/chart" uri="{C3380CC4-5D6E-409C-BE32-E72D297353CC}">
              <c16:uniqueId val="{00000000-89EE-485B-AC9D-A86AEFD5B99E}"/>
            </c:ext>
          </c:extLst>
        </c:ser>
        <c:ser>
          <c:idx val="0"/>
          <c:order val="1"/>
          <c:tx>
            <c:strRef>
              <c:f>Citepa!$B$2</c:f>
              <c:strCache>
                <c:ptCount val="1"/>
                <c:pt idx="0">
                  <c:v>AME 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Citepa!$C$2:$E$2</c:f>
              <c:numCache>
                <c:formatCode>General</c:formatCode>
                <c:ptCount val="3"/>
                <c:pt idx="0">
                  <c:v>2015</c:v>
                </c:pt>
                <c:pt idx="1">
                  <c:v>2030</c:v>
                </c:pt>
                <c:pt idx="2">
                  <c:v>2050</c:v>
                </c:pt>
              </c:numCache>
            </c:numRef>
          </c:cat>
          <c:val>
            <c:numRef>
              <c:f>Citepa!$C$6:$E$6</c:f>
              <c:numCache>
                <c:formatCode>_-* #\ ##0_-;\-* #\ ##0_-;_-* "-"??_-;_-@_-</c:formatCode>
                <c:ptCount val="3"/>
                <c:pt idx="0">
                  <c:v>21567.891024239998</c:v>
                </c:pt>
                <c:pt idx="1">
                  <c:v>11172.837375874858</c:v>
                </c:pt>
                <c:pt idx="2">
                  <c:v>7001.4888469838488</c:v>
                </c:pt>
              </c:numCache>
            </c:numRef>
          </c:val>
          <c:extLst>
            <c:ext xmlns:c16="http://schemas.microsoft.com/office/drawing/2014/chart" uri="{C3380CC4-5D6E-409C-BE32-E72D297353CC}">
              <c16:uniqueId val="{00000001-89EE-485B-AC9D-A86AEFD5B99E}"/>
            </c:ext>
          </c:extLst>
        </c:ser>
        <c:ser>
          <c:idx val="2"/>
          <c:order val="2"/>
          <c:tx>
            <c:strRef>
              <c:f>Citepa!$B$16</c:f>
              <c:strCache>
                <c:ptCount val="1"/>
                <c:pt idx="0">
                  <c:v>Inventaire</c:v>
                </c:pt>
              </c:strCache>
            </c:strRef>
          </c:tx>
          <c:spPr>
            <a:solidFill>
              <a:schemeClr val="accent3"/>
            </a:solidFill>
            <a:ln>
              <a:noFill/>
            </a:ln>
            <a:effectLst/>
          </c:spPr>
          <c:invertIfNegative val="0"/>
          <c:dPt>
            <c:idx val="1"/>
            <c:invertIfNegative val="0"/>
            <c:bubble3D val="0"/>
            <c:spPr>
              <a:pattFill prst="wdUpDiag">
                <a:fgClr>
                  <a:schemeClr val="accent3"/>
                </a:fgClr>
                <a:bgClr>
                  <a:schemeClr val="bg1"/>
                </a:bgClr>
              </a:pattFill>
              <a:ln>
                <a:noFill/>
              </a:ln>
              <a:effectLst/>
            </c:spPr>
            <c:extLst>
              <c:ext xmlns:c16="http://schemas.microsoft.com/office/drawing/2014/chart" uri="{C3380CC4-5D6E-409C-BE32-E72D297353CC}">
                <c16:uniqueId val="{00000003-89EE-485B-AC9D-A86AEFD5B99E}"/>
              </c:ext>
            </c:extLst>
          </c:dPt>
          <c:dPt>
            <c:idx val="2"/>
            <c:invertIfNegative val="0"/>
            <c:bubble3D val="0"/>
            <c:spPr>
              <a:pattFill prst="wdUpDiag">
                <a:fgClr>
                  <a:schemeClr val="accent3"/>
                </a:fgClr>
                <a:bgClr>
                  <a:schemeClr val="bg1"/>
                </a:bgClr>
              </a:pattFill>
              <a:ln>
                <a:noFill/>
              </a:ln>
              <a:effectLst/>
            </c:spPr>
            <c:extLst>
              <c:ext xmlns:c16="http://schemas.microsoft.com/office/drawing/2014/chart" uri="{C3380CC4-5D6E-409C-BE32-E72D297353CC}">
                <c16:uniqueId val="{00000005-89EE-485B-AC9D-A86AEFD5B9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Citepa!$C$20:$E$20</c:f>
              <c:numCache>
                <c:formatCode>_-* #\ ##0_-;\-* #\ ##0_-;_-* "-"??_-;_-@_-</c:formatCode>
                <c:ptCount val="3"/>
                <c:pt idx="0">
                  <c:v>17825.5</c:v>
                </c:pt>
                <c:pt idx="1">
                  <c:v>9234.1625993854104</c:v>
                </c:pt>
                <c:pt idx="2">
                  <c:v>5786.6130398026917</c:v>
                </c:pt>
              </c:numCache>
            </c:numRef>
          </c:val>
          <c:extLst>
            <c:ext xmlns:c16="http://schemas.microsoft.com/office/drawing/2014/chart" uri="{C3380CC4-5D6E-409C-BE32-E72D297353CC}">
              <c16:uniqueId val="{00000006-89EE-485B-AC9D-A86AEFD5B99E}"/>
            </c:ext>
          </c:extLst>
        </c:ser>
        <c:dLbls>
          <c:showLegendKey val="0"/>
          <c:showVal val="0"/>
          <c:showCatName val="0"/>
          <c:showSerName val="0"/>
          <c:showPercent val="0"/>
          <c:showBubbleSize val="0"/>
        </c:dLbls>
        <c:gapWidth val="150"/>
        <c:axId val="1068259520"/>
        <c:axId val="1068255256"/>
      </c:barChart>
      <c:catAx>
        <c:axId val="1068259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68255256"/>
        <c:crosses val="autoZero"/>
        <c:auto val="1"/>
        <c:lblAlgn val="ctr"/>
        <c:lblOffset val="100"/>
        <c:noMultiLvlLbl val="0"/>
      </c:catAx>
      <c:valAx>
        <c:axId val="1068255256"/>
        <c:scaling>
          <c:orientation val="minMax"/>
        </c:scaling>
        <c:delete val="0"/>
        <c:axPos val="l"/>
        <c:majorGridlines>
          <c:spPr>
            <a:ln w="9525" cap="flat" cmpd="sng" algn="ctr">
              <a:solidFill>
                <a:schemeClr val="tx1">
                  <a:lumMod val="15000"/>
                  <a:lumOff val="85000"/>
                </a:schemeClr>
              </a:solidFill>
              <a:round/>
            </a:ln>
            <a:effectLst/>
          </c:spPr>
        </c:majorGridlines>
        <c:numFmt formatCode="_-* #\ ##0_-;\-* #\ ##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68259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UVE (kt)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0"/>
          <c:tx>
            <c:strRef>
              <c:f>Citepa!$B$9</c:f>
              <c:strCache>
                <c:ptCount val="1"/>
                <c:pt idx="0">
                  <c:v>AME 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Citepa!$C$12:$E$12</c:f>
              <c:numCache>
                <c:formatCode>_-* #\ ##0_-;\-* #\ ##0_-;_-* "-"??_-;_-@_-</c:formatCode>
                <c:ptCount val="3"/>
                <c:pt idx="0">
                  <c:v>13000</c:v>
                </c:pt>
                <c:pt idx="1">
                  <c:v>11063.713650349491</c:v>
                </c:pt>
                <c:pt idx="2">
                  <c:v>11571.399273149173</c:v>
                </c:pt>
              </c:numCache>
            </c:numRef>
          </c:val>
          <c:extLst>
            <c:ext xmlns:c16="http://schemas.microsoft.com/office/drawing/2014/chart" uri="{C3380CC4-5D6E-409C-BE32-E72D297353CC}">
              <c16:uniqueId val="{00000000-1331-46BA-9585-C7009B1D6AD4}"/>
            </c:ext>
          </c:extLst>
        </c:ser>
        <c:ser>
          <c:idx val="0"/>
          <c:order val="1"/>
          <c:tx>
            <c:strRef>
              <c:f>Citepa!$B$2</c:f>
              <c:strCache>
                <c:ptCount val="1"/>
                <c:pt idx="0">
                  <c:v>AME 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Citepa!$C$2:$E$2</c:f>
              <c:numCache>
                <c:formatCode>General</c:formatCode>
                <c:ptCount val="3"/>
                <c:pt idx="0">
                  <c:v>2015</c:v>
                </c:pt>
                <c:pt idx="1">
                  <c:v>2030</c:v>
                </c:pt>
                <c:pt idx="2">
                  <c:v>2050</c:v>
                </c:pt>
              </c:numCache>
            </c:numRef>
          </c:cat>
          <c:val>
            <c:numRef>
              <c:f>Citepa!$C$5:$E$5</c:f>
              <c:numCache>
                <c:formatCode>_-* #\ ##0_-;\-* #\ ##0_-;_-* "-"??_-;_-@_-</c:formatCode>
                <c:ptCount val="3"/>
                <c:pt idx="0">
                  <c:v>17586.687745439998</c:v>
                </c:pt>
                <c:pt idx="1">
                  <c:v>19874.894931337803</c:v>
                </c:pt>
                <c:pt idx="2">
                  <c:v>17255.640350799596</c:v>
                </c:pt>
              </c:numCache>
            </c:numRef>
          </c:val>
          <c:extLst>
            <c:ext xmlns:c16="http://schemas.microsoft.com/office/drawing/2014/chart" uri="{C3380CC4-5D6E-409C-BE32-E72D297353CC}">
              <c16:uniqueId val="{00000001-1331-46BA-9585-C7009B1D6AD4}"/>
            </c:ext>
          </c:extLst>
        </c:ser>
        <c:ser>
          <c:idx val="2"/>
          <c:order val="2"/>
          <c:tx>
            <c:strRef>
              <c:f>Citepa!$B$16</c:f>
              <c:strCache>
                <c:ptCount val="1"/>
                <c:pt idx="0">
                  <c:v>Inventaire</c:v>
                </c:pt>
              </c:strCache>
            </c:strRef>
          </c:tx>
          <c:spPr>
            <a:solidFill>
              <a:schemeClr val="accent3"/>
            </a:solidFill>
            <a:ln>
              <a:noFill/>
            </a:ln>
            <a:effectLst/>
          </c:spPr>
          <c:invertIfNegative val="0"/>
          <c:dPt>
            <c:idx val="1"/>
            <c:invertIfNegative val="0"/>
            <c:bubble3D val="0"/>
            <c:spPr>
              <a:pattFill prst="wdUpDiag">
                <a:fgClr>
                  <a:schemeClr val="accent3"/>
                </a:fgClr>
                <a:bgClr>
                  <a:schemeClr val="bg1"/>
                </a:bgClr>
              </a:pattFill>
              <a:ln>
                <a:noFill/>
              </a:ln>
              <a:effectLst/>
            </c:spPr>
            <c:extLst>
              <c:ext xmlns:c16="http://schemas.microsoft.com/office/drawing/2014/chart" uri="{C3380CC4-5D6E-409C-BE32-E72D297353CC}">
                <c16:uniqueId val="{00000003-1331-46BA-9585-C7009B1D6AD4}"/>
              </c:ext>
            </c:extLst>
          </c:dPt>
          <c:dPt>
            <c:idx val="2"/>
            <c:invertIfNegative val="0"/>
            <c:bubble3D val="0"/>
            <c:spPr>
              <a:pattFill prst="wdUpDiag">
                <a:fgClr>
                  <a:schemeClr val="accent3"/>
                </a:fgClr>
                <a:bgClr>
                  <a:schemeClr val="bg1"/>
                </a:bgClr>
              </a:pattFill>
              <a:ln>
                <a:noFill/>
              </a:ln>
              <a:effectLst/>
            </c:spPr>
            <c:extLst>
              <c:ext xmlns:c16="http://schemas.microsoft.com/office/drawing/2014/chart" uri="{C3380CC4-5D6E-409C-BE32-E72D297353CC}">
                <c16:uniqueId val="{00000005-1331-46BA-9585-C7009B1D6A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Citepa!$C$19:$E$19</c:f>
              <c:numCache>
                <c:formatCode>_-* #\ ##0_-;\-* #\ ##0_-;_-* "-"??_-;_-@_-</c:formatCode>
                <c:ptCount val="3"/>
                <c:pt idx="0">
                  <c:v>14413</c:v>
                </c:pt>
                <c:pt idx="1">
                  <c:v>16288.278088046813</c:v>
                </c:pt>
                <c:pt idx="2">
                  <c:v>14141.69330666377</c:v>
                </c:pt>
              </c:numCache>
            </c:numRef>
          </c:val>
          <c:extLst>
            <c:ext xmlns:c16="http://schemas.microsoft.com/office/drawing/2014/chart" uri="{C3380CC4-5D6E-409C-BE32-E72D297353CC}">
              <c16:uniqueId val="{00000006-1331-46BA-9585-C7009B1D6AD4}"/>
            </c:ext>
          </c:extLst>
        </c:ser>
        <c:dLbls>
          <c:showLegendKey val="0"/>
          <c:showVal val="0"/>
          <c:showCatName val="0"/>
          <c:showSerName val="0"/>
          <c:showPercent val="0"/>
          <c:showBubbleSize val="0"/>
        </c:dLbls>
        <c:gapWidth val="150"/>
        <c:axId val="1068259520"/>
        <c:axId val="1068255256"/>
      </c:barChart>
      <c:catAx>
        <c:axId val="1068259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68255256"/>
        <c:crosses val="autoZero"/>
        <c:auto val="1"/>
        <c:lblAlgn val="ctr"/>
        <c:lblOffset val="100"/>
        <c:noMultiLvlLbl val="0"/>
      </c:catAx>
      <c:valAx>
        <c:axId val="1068255256"/>
        <c:scaling>
          <c:orientation val="minMax"/>
        </c:scaling>
        <c:delete val="0"/>
        <c:axPos val="l"/>
        <c:majorGridlines>
          <c:spPr>
            <a:ln w="9525" cap="flat" cmpd="sng" algn="ctr">
              <a:solidFill>
                <a:schemeClr val="tx1">
                  <a:lumMod val="15000"/>
                  <a:lumOff val="85000"/>
                </a:schemeClr>
              </a:solidFill>
              <a:round/>
            </a:ln>
            <a:effectLst/>
          </c:spPr>
        </c:majorGridlines>
        <c:numFmt formatCode="_-* #\ ##0_-;\-* #\ ##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68259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412750</xdr:colOff>
      <xdr:row>40</xdr:row>
      <xdr:rowOff>25400</xdr:rowOff>
    </xdr:from>
    <xdr:to>
      <xdr:col>8</xdr:col>
      <xdr:colOff>419100</xdr:colOff>
      <xdr:row>41</xdr:row>
      <xdr:rowOff>165100</xdr:rowOff>
    </xdr:to>
    <xdr:cxnSp macro="">
      <xdr:nvCxnSpPr>
        <xdr:cNvPr id="2" name="Connecteur droit avec flèche 1">
          <a:extLst>
            <a:ext uri="{FF2B5EF4-FFF2-40B4-BE49-F238E27FC236}">
              <a16:creationId xmlns:a16="http://schemas.microsoft.com/office/drawing/2014/main" id="{00000000-0008-0000-0100-000002000000}"/>
            </a:ext>
          </a:extLst>
        </xdr:cNvPr>
        <xdr:cNvCxnSpPr/>
      </xdr:nvCxnSpPr>
      <xdr:spPr>
        <a:xfrm>
          <a:off x="8591550" y="7943850"/>
          <a:ext cx="6350" cy="323850"/>
        </a:xfrm>
        <a:prstGeom prst="straightConnector1">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444500</xdr:colOff>
      <xdr:row>40</xdr:row>
      <xdr:rowOff>19050</xdr:rowOff>
    </xdr:from>
    <xdr:to>
      <xdr:col>9</xdr:col>
      <xdr:colOff>450850</xdr:colOff>
      <xdr:row>41</xdr:row>
      <xdr:rowOff>158750</xdr:rowOff>
    </xdr:to>
    <xdr:cxnSp macro="">
      <xdr:nvCxnSpPr>
        <xdr:cNvPr id="3" name="Connecteur droit avec flèche 2">
          <a:extLst>
            <a:ext uri="{FF2B5EF4-FFF2-40B4-BE49-F238E27FC236}">
              <a16:creationId xmlns:a16="http://schemas.microsoft.com/office/drawing/2014/main" id="{00000000-0008-0000-0100-000003000000}"/>
            </a:ext>
          </a:extLst>
        </xdr:cNvPr>
        <xdr:cNvCxnSpPr/>
      </xdr:nvCxnSpPr>
      <xdr:spPr>
        <a:xfrm>
          <a:off x="9385300" y="7937500"/>
          <a:ext cx="6350" cy="323850"/>
        </a:xfrm>
        <a:prstGeom prst="straightConnector1">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82550</xdr:colOff>
      <xdr:row>26</xdr:row>
      <xdr:rowOff>12700</xdr:rowOff>
    </xdr:from>
    <xdr:to>
      <xdr:col>13</xdr:col>
      <xdr:colOff>88900</xdr:colOff>
      <xdr:row>32</xdr:row>
      <xdr:rowOff>12700</xdr:rowOff>
    </xdr:to>
    <xdr:cxnSp macro="">
      <xdr:nvCxnSpPr>
        <xdr:cNvPr id="12" name="Connecteur droit avec flèche 11">
          <a:extLst>
            <a:ext uri="{FF2B5EF4-FFF2-40B4-BE49-F238E27FC236}">
              <a16:creationId xmlns:a16="http://schemas.microsoft.com/office/drawing/2014/main" id="{00000000-0008-0000-0100-00000C000000}"/>
            </a:ext>
          </a:extLst>
        </xdr:cNvPr>
        <xdr:cNvCxnSpPr/>
      </xdr:nvCxnSpPr>
      <xdr:spPr>
        <a:xfrm flipH="1">
          <a:off x="13131800" y="5168900"/>
          <a:ext cx="6350" cy="73660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146050</xdr:colOff>
      <xdr:row>26</xdr:row>
      <xdr:rowOff>0</xdr:rowOff>
    </xdr:from>
    <xdr:to>
      <xdr:col>14</xdr:col>
      <xdr:colOff>152400</xdr:colOff>
      <xdr:row>33</xdr:row>
      <xdr:rowOff>12700</xdr:rowOff>
    </xdr:to>
    <xdr:cxnSp macro="">
      <xdr:nvCxnSpPr>
        <xdr:cNvPr id="13" name="Connecteur droit avec flèche 12">
          <a:extLst>
            <a:ext uri="{FF2B5EF4-FFF2-40B4-BE49-F238E27FC236}">
              <a16:creationId xmlns:a16="http://schemas.microsoft.com/office/drawing/2014/main" id="{00000000-0008-0000-0100-00000D000000}"/>
            </a:ext>
          </a:extLst>
        </xdr:cNvPr>
        <xdr:cNvCxnSpPr/>
      </xdr:nvCxnSpPr>
      <xdr:spPr>
        <a:xfrm flipH="1">
          <a:off x="13957300" y="5156200"/>
          <a:ext cx="6350" cy="93345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101600</xdr:colOff>
      <xdr:row>27</xdr:row>
      <xdr:rowOff>6350</xdr:rowOff>
    </xdr:from>
    <xdr:to>
      <xdr:col>15</xdr:col>
      <xdr:colOff>107950</xdr:colOff>
      <xdr:row>33</xdr:row>
      <xdr:rowOff>6350</xdr:rowOff>
    </xdr:to>
    <xdr:cxnSp macro="">
      <xdr:nvCxnSpPr>
        <xdr:cNvPr id="14" name="Connecteur droit avec flèche 13">
          <a:extLst>
            <a:ext uri="{FF2B5EF4-FFF2-40B4-BE49-F238E27FC236}">
              <a16:creationId xmlns:a16="http://schemas.microsoft.com/office/drawing/2014/main" id="{00000000-0008-0000-0100-00000E000000}"/>
            </a:ext>
          </a:extLst>
        </xdr:cNvPr>
        <xdr:cNvCxnSpPr/>
      </xdr:nvCxnSpPr>
      <xdr:spPr>
        <a:xfrm flipH="1">
          <a:off x="5403850" y="1663700"/>
          <a:ext cx="6350" cy="73660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120650</xdr:colOff>
      <xdr:row>29</xdr:row>
      <xdr:rowOff>177800</xdr:rowOff>
    </xdr:from>
    <xdr:to>
      <xdr:col>16</xdr:col>
      <xdr:colOff>120650</xdr:colOff>
      <xdr:row>32</xdr:row>
      <xdr:rowOff>12700</xdr:rowOff>
    </xdr:to>
    <xdr:cxnSp macro="">
      <xdr:nvCxnSpPr>
        <xdr:cNvPr id="15" name="Connecteur droit avec flèche 14">
          <a:extLst>
            <a:ext uri="{FF2B5EF4-FFF2-40B4-BE49-F238E27FC236}">
              <a16:creationId xmlns:a16="http://schemas.microsoft.com/office/drawing/2014/main" id="{00000000-0008-0000-0100-00000F000000}"/>
            </a:ext>
          </a:extLst>
        </xdr:cNvPr>
        <xdr:cNvCxnSpPr/>
      </xdr:nvCxnSpPr>
      <xdr:spPr>
        <a:xfrm>
          <a:off x="15455900" y="5886450"/>
          <a:ext cx="0" cy="20320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101600</xdr:colOff>
      <xdr:row>27</xdr:row>
      <xdr:rowOff>0</xdr:rowOff>
    </xdr:from>
    <xdr:to>
      <xdr:col>17</xdr:col>
      <xdr:colOff>101600</xdr:colOff>
      <xdr:row>32</xdr:row>
      <xdr:rowOff>165100</xdr:rowOff>
    </xdr:to>
    <xdr:cxnSp macro="">
      <xdr:nvCxnSpPr>
        <xdr:cNvPr id="17" name="Connecteur droit avec flèche 16">
          <a:extLst>
            <a:ext uri="{FF2B5EF4-FFF2-40B4-BE49-F238E27FC236}">
              <a16:creationId xmlns:a16="http://schemas.microsoft.com/office/drawing/2014/main" id="{00000000-0008-0000-0100-000011000000}"/>
            </a:ext>
          </a:extLst>
        </xdr:cNvPr>
        <xdr:cNvCxnSpPr/>
      </xdr:nvCxnSpPr>
      <xdr:spPr>
        <a:xfrm>
          <a:off x="7689850" y="1657350"/>
          <a:ext cx="0" cy="71755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107950</xdr:colOff>
      <xdr:row>27</xdr:row>
      <xdr:rowOff>0</xdr:rowOff>
    </xdr:from>
    <xdr:to>
      <xdr:col>18</xdr:col>
      <xdr:colOff>114300</xdr:colOff>
      <xdr:row>33</xdr:row>
      <xdr:rowOff>6350</xdr:rowOff>
    </xdr:to>
    <xdr:cxnSp macro="">
      <xdr:nvCxnSpPr>
        <xdr:cNvPr id="18" name="Connecteur droit avec flèche 17">
          <a:extLst>
            <a:ext uri="{FF2B5EF4-FFF2-40B4-BE49-F238E27FC236}">
              <a16:creationId xmlns:a16="http://schemas.microsoft.com/office/drawing/2014/main" id="{00000000-0008-0000-0100-000012000000}"/>
            </a:ext>
          </a:extLst>
        </xdr:cNvPr>
        <xdr:cNvCxnSpPr/>
      </xdr:nvCxnSpPr>
      <xdr:spPr>
        <a:xfrm flipH="1">
          <a:off x="8458200" y="1657350"/>
          <a:ext cx="6350" cy="74295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95250</xdr:colOff>
      <xdr:row>27</xdr:row>
      <xdr:rowOff>6350</xdr:rowOff>
    </xdr:from>
    <xdr:to>
      <xdr:col>19</xdr:col>
      <xdr:colOff>101600</xdr:colOff>
      <xdr:row>32</xdr:row>
      <xdr:rowOff>12700</xdr:rowOff>
    </xdr:to>
    <xdr:cxnSp macro="">
      <xdr:nvCxnSpPr>
        <xdr:cNvPr id="19" name="Connecteur droit avec flèche 18">
          <a:extLst>
            <a:ext uri="{FF2B5EF4-FFF2-40B4-BE49-F238E27FC236}">
              <a16:creationId xmlns:a16="http://schemas.microsoft.com/office/drawing/2014/main" id="{00000000-0008-0000-0100-000013000000}"/>
            </a:ext>
          </a:extLst>
        </xdr:cNvPr>
        <xdr:cNvCxnSpPr/>
      </xdr:nvCxnSpPr>
      <xdr:spPr>
        <a:xfrm flipH="1">
          <a:off x="9207500" y="1663700"/>
          <a:ext cx="6350" cy="55880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2101850</xdr:colOff>
      <xdr:row>9</xdr:row>
      <xdr:rowOff>6350</xdr:rowOff>
    </xdr:from>
    <xdr:to>
      <xdr:col>2</xdr:col>
      <xdr:colOff>2108200</xdr:colOff>
      <xdr:row>12</xdr:row>
      <xdr:rowOff>12700</xdr:rowOff>
    </xdr:to>
    <xdr:cxnSp macro="">
      <xdr:nvCxnSpPr>
        <xdr:cNvPr id="20" name="Connecteur droit avec flèche 19">
          <a:extLst>
            <a:ext uri="{FF2B5EF4-FFF2-40B4-BE49-F238E27FC236}">
              <a16:creationId xmlns:a16="http://schemas.microsoft.com/office/drawing/2014/main" id="{00000000-0008-0000-0100-000014000000}"/>
            </a:ext>
          </a:extLst>
        </xdr:cNvPr>
        <xdr:cNvCxnSpPr/>
      </xdr:nvCxnSpPr>
      <xdr:spPr>
        <a:xfrm flipH="1">
          <a:off x="3860800" y="1663700"/>
          <a:ext cx="6350" cy="55880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215900</xdr:colOff>
      <xdr:row>28</xdr:row>
      <xdr:rowOff>177800</xdr:rowOff>
    </xdr:from>
    <xdr:to>
      <xdr:col>13</xdr:col>
      <xdr:colOff>215900</xdr:colOff>
      <xdr:row>36</xdr:row>
      <xdr:rowOff>12700</xdr:rowOff>
    </xdr:to>
    <xdr:cxnSp macro="">
      <xdr:nvCxnSpPr>
        <xdr:cNvPr id="21" name="Connecteur droit avec flèche 20">
          <a:extLst>
            <a:ext uri="{FF2B5EF4-FFF2-40B4-BE49-F238E27FC236}">
              <a16:creationId xmlns:a16="http://schemas.microsoft.com/office/drawing/2014/main" id="{00000000-0008-0000-0100-000015000000}"/>
            </a:ext>
          </a:extLst>
        </xdr:cNvPr>
        <xdr:cNvCxnSpPr/>
      </xdr:nvCxnSpPr>
      <xdr:spPr>
        <a:xfrm>
          <a:off x="13265150" y="5702300"/>
          <a:ext cx="0" cy="112395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82550</xdr:colOff>
      <xdr:row>80</xdr:row>
      <xdr:rowOff>12700</xdr:rowOff>
    </xdr:from>
    <xdr:to>
      <xdr:col>13</xdr:col>
      <xdr:colOff>88900</xdr:colOff>
      <xdr:row>86</xdr:row>
      <xdr:rowOff>12700</xdr:rowOff>
    </xdr:to>
    <xdr:cxnSp macro="">
      <xdr:nvCxnSpPr>
        <xdr:cNvPr id="37" name="Connecteur droit avec flèche 36">
          <a:extLst>
            <a:ext uri="{FF2B5EF4-FFF2-40B4-BE49-F238E27FC236}">
              <a16:creationId xmlns:a16="http://schemas.microsoft.com/office/drawing/2014/main" id="{00000000-0008-0000-0100-000025000000}"/>
            </a:ext>
          </a:extLst>
        </xdr:cNvPr>
        <xdr:cNvCxnSpPr/>
      </xdr:nvCxnSpPr>
      <xdr:spPr>
        <a:xfrm flipH="1">
          <a:off x="13131800" y="5168900"/>
          <a:ext cx="6350" cy="92075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146050</xdr:colOff>
      <xdr:row>80</xdr:row>
      <xdr:rowOff>0</xdr:rowOff>
    </xdr:from>
    <xdr:to>
      <xdr:col>14</xdr:col>
      <xdr:colOff>152400</xdr:colOff>
      <xdr:row>87</xdr:row>
      <xdr:rowOff>12700</xdr:rowOff>
    </xdr:to>
    <xdr:cxnSp macro="">
      <xdr:nvCxnSpPr>
        <xdr:cNvPr id="38" name="Connecteur droit avec flèche 37">
          <a:extLst>
            <a:ext uri="{FF2B5EF4-FFF2-40B4-BE49-F238E27FC236}">
              <a16:creationId xmlns:a16="http://schemas.microsoft.com/office/drawing/2014/main" id="{00000000-0008-0000-0100-000026000000}"/>
            </a:ext>
          </a:extLst>
        </xdr:cNvPr>
        <xdr:cNvCxnSpPr/>
      </xdr:nvCxnSpPr>
      <xdr:spPr>
        <a:xfrm flipH="1">
          <a:off x="13957300" y="5156200"/>
          <a:ext cx="6350" cy="111760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101600</xdr:colOff>
      <xdr:row>81</xdr:row>
      <xdr:rowOff>6350</xdr:rowOff>
    </xdr:from>
    <xdr:to>
      <xdr:col>15</xdr:col>
      <xdr:colOff>107950</xdr:colOff>
      <xdr:row>87</xdr:row>
      <xdr:rowOff>6350</xdr:rowOff>
    </xdr:to>
    <xdr:cxnSp macro="">
      <xdr:nvCxnSpPr>
        <xdr:cNvPr id="39" name="Connecteur droit avec flèche 38">
          <a:extLst>
            <a:ext uri="{FF2B5EF4-FFF2-40B4-BE49-F238E27FC236}">
              <a16:creationId xmlns:a16="http://schemas.microsoft.com/office/drawing/2014/main" id="{00000000-0008-0000-0100-000027000000}"/>
            </a:ext>
          </a:extLst>
        </xdr:cNvPr>
        <xdr:cNvCxnSpPr/>
      </xdr:nvCxnSpPr>
      <xdr:spPr>
        <a:xfrm flipH="1">
          <a:off x="14674850" y="5346700"/>
          <a:ext cx="6350" cy="92075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120650</xdr:colOff>
      <xdr:row>84</xdr:row>
      <xdr:rowOff>177800</xdr:rowOff>
    </xdr:from>
    <xdr:to>
      <xdr:col>16</xdr:col>
      <xdr:colOff>120650</xdr:colOff>
      <xdr:row>88</xdr:row>
      <xdr:rowOff>44450</xdr:rowOff>
    </xdr:to>
    <xdr:cxnSp macro="">
      <xdr:nvCxnSpPr>
        <xdr:cNvPr id="40" name="Connecteur droit avec flèche 39">
          <a:extLst>
            <a:ext uri="{FF2B5EF4-FFF2-40B4-BE49-F238E27FC236}">
              <a16:creationId xmlns:a16="http://schemas.microsoft.com/office/drawing/2014/main" id="{00000000-0008-0000-0100-000028000000}"/>
            </a:ext>
          </a:extLst>
        </xdr:cNvPr>
        <xdr:cNvCxnSpPr/>
      </xdr:nvCxnSpPr>
      <xdr:spPr>
        <a:xfrm>
          <a:off x="15455900" y="16198850"/>
          <a:ext cx="0" cy="60325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101600</xdr:colOff>
      <xdr:row>81</xdr:row>
      <xdr:rowOff>0</xdr:rowOff>
    </xdr:from>
    <xdr:to>
      <xdr:col>17</xdr:col>
      <xdr:colOff>101600</xdr:colOff>
      <xdr:row>86</xdr:row>
      <xdr:rowOff>165100</xdr:rowOff>
    </xdr:to>
    <xdr:cxnSp macro="">
      <xdr:nvCxnSpPr>
        <xdr:cNvPr id="41" name="Connecteur droit avec flèche 40">
          <a:extLst>
            <a:ext uri="{FF2B5EF4-FFF2-40B4-BE49-F238E27FC236}">
              <a16:creationId xmlns:a16="http://schemas.microsoft.com/office/drawing/2014/main" id="{00000000-0008-0000-0100-000029000000}"/>
            </a:ext>
          </a:extLst>
        </xdr:cNvPr>
        <xdr:cNvCxnSpPr/>
      </xdr:nvCxnSpPr>
      <xdr:spPr>
        <a:xfrm>
          <a:off x="16198850" y="5340350"/>
          <a:ext cx="0" cy="90170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107950</xdr:colOff>
      <xdr:row>81</xdr:row>
      <xdr:rowOff>0</xdr:rowOff>
    </xdr:from>
    <xdr:to>
      <xdr:col>18</xdr:col>
      <xdr:colOff>114300</xdr:colOff>
      <xdr:row>87</xdr:row>
      <xdr:rowOff>6350</xdr:rowOff>
    </xdr:to>
    <xdr:cxnSp macro="">
      <xdr:nvCxnSpPr>
        <xdr:cNvPr id="42" name="Connecteur droit avec flèche 41">
          <a:extLst>
            <a:ext uri="{FF2B5EF4-FFF2-40B4-BE49-F238E27FC236}">
              <a16:creationId xmlns:a16="http://schemas.microsoft.com/office/drawing/2014/main" id="{00000000-0008-0000-0100-00002A000000}"/>
            </a:ext>
          </a:extLst>
        </xdr:cNvPr>
        <xdr:cNvCxnSpPr/>
      </xdr:nvCxnSpPr>
      <xdr:spPr>
        <a:xfrm flipH="1">
          <a:off x="16967200" y="5340350"/>
          <a:ext cx="6350" cy="92710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95250</xdr:colOff>
      <xdr:row>81</xdr:row>
      <xdr:rowOff>6350</xdr:rowOff>
    </xdr:from>
    <xdr:to>
      <xdr:col>19</xdr:col>
      <xdr:colOff>101600</xdr:colOff>
      <xdr:row>86</xdr:row>
      <xdr:rowOff>12700</xdr:rowOff>
    </xdr:to>
    <xdr:cxnSp macro="">
      <xdr:nvCxnSpPr>
        <xdr:cNvPr id="43" name="Connecteur droit avec flèche 42">
          <a:extLst>
            <a:ext uri="{FF2B5EF4-FFF2-40B4-BE49-F238E27FC236}">
              <a16:creationId xmlns:a16="http://schemas.microsoft.com/office/drawing/2014/main" id="{00000000-0008-0000-0100-00002B000000}"/>
            </a:ext>
          </a:extLst>
        </xdr:cNvPr>
        <xdr:cNvCxnSpPr/>
      </xdr:nvCxnSpPr>
      <xdr:spPr>
        <a:xfrm flipH="1">
          <a:off x="17716500" y="5346700"/>
          <a:ext cx="6350" cy="74295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215900</xdr:colOff>
      <xdr:row>82</xdr:row>
      <xdr:rowOff>177800</xdr:rowOff>
    </xdr:from>
    <xdr:to>
      <xdr:col>13</xdr:col>
      <xdr:colOff>215900</xdr:colOff>
      <xdr:row>90</xdr:row>
      <xdr:rowOff>12700</xdr:rowOff>
    </xdr:to>
    <xdr:cxnSp macro="">
      <xdr:nvCxnSpPr>
        <xdr:cNvPr id="44" name="Connecteur droit avec flèche 43">
          <a:extLst>
            <a:ext uri="{FF2B5EF4-FFF2-40B4-BE49-F238E27FC236}">
              <a16:creationId xmlns:a16="http://schemas.microsoft.com/office/drawing/2014/main" id="{00000000-0008-0000-0100-00002C000000}"/>
            </a:ext>
          </a:extLst>
        </xdr:cNvPr>
        <xdr:cNvCxnSpPr/>
      </xdr:nvCxnSpPr>
      <xdr:spPr>
        <a:xfrm>
          <a:off x="13265150" y="5702300"/>
          <a:ext cx="0" cy="112395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82550</xdr:colOff>
      <xdr:row>116</xdr:row>
      <xdr:rowOff>12700</xdr:rowOff>
    </xdr:from>
    <xdr:to>
      <xdr:col>13</xdr:col>
      <xdr:colOff>88900</xdr:colOff>
      <xdr:row>122</xdr:row>
      <xdr:rowOff>12700</xdr:rowOff>
    </xdr:to>
    <xdr:cxnSp macro="">
      <xdr:nvCxnSpPr>
        <xdr:cNvPr id="54" name="Connecteur droit avec flèche 53">
          <a:extLst>
            <a:ext uri="{FF2B5EF4-FFF2-40B4-BE49-F238E27FC236}">
              <a16:creationId xmlns:a16="http://schemas.microsoft.com/office/drawing/2014/main" id="{00000000-0008-0000-0100-000036000000}"/>
            </a:ext>
          </a:extLst>
        </xdr:cNvPr>
        <xdr:cNvCxnSpPr/>
      </xdr:nvCxnSpPr>
      <xdr:spPr>
        <a:xfrm flipH="1">
          <a:off x="13131800" y="15481300"/>
          <a:ext cx="6350" cy="110490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146050</xdr:colOff>
      <xdr:row>116</xdr:row>
      <xdr:rowOff>0</xdr:rowOff>
    </xdr:from>
    <xdr:to>
      <xdr:col>14</xdr:col>
      <xdr:colOff>152400</xdr:colOff>
      <xdr:row>123</xdr:row>
      <xdr:rowOff>12700</xdr:rowOff>
    </xdr:to>
    <xdr:cxnSp macro="">
      <xdr:nvCxnSpPr>
        <xdr:cNvPr id="55" name="Connecteur droit avec flèche 54">
          <a:extLst>
            <a:ext uri="{FF2B5EF4-FFF2-40B4-BE49-F238E27FC236}">
              <a16:creationId xmlns:a16="http://schemas.microsoft.com/office/drawing/2014/main" id="{00000000-0008-0000-0100-000037000000}"/>
            </a:ext>
          </a:extLst>
        </xdr:cNvPr>
        <xdr:cNvCxnSpPr/>
      </xdr:nvCxnSpPr>
      <xdr:spPr>
        <a:xfrm flipH="1">
          <a:off x="13957300" y="15468600"/>
          <a:ext cx="6350" cy="130175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101600</xdr:colOff>
      <xdr:row>117</xdr:row>
      <xdr:rowOff>6350</xdr:rowOff>
    </xdr:from>
    <xdr:to>
      <xdr:col>15</xdr:col>
      <xdr:colOff>107950</xdr:colOff>
      <xdr:row>123</xdr:row>
      <xdr:rowOff>6350</xdr:rowOff>
    </xdr:to>
    <xdr:cxnSp macro="">
      <xdr:nvCxnSpPr>
        <xdr:cNvPr id="56" name="Connecteur droit avec flèche 55">
          <a:extLst>
            <a:ext uri="{FF2B5EF4-FFF2-40B4-BE49-F238E27FC236}">
              <a16:creationId xmlns:a16="http://schemas.microsoft.com/office/drawing/2014/main" id="{00000000-0008-0000-0100-000038000000}"/>
            </a:ext>
          </a:extLst>
        </xdr:cNvPr>
        <xdr:cNvCxnSpPr/>
      </xdr:nvCxnSpPr>
      <xdr:spPr>
        <a:xfrm flipH="1">
          <a:off x="14674850" y="15659100"/>
          <a:ext cx="6350" cy="110490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120650</xdr:colOff>
      <xdr:row>120</xdr:row>
      <xdr:rowOff>177800</xdr:rowOff>
    </xdr:from>
    <xdr:to>
      <xdr:col>16</xdr:col>
      <xdr:colOff>120650</xdr:colOff>
      <xdr:row>124</xdr:row>
      <xdr:rowOff>44450</xdr:rowOff>
    </xdr:to>
    <xdr:cxnSp macro="">
      <xdr:nvCxnSpPr>
        <xdr:cNvPr id="57" name="Connecteur droit avec flèche 56">
          <a:extLst>
            <a:ext uri="{FF2B5EF4-FFF2-40B4-BE49-F238E27FC236}">
              <a16:creationId xmlns:a16="http://schemas.microsoft.com/office/drawing/2014/main" id="{00000000-0008-0000-0100-000039000000}"/>
            </a:ext>
          </a:extLst>
        </xdr:cNvPr>
        <xdr:cNvCxnSpPr/>
      </xdr:nvCxnSpPr>
      <xdr:spPr>
        <a:xfrm>
          <a:off x="15455900" y="16383000"/>
          <a:ext cx="0" cy="60325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101600</xdr:colOff>
      <xdr:row>117</xdr:row>
      <xdr:rowOff>0</xdr:rowOff>
    </xdr:from>
    <xdr:to>
      <xdr:col>17</xdr:col>
      <xdr:colOff>101600</xdr:colOff>
      <xdr:row>122</xdr:row>
      <xdr:rowOff>165100</xdr:rowOff>
    </xdr:to>
    <xdr:cxnSp macro="">
      <xdr:nvCxnSpPr>
        <xdr:cNvPr id="58" name="Connecteur droit avec flèche 57">
          <a:extLst>
            <a:ext uri="{FF2B5EF4-FFF2-40B4-BE49-F238E27FC236}">
              <a16:creationId xmlns:a16="http://schemas.microsoft.com/office/drawing/2014/main" id="{00000000-0008-0000-0100-00003A000000}"/>
            </a:ext>
          </a:extLst>
        </xdr:cNvPr>
        <xdr:cNvCxnSpPr/>
      </xdr:nvCxnSpPr>
      <xdr:spPr>
        <a:xfrm>
          <a:off x="16198850" y="15652750"/>
          <a:ext cx="0" cy="108585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107950</xdr:colOff>
      <xdr:row>117</xdr:row>
      <xdr:rowOff>0</xdr:rowOff>
    </xdr:from>
    <xdr:to>
      <xdr:col>18</xdr:col>
      <xdr:colOff>114300</xdr:colOff>
      <xdr:row>123</xdr:row>
      <xdr:rowOff>6350</xdr:rowOff>
    </xdr:to>
    <xdr:cxnSp macro="">
      <xdr:nvCxnSpPr>
        <xdr:cNvPr id="59" name="Connecteur droit avec flèche 58">
          <a:extLst>
            <a:ext uri="{FF2B5EF4-FFF2-40B4-BE49-F238E27FC236}">
              <a16:creationId xmlns:a16="http://schemas.microsoft.com/office/drawing/2014/main" id="{00000000-0008-0000-0100-00003B000000}"/>
            </a:ext>
          </a:extLst>
        </xdr:cNvPr>
        <xdr:cNvCxnSpPr/>
      </xdr:nvCxnSpPr>
      <xdr:spPr>
        <a:xfrm flipH="1">
          <a:off x="16967200" y="15652750"/>
          <a:ext cx="6350" cy="111125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95250</xdr:colOff>
      <xdr:row>117</xdr:row>
      <xdr:rowOff>6350</xdr:rowOff>
    </xdr:from>
    <xdr:to>
      <xdr:col>19</xdr:col>
      <xdr:colOff>101600</xdr:colOff>
      <xdr:row>122</xdr:row>
      <xdr:rowOff>12700</xdr:rowOff>
    </xdr:to>
    <xdr:cxnSp macro="">
      <xdr:nvCxnSpPr>
        <xdr:cNvPr id="60" name="Connecteur droit avec flèche 59">
          <a:extLst>
            <a:ext uri="{FF2B5EF4-FFF2-40B4-BE49-F238E27FC236}">
              <a16:creationId xmlns:a16="http://schemas.microsoft.com/office/drawing/2014/main" id="{00000000-0008-0000-0100-00003C000000}"/>
            </a:ext>
          </a:extLst>
        </xdr:cNvPr>
        <xdr:cNvCxnSpPr/>
      </xdr:nvCxnSpPr>
      <xdr:spPr>
        <a:xfrm flipH="1">
          <a:off x="17716500" y="15659100"/>
          <a:ext cx="6350" cy="92710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215900</xdr:colOff>
      <xdr:row>118</xdr:row>
      <xdr:rowOff>177800</xdr:rowOff>
    </xdr:from>
    <xdr:to>
      <xdr:col>13</xdr:col>
      <xdr:colOff>215900</xdr:colOff>
      <xdr:row>126</xdr:row>
      <xdr:rowOff>12700</xdr:rowOff>
    </xdr:to>
    <xdr:cxnSp macro="">
      <xdr:nvCxnSpPr>
        <xdr:cNvPr id="61" name="Connecteur droit avec flèche 60">
          <a:extLst>
            <a:ext uri="{FF2B5EF4-FFF2-40B4-BE49-F238E27FC236}">
              <a16:creationId xmlns:a16="http://schemas.microsoft.com/office/drawing/2014/main" id="{00000000-0008-0000-0100-00003D000000}"/>
            </a:ext>
          </a:extLst>
        </xdr:cNvPr>
        <xdr:cNvCxnSpPr/>
      </xdr:nvCxnSpPr>
      <xdr:spPr>
        <a:xfrm>
          <a:off x="13265150" y="16014700"/>
          <a:ext cx="0" cy="130810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90311</xdr:colOff>
      <xdr:row>62</xdr:row>
      <xdr:rowOff>96661</xdr:rowOff>
    </xdr:from>
    <xdr:to>
      <xdr:col>11</xdr:col>
      <xdr:colOff>103011</xdr:colOff>
      <xdr:row>67</xdr:row>
      <xdr:rowOff>134761</xdr:rowOff>
    </xdr:to>
    <xdr:cxnSp macro="">
      <xdr:nvCxnSpPr>
        <xdr:cNvPr id="2" name="Connecteur en angle 1">
          <a:extLst>
            <a:ext uri="{FF2B5EF4-FFF2-40B4-BE49-F238E27FC236}">
              <a16:creationId xmlns:a16="http://schemas.microsoft.com/office/drawing/2014/main" id="{00000000-0008-0000-0200-000002000000}"/>
            </a:ext>
          </a:extLst>
        </xdr:cNvPr>
        <xdr:cNvCxnSpPr/>
      </xdr:nvCxnSpPr>
      <xdr:spPr>
        <a:xfrm rot="5400000">
          <a:off x="12364861" y="16987661"/>
          <a:ext cx="1879600" cy="12700"/>
        </a:xfrm>
        <a:prstGeom prst="bentConnector3">
          <a:avLst>
            <a:gd name="adj1" fmla="val 9923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239889</xdr:colOff>
      <xdr:row>79</xdr:row>
      <xdr:rowOff>373945</xdr:rowOff>
    </xdr:from>
    <xdr:to>
      <xdr:col>11</xdr:col>
      <xdr:colOff>261057</xdr:colOff>
      <xdr:row>91</xdr:row>
      <xdr:rowOff>141111</xdr:rowOff>
    </xdr:to>
    <xdr:cxnSp macro="">
      <xdr:nvCxnSpPr>
        <xdr:cNvPr id="6" name="Connecteur droit avec flèche 5">
          <a:extLst>
            <a:ext uri="{FF2B5EF4-FFF2-40B4-BE49-F238E27FC236}">
              <a16:creationId xmlns:a16="http://schemas.microsoft.com/office/drawing/2014/main" id="{00000000-0008-0000-0200-000006000000}"/>
            </a:ext>
          </a:extLst>
        </xdr:cNvPr>
        <xdr:cNvCxnSpPr/>
      </xdr:nvCxnSpPr>
      <xdr:spPr>
        <a:xfrm flipH="1">
          <a:off x="13447889" y="19900195"/>
          <a:ext cx="21168" cy="27135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1058334</xdr:colOff>
      <xdr:row>154</xdr:row>
      <xdr:rowOff>52916</xdr:rowOff>
    </xdr:from>
    <xdr:to>
      <xdr:col>3</xdr:col>
      <xdr:colOff>68793</xdr:colOff>
      <xdr:row>169</xdr:row>
      <xdr:rowOff>142875</xdr:rowOff>
    </xdr:to>
    <xdr:cxnSp macro="">
      <xdr:nvCxnSpPr>
        <xdr:cNvPr id="4" name="Connecteur en angle 3">
          <a:extLst>
            <a:ext uri="{FF2B5EF4-FFF2-40B4-BE49-F238E27FC236}">
              <a16:creationId xmlns:a16="http://schemas.microsoft.com/office/drawing/2014/main" id="{00000000-0008-0000-0200-000004000000}"/>
            </a:ext>
          </a:extLst>
        </xdr:cNvPr>
        <xdr:cNvCxnSpPr/>
      </xdr:nvCxnSpPr>
      <xdr:spPr>
        <a:xfrm rot="5400000">
          <a:off x="340784" y="34654066"/>
          <a:ext cx="3957109" cy="70909"/>
        </a:xfrm>
        <a:prstGeom prst="bentConnector3">
          <a:avLst>
            <a:gd name="adj1" fmla="val 99576"/>
          </a:avLst>
        </a:prstGeom>
        <a:ln w="1270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682626</xdr:colOff>
      <xdr:row>158</xdr:row>
      <xdr:rowOff>105836</xdr:rowOff>
    </xdr:from>
    <xdr:to>
      <xdr:col>3</xdr:col>
      <xdr:colOff>105834</xdr:colOff>
      <xdr:row>170</xdr:row>
      <xdr:rowOff>127006</xdr:rowOff>
    </xdr:to>
    <xdr:cxnSp macro="">
      <xdr:nvCxnSpPr>
        <xdr:cNvPr id="5" name="Connecteur en angle 4">
          <a:extLst>
            <a:ext uri="{FF2B5EF4-FFF2-40B4-BE49-F238E27FC236}">
              <a16:creationId xmlns:a16="http://schemas.microsoft.com/office/drawing/2014/main" id="{00000000-0008-0000-0200-000005000000}"/>
            </a:ext>
          </a:extLst>
        </xdr:cNvPr>
        <xdr:cNvCxnSpPr/>
      </xdr:nvCxnSpPr>
      <xdr:spPr>
        <a:xfrm rot="5400000">
          <a:off x="815445" y="35259967"/>
          <a:ext cx="2967570" cy="185208"/>
        </a:xfrm>
        <a:prstGeom prst="bentConnector3">
          <a:avLst>
            <a:gd name="adj1" fmla="val 99615"/>
          </a:avLst>
        </a:prstGeom>
        <a:ln w="1270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1058334</xdr:colOff>
      <xdr:row>155</xdr:row>
      <xdr:rowOff>52916</xdr:rowOff>
    </xdr:from>
    <xdr:to>
      <xdr:col>3</xdr:col>
      <xdr:colOff>68793</xdr:colOff>
      <xdr:row>170</xdr:row>
      <xdr:rowOff>142875</xdr:rowOff>
    </xdr:to>
    <xdr:cxnSp macro="">
      <xdr:nvCxnSpPr>
        <xdr:cNvPr id="7" name="Connecteur en angle 6">
          <a:extLst>
            <a:ext uri="{FF2B5EF4-FFF2-40B4-BE49-F238E27FC236}">
              <a16:creationId xmlns:a16="http://schemas.microsoft.com/office/drawing/2014/main" id="{00000000-0008-0000-0200-000007000000}"/>
            </a:ext>
          </a:extLst>
        </xdr:cNvPr>
        <xdr:cNvCxnSpPr/>
      </xdr:nvCxnSpPr>
      <xdr:spPr>
        <a:xfrm rot="5400000">
          <a:off x="340784" y="34838216"/>
          <a:ext cx="3957109" cy="70909"/>
        </a:xfrm>
        <a:prstGeom prst="bentConnector3">
          <a:avLst>
            <a:gd name="adj1" fmla="val 99576"/>
          </a:avLst>
        </a:prstGeom>
        <a:ln w="1270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682626</xdr:colOff>
      <xdr:row>159</xdr:row>
      <xdr:rowOff>105836</xdr:rowOff>
    </xdr:from>
    <xdr:to>
      <xdr:col>3</xdr:col>
      <xdr:colOff>105834</xdr:colOff>
      <xdr:row>171</xdr:row>
      <xdr:rowOff>127006</xdr:rowOff>
    </xdr:to>
    <xdr:cxnSp macro="">
      <xdr:nvCxnSpPr>
        <xdr:cNvPr id="8" name="Connecteur en angle 7">
          <a:extLst>
            <a:ext uri="{FF2B5EF4-FFF2-40B4-BE49-F238E27FC236}">
              <a16:creationId xmlns:a16="http://schemas.microsoft.com/office/drawing/2014/main" id="{00000000-0008-0000-0200-000008000000}"/>
            </a:ext>
          </a:extLst>
        </xdr:cNvPr>
        <xdr:cNvCxnSpPr/>
      </xdr:nvCxnSpPr>
      <xdr:spPr>
        <a:xfrm rot="5400000">
          <a:off x="723370" y="35720342"/>
          <a:ext cx="3151720" cy="185208"/>
        </a:xfrm>
        <a:prstGeom prst="bentConnector3">
          <a:avLst>
            <a:gd name="adj1" fmla="val 99615"/>
          </a:avLst>
        </a:prstGeom>
        <a:ln w="12700">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0</xdr:colOff>
      <xdr:row>1</xdr:row>
      <xdr:rowOff>0</xdr:rowOff>
    </xdr:from>
    <xdr:to>
      <xdr:col>21</xdr:col>
      <xdr:colOff>600075</xdr:colOff>
      <xdr:row>19</xdr:row>
      <xdr:rowOff>180976</xdr:rowOff>
    </xdr:to>
    <xdr:graphicFrame macro="">
      <xdr:nvGraphicFramePr>
        <xdr:cNvPr id="10" name="Graphique 9">
          <a:extLst>
            <a:ext uri="{FF2B5EF4-FFF2-40B4-BE49-F238E27FC236}">
              <a16:creationId xmlns:a16="http://schemas.microsoft.com/office/drawing/2014/main" id="{E7E4A206-80B6-48A0-AAC6-6B43DAC86D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22</xdr:row>
      <xdr:rowOff>0</xdr:rowOff>
    </xdr:from>
    <xdr:to>
      <xdr:col>8</xdr:col>
      <xdr:colOff>0</xdr:colOff>
      <xdr:row>39</xdr:row>
      <xdr:rowOff>0</xdr:rowOff>
    </xdr:to>
    <xdr:graphicFrame macro="">
      <xdr:nvGraphicFramePr>
        <xdr:cNvPr id="11" name="Graphique 10">
          <a:extLst>
            <a:ext uri="{FF2B5EF4-FFF2-40B4-BE49-F238E27FC236}">
              <a16:creationId xmlns:a16="http://schemas.microsoft.com/office/drawing/2014/main" id="{197DE777-6004-4343-B67E-630C81426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22</xdr:row>
      <xdr:rowOff>0</xdr:rowOff>
    </xdr:from>
    <xdr:to>
      <xdr:col>15</xdr:col>
      <xdr:colOff>0</xdr:colOff>
      <xdr:row>39</xdr:row>
      <xdr:rowOff>0</xdr:rowOff>
    </xdr:to>
    <xdr:graphicFrame macro="">
      <xdr:nvGraphicFramePr>
        <xdr:cNvPr id="12" name="Graphique 11">
          <a:extLst>
            <a:ext uri="{FF2B5EF4-FFF2-40B4-BE49-F238E27FC236}">
              <a16:creationId xmlns:a16="http://schemas.microsoft.com/office/drawing/2014/main" id="{143FB617-D78A-4EEF-B4B0-84FC7B24C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xdr:colOff>
      <xdr:row>40</xdr:row>
      <xdr:rowOff>0</xdr:rowOff>
    </xdr:from>
    <xdr:to>
      <xdr:col>15</xdr:col>
      <xdr:colOff>0</xdr:colOff>
      <xdr:row>57</xdr:row>
      <xdr:rowOff>0</xdr:rowOff>
    </xdr:to>
    <xdr:graphicFrame macro="">
      <xdr:nvGraphicFramePr>
        <xdr:cNvPr id="13" name="Graphique 12">
          <a:extLst>
            <a:ext uri="{FF2B5EF4-FFF2-40B4-BE49-F238E27FC236}">
              <a16:creationId xmlns:a16="http://schemas.microsoft.com/office/drawing/2014/main" id="{D42727DD-333C-48EE-93FA-3D3F200CDC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40</xdr:row>
      <xdr:rowOff>0</xdr:rowOff>
    </xdr:from>
    <xdr:to>
      <xdr:col>8</xdr:col>
      <xdr:colOff>0</xdr:colOff>
      <xdr:row>57</xdr:row>
      <xdr:rowOff>0</xdr:rowOff>
    </xdr:to>
    <xdr:graphicFrame macro="">
      <xdr:nvGraphicFramePr>
        <xdr:cNvPr id="14" name="Graphique 13">
          <a:extLst>
            <a:ext uri="{FF2B5EF4-FFF2-40B4-BE49-F238E27FC236}">
              <a16:creationId xmlns:a16="http://schemas.microsoft.com/office/drawing/2014/main" id="{D97C5239-8D33-4D0C-9E53-ED8172D79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tabColor theme="7"/>
  </sheetPr>
  <dimension ref="A1:N17"/>
  <sheetViews>
    <sheetView workbookViewId="0">
      <selection activeCell="I30" sqref="I30"/>
    </sheetView>
  </sheetViews>
  <sheetFormatPr baseColWidth="10" defaultRowHeight="14.4" x14ac:dyDescent="0.3"/>
  <cols>
    <col min="2" max="2" width="14.77734375" customWidth="1"/>
  </cols>
  <sheetData>
    <row r="1" spans="1:14" ht="14.55" customHeight="1" x14ac:dyDescent="0.3">
      <c r="E1" s="94"/>
      <c r="F1" s="95"/>
      <c r="G1" s="482"/>
      <c r="H1" s="483"/>
      <c r="I1" s="484"/>
      <c r="J1" s="484"/>
      <c r="K1" s="484"/>
      <c r="L1" s="484"/>
      <c r="M1" s="484"/>
      <c r="N1" s="484"/>
    </row>
    <row r="2" spans="1:14" x14ac:dyDescent="0.3">
      <c r="E2" s="485" t="s">
        <v>249</v>
      </c>
      <c r="F2" s="486"/>
      <c r="G2" s="487" t="s">
        <v>250</v>
      </c>
      <c r="H2" s="488"/>
      <c r="I2" s="489"/>
      <c r="J2" s="489"/>
      <c r="K2" s="489"/>
      <c r="L2" s="489"/>
      <c r="M2" s="489"/>
      <c r="N2" s="489"/>
    </row>
    <row r="3" spans="1:14" x14ac:dyDescent="0.3">
      <c r="C3">
        <v>2015</v>
      </c>
      <c r="D3">
        <v>2020</v>
      </c>
      <c r="E3" s="100">
        <v>2030</v>
      </c>
      <c r="F3" s="101">
        <v>2050</v>
      </c>
      <c r="G3" s="102">
        <v>2030</v>
      </c>
      <c r="H3" s="140">
        <v>2050</v>
      </c>
    </row>
    <row r="4" spans="1:14" x14ac:dyDescent="0.3">
      <c r="A4" s="109"/>
      <c r="B4" s="108" t="s">
        <v>152</v>
      </c>
      <c r="C4" s="108"/>
      <c r="D4" s="108"/>
      <c r="E4" s="110">
        <v>-0.1</v>
      </c>
      <c r="F4" s="110">
        <v>-0.3</v>
      </c>
      <c r="G4" s="110">
        <v>-0.2</v>
      </c>
      <c r="H4" s="141">
        <v>-0.6</v>
      </c>
      <c r="I4" s="121"/>
      <c r="J4" s="121"/>
      <c r="K4" s="121"/>
      <c r="L4" s="121"/>
      <c r="M4" s="121"/>
      <c r="N4" s="121"/>
    </row>
    <row r="5" spans="1:14" x14ac:dyDescent="0.3">
      <c r="A5" s="480" t="s">
        <v>4</v>
      </c>
      <c r="B5" s="105" t="s">
        <v>135</v>
      </c>
      <c r="C5" s="96">
        <v>26</v>
      </c>
      <c r="D5" s="98"/>
      <c r="E5" s="103">
        <v>0.01</v>
      </c>
      <c r="F5" s="103">
        <v>0.05</v>
      </c>
      <c r="G5" s="103">
        <v>0.1</v>
      </c>
      <c r="H5" s="142">
        <v>0.2</v>
      </c>
      <c r="I5" s="121"/>
      <c r="J5" s="121"/>
      <c r="K5" s="121"/>
      <c r="L5" s="121"/>
      <c r="M5" s="121"/>
      <c r="N5" s="121"/>
    </row>
    <row r="6" spans="1:14" x14ac:dyDescent="0.3">
      <c r="A6" s="481"/>
      <c r="B6" s="105" t="s">
        <v>136</v>
      </c>
      <c r="C6" s="96">
        <v>2282</v>
      </c>
      <c r="D6" s="98"/>
      <c r="E6" s="103">
        <f>1-E5</f>
        <v>0.99</v>
      </c>
      <c r="F6" s="103">
        <f t="shared" ref="F6:H6" si="0">1-F5</f>
        <v>0.95</v>
      </c>
      <c r="G6" s="103">
        <f t="shared" si="0"/>
        <v>0.9</v>
      </c>
      <c r="H6" s="142">
        <f t="shared" si="0"/>
        <v>0.8</v>
      </c>
      <c r="I6" s="121"/>
      <c r="J6" s="121"/>
      <c r="K6" s="121"/>
      <c r="L6" s="121"/>
      <c r="M6" s="121"/>
      <c r="N6" s="121"/>
    </row>
    <row r="7" spans="1:14" x14ac:dyDescent="0.3">
      <c r="A7" s="107"/>
      <c r="B7" s="105" t="s">
        <v>152</v>
      </c>
      <c r="C7" s="96"/>
      <c r="D7" s="98"/>
      <c r="E7" s="110">
        <v>-0.1</v>
      </c>
      <c r="F7" s="110">
        <v>-0.3</v>
      </c>
      <c r="G7" s="110">
        <v>-0.2</v>
      </c>
      <c r="H7" s="141">
        <v>-0.6</v>
      </c>
      <c r="I7" s="121"/>
      <c r="J7" s="121"/>
      <c r="K7" s="121"/>
      <c r="L7" s="121"/>
      <c r="M7" s="121"/>
      <c r="N7" s="121"/>
    </row>
    <row r="8" spans="1:14" x14ac:dyDescent="0.3">
      <c r="A8" s="480" t="s">
        <v>7</v>
      </c>
      <c r="B8" s="105" t="s">
        <v>135</v>
      </c>
      <c r="C8" s="96">
        <v>230</v>
      </c>
      <c r="D8" s="98"/>
      <c r="E8" s="103">
        <v>0.01</v>
      </c>
      <c r="F8" s="103">
        <v>0.05</v>
      </c>
      <c r="G8" s="103">
        <v>0.1</v>
      </c>
      <c r="H8" s="142">
        <v>0.2</v>
      </c>
      <c r="I8" s="121"/>
      <c r="J8" s="121"/>
      <c r="K8" s="121"/>
      <c r="L8" s="121"/>
      <c r="M8" s="121"/>
      <c r="N8" s="121"/>
    </row>
    <row r="9" spans="1:14" x14ac:dyDescent="0.3">
      <c r="A9" s="481"/>
      <c r="B9" s="105" t="s">
        <v>136</v>
      </c>
      <c r="C9" s="96">
        <v>2435</v>
      </c>
      <c r="D9" s="98"/>
      <c r="E9" s="103">
        <f>1-E8</f>
        <v>0.99</v>
      </c>
      <c r="F9" s="103">
        <f t="shared" ref="F9" si="1">1-F8</f>
        <v>0.95</v>
      </c>
      <c r="G9" s="103">
        <f t="shared" ref="G9" si="2">1-G8</f>
        <v>0.9</v>
      </c>
      <c r="H9" s="142">
        <f t="shared" ref="H9" si="3">1-H8</f>
        <v>0.8</v>
      </c>
      <c r="I9" s="121"/>
      <c r="J9" s="121"/>
      <c r="K9" s="121"/>
      <c r="L9" s="121"/>
      <c r="M9" s="121"/>
      <c r="N9" s="121"/>
    </row>
    <row r="12" spans="1:14" x14ac:dyDescent="0.3">
      <c r="A12" s="109"/>
      <c r="B12" s="108" t="s">
        <v>134</v>
      </c>
      <c r="C12" s="108"/>
      <c r="D12" s="108"/>
      <c r="E12" s="111">
        <f>SUM($C$5:$C$6)*(1+E4)</f>
        <v>2077.2000000000003</v>
      </c>
      <c r="F12" s="111">
        <f t="shared" ref="F12:H12" si="4">SUM($C$5:$C$6)*(1+F4)</f>
        <v>1615.6</v>
      </c>
      <c r="G12" s="111">
        <f t="shared" si="4"/>
        <v>1846.4</v>
      </c>
      <c r="H12" s="143">
        <f t="shared" si="4"/>
        <v>923.2</v>
      </c>
      <c r="I12" s="145"/>
      <c r="J12" s="145"/>
      <c r="K12" s="145"/>
      <c r="L12" s="145"/>
      <c r="M12" s="145"/>
      <c r="N12" s="145"/>
    </row>
    <row r="13" spans="1:14" x14ac:dyDescent="0.3">
      <c r="A13" s="480" t="s">
        <v>4</v>
      </c>
      <c r="B13" s="105" t="s">
        <v>135</v>
      </c>
      <c r="C13" s="96">
        <v>26</v>
      </c>
      <c r="D13" s="98"/>
      <c r="E13" s="112">
        <f>E12*E5</f>
        <v>20.772000000000002</v>
      </c>
      <c r="F13" s="112">
        <f t="shared" ref="F13:H13" si="5">F12*F5</f>
        <v>80.78</v>
      </c>
      <c r="G13" s="112">
        <f t="shared" si="5"/>
        <v>184.64000000000001</v>
      </c>
      <c r="H13" s="144">
        <f t="shared" si="5"/>
        <v>184.64000000000001</v>
      </c>
      <c r="I13" s="145"/>
      <c r="J13" s="145"/>
      <c r="K13" s="145"/>
      <c r="L13" s="145"/>
      <c r="M13" s="145"/>
      <c r="N13" s="145"/>
    </row>
    <row r="14" spans="1:14" x14ac:dyDescent="0.3">
      <c r="A14" s="481"/>
      <c r="B14" s="105" t="s">
        <v>136</v>
      </c>
      <c r="C14" s="96">
        <v>2282</v>
      </c>
      <c r="D14" s="98"/>
      <c r="E14" s="112">
        <f>E12*E6</f>
        <v>2056.4280000000003</v>
      </c>
      <c r="F14" s="112">
        <f t="shared" ref="F14:H14" si="6">F12*F6</f>
        <v>1534.82</v>
      </c>
      <c r="G14" s="112">
        <f t="shared" si="6"/>
        <v>1661.7600000000002</v>
      </c>
      <c r="H14" s="144">
        <f t="shared" si="6"/>
        <v>738.56000000000006</v>
      </c>
      <c r="I14" s="145"/>
      <c r="J14" s="145"/>
      <c r="K14" s="145"/>
      <c r="L14" s="145"/>
      <c r="M14" s="145"/>
      <c r="N14" s="145"/>
    </row>
    <row r="15" spans="1:14" x14ac:dyDescent="0.3">
      <c r="A15" s="107"/>
      <c r="B15" s="105" t="s">
        <v>134</v>
      </c>
      <c r="C15" s="96"/>
      <c r="D15" s="98"/>
      <c r="E15" s="111">
        <f>SUM($C$8:$C$9)*(1+E7)</f>
        <v>2398.5</v>
      </c>
      <c r="F15" s="111">
        <f t="shared" ref="F15:H15" si="7">SUM($C$8:$C$9)*(1+F7)</f>
        <v>1865.4999999999998</v>
      </c>
      <c r="G15" s="111">
        <f t="shared" si="7"/>
        <v>2132</v>
      </c>
      <c r="H15" s="143">
        <f t="shared" si="7"/>
        <v>1066</v>
      </c>
      <c r="I15" s="145"/>
      <c r="J15" s="145"/>
      <c r="K15" s="145"/>
      <c r="L15" s="145"/>
      <c r="M15" s="145"/>
      <c r="N15" s="145"/>
    </row>
    <row r="16" spans="1:14" x14ac:dyDescent="0.3">
      <c r="A16" s="480" t="s">
        <v>7</v>
      </c>
      <c r="B16" s="105" t="s">
        <v>135</v>
      </c>
      <c r="C16" s="96">
        <v>230</v>
      </c>
      <c r="D16" s="98"/>
      <c r="E16" s="112">
        <f>E15*E8</f>
        <v>23.984999999999999</v>
      </c>
      <c r="F16" s="112">
        <f t="shared" ref="F16:H16" si="8">F15*F8</f>
        <v>93.274999999999991</v>
      </c>
      <c r="G16" s="112">
        <f t="shared" si="8"/>
        <v>213.20000000000002</v>
      </c>
      <c r="H16" s="144">
        <f t="shared" si="8"/>
        <v>213.20000000000002</v>
      </c>
      <c r="I16" s="145"/>
      <c r="J16" s="145"/>
      <c r="K16" s="145"/>
      <c r="L16" s="145"/>
      <c r="M16" s="145"/>
      <c r="N16" s="145"/>
    </row>
    <row r="17" spans="1:14" x14ac:dyDescent="0.3">
      <c r="A17" s="481"/>
      <c r="B17" s="105" t="s">
        <v>136</v>
      </c>
      <c r="C17" s="96">
        <v>2435</v>
      </c>
      <c r="D17" s="98"/>
      <c r="E17" s="112">
        <f>E15*E9</f>
        <v>2374.5149999999999</v>
      </c>
      <c r="F17" s="112">
        <f t="shared" ref="F17:H17" si="9">F15*F9</f>
        <v>1772.2249999999997</v>
      </c>
      <c r="G17" s="112">
        <f t="shared" si="9"/>
        <v>1918.8</v>
      </c>
      <c r="H17" s="144">
        <f t="shared" si="9"/>
        <v>852.80000000000007</v>
      </c>
      <c r="I17" s="145"/>
      <c r="J17" s="145"/>
      <c r="K17" s="145"/>
      <c r="L17" s="145"/>
      <c r="M17" s="145"/>
      <c r="N17" s="145"/>
    </row>
  </sheetData>
  <mergeCells count="13">
    <mergeCell ref="I1:J1"/>
    <mergeCell ref="K1:L1"/>
    <mergeCell ref="M1:N1"/>
    <mergeCell ref="E2:F2"/>
    <mergeCell ref="G2:H2"/>
    <mergeCell ref="I2:J2"/>
    <mergeCell ref="K2:L2"/>
    <mergeCell ref="M2:N2"/>
    <mergeCell ref="A13:A14"/>
    <mergeCell ref="A16:A17"/>
    <mergeCell ref="A5:A6"/>
    <mergeCell ref="A8:A9"/>
    <mergeCell ref="G1:H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2:AC165"/>
  <sheetViews>
    <sheetView showGridLines="0" zoomScale="70" zoomScaleNormal="70" workbookViewId="0">
      <selection activeCell="Q35" sqref="Q35"/>
    </sheetView>
  </sheetViews>
  <sheetFormatPr baseColWidth="10" defaultRowHeight="14.4" x14ac:dyDescent="0.3"/>
  <cols>
    <col min="2" max="2" width="14.21875" customWidth="1"/>
    <col min="3" max="3" width="36" customWidth="1"/>
    <col min="4" max="4" width="12.21875" bestFit="1" customWidth="1"/>
    <col min="6" max="6" width="10.77734375" customWidth="1"/>
    <col min="9" max="9" width="12.77734375" customWidth="1"/>
    <col min="12" max="12" width="26.21875" customWidth="1"/>
    <col min="16" max="16" width="10.77734375" style="64"/>
    <col min="18" max="18" width="10.77734375" style="64"/>
    <col min="20" max="20" width="10.77734375" style="64"/>
  </cols>
  <sheetData>
    <row r="2" spans="3:15" x14ac:dyDescent="0.3">
      <c r="C2" s="25" t="s">
        <v>19</v>
      </c>
      <c r="D2" s="26">
        <v>2017</v>
      </c>
      <c r="E2" s="27"/>
    </row>
    <row r="3" spans="3:15" x14ac:dyDescent="0.3">
      <c r="C3" s="53" t="s">
        <v>21</v>
      </c>
      <c r="D3" s="52">
        <v>65.018000000000001</v>
      </c>
      <c r="E3" s="54" t="s">
        <v>13</v>
      </c>
    </row>
    <row r="4" spans="3:15" x14ac:dyDescent="0.3">
      <c r="C4" s="28" t="s">
        <v>73</v>
      </c>
      <c r="D4" s="56">
        <v>2291.6999999999998</v>
      </c>
      <c r="E4" s="29" t="s">
        <v>76</v>
      </c>
    </row>
    <row r="5" spans="3:15" x14ac:dyDescent="0.3">
      <c r="C5" s="52"/>
      <c r="D5" s="52"/>
      <c r="E5" s="52"/>
    </row>
    <row r="6" spans="3:15" x14ac:dyDescent="0.3">
      <c r="G6" t="s">
        <v>101</v>
      </c>
    </row>
    <row r="7" spans="3:15" x14ac:dyDescent="0.3">
      <c r="C7" s="24" t="s">
        <v>100</v>
      </c>
      <c r="D7" s="21"/>
      <c r="E7" s="22"/>
      <c r="G7" t="s">
        <v>84</v>
      </c>
      <c r="H7" s="71">
        <f>D21+D71</f>
        <v>35927</v>
      </c>
      <c r="I7" t="s">
        <v>12</v>
      </c>
    </row>
    <row r="8" spans="3:15" x14ac:dyDescent="0.3">
      <c r="C8" s="18" t="s">
        <v>14</v>
      </c>
      <c r="D8" s="20">
        <f>I43/D3</f>
        <v>252.23784182841675</v>
      </c>
      <c r="E8" s="19" t="s">
        <v>20</v>
      </c>
      <c r="G8" t="s">
        <v>85</v>
      </c>
      <c r="H8" s="63">
        <f>D19</f>
        <v>1007</v>
      </c>
      <c r="I8" t="s">
        <v>12</v>
      </c>
    </row>
    <row r="9" spans="3:15" x14ac:dyDescent="0.3">
      <c r="C9" s="18" t="s">
        <v>15</v>
      </c>
      <c r="D9" s="20">
        <f>J43/D3</f>
        <v>80.823771878556713</v>
      </c>
      <c r="E9" s="19" t="s">
        <v>20</v>
      </c>
    </row>
    <row r="10" spans="3:15" x14ac:dyDescent="0.3">
      <c r="C10" s="18" t="s">
        <v>16</v>
      </c>
      <c r="D10" s="23">
        <f>D21/D3</f>
        <v>333.06161370697345</v>
      </c>
      <c r="E10" s="19" t="s">
        <v>20</v>
      </c>
      <c r="G10" t="s">
        <v>99</v>
      </c>
      <c r="K10" t="s">
        <v>102</v>
      </c>
    </row>
    <row r="11" spans="3:15" x14ac:dyDescent="0.3">
      <c r="C11" s="18" t="s">
        <v>17</v>
      </c>
      <c r="D11" s="20">
        <f>D71/D3</f>
        <v>219.50844381555876</v>
      </c>
      <c r="E11" s="19" t="s">
        <v>20</v>
      </c>
      <c r="G11" t="s">
        <v>87</v>
      </c>
      <c r="H11" s="72">
        <v>31700</v>
      </c>
      <c r="I11" t="s">
        <v>12</v>
      </c>
      <c r="K11" s="64">
        <f>H11*K15/H15</f>
        <v>1023.3720809085077</v>
      </c>
    </row>
    <row r="12" spans="3:15" x14ac:dyDescent="0.3">
      <c r="C12" s="18" t="s">
        <v>18</v>
      </c>
      <c r="D12" s="20">
        <f>D10+D11</f>
        <v>552.57005752253224</v>
      </c>
      <c r="E12" s="19" t="s">
        <v>20</v>
      </c>
      <c r="G12" t="s">
        <v>88</v>
      </c>
      <c r="H12" s="72">
        <v>7200</v>
      </c>
      <c r="I12" t="s">
        <v>12</v>
      </c>
      <c r="K12" s="55">
        <f>H12*K15/H15</f>
        <v>232.43782279309954</v>
      </c>
    </row>
    <row r="13" spans="3:15" x14ac:dyDescent="0.3">
      <c r="D13" s="55"/>
      <c r="G13" t="s">
        <v>85</v>
      </c>
      <c r="H13" s="63">
        <f>D19</f>
        <v>1007</v>
      </c>
      <c r="I13" t="s">
        <v>12</v>
      </c>
      <c r="O13" s="63"/>
    </row>
    <row r="14" spans="3:15" x14ac:dyDescent="0.3">
      <c r="C14" s="24" t="s">
        <v>74</v>
      </c>
      <c r="D14" s="21"/>
      <c r="E14" s="22"/>
      <c r="G14" t="s">
        <v>98</v>
      </c>
      <c r="H14" s="10">
        <v>580</v>
      </c>
      <c r="I14" t="s">
        <v>20</v>
      </c>
    </row>
    <row r="15" spans="3:15" x14ac:dyDescent="0.3">
      <c r="C15" s="18" t="s">
        <v>77</v>
      </c>
      <c r="D15" s="20">
        <f>I50/D11</f>
        <v>0</v>
      </c>
      <c r="E15" s="19" t="s">
        <v>78</v>
      </c>
      <c r="G15" t="s">
        <v>103</v>
      </c>
      <c r="H15">
        <v>67.186999999999998</v>
      </c>
      <c r="I15" t="s">
        <v>104</v>
      </c>
      <c r="K15">
        <f>H15-D3</f>
        <v>2.1689999999999969</v>
      </c>
      <c r="L15" t="s">
        <v>13</v>
      </c>
    </row>
    <row r="16" spans="3:15" x14ac:dyDescent="0.3">
      <c r="C16" s="18" t="s">
        <v>75</v>
      </c>
      <c r="D16" s="20">
        <f>J50/D11</f>
        <v>0</v>
      </c>
      <c r="E16" s="19" t="s">
        <v>78</v>
      </c>
    </row>
    <row r="17" spans="1:29" x14ac:dyDescent="0.3">
      <c r="D17" s="55"/>
      <c r="H17" s="63"/>
    </row>
    <row r="18" spans="1:29" x14ac:dyDescent="0.3">
      <c r="D18" s="55"/>
    </row>
    <row r="19" spans="1:29" x14ac:dyDescent="0.3">
      <c r="A19" s="43" t="s">
        <v>52</v>
      </c>
      <c r="C19" t="s">
        <v>95</v>
      </c>
      <c r="D19" s="62">
        <v>1007</v>
      </c>
      <c r="E19" t="s">
        <v>12</v>
      </c>
    </row>
    <row r="21" spans="1:29" x14ac:dyDescent="0.3">
      <c r="C21" s="43" t="s">
        <v>22</v>
      </c>
      <c r="D21" s="44">
        <f>SUM(I43:J43)</f>
        <v>21655</v>
      </c>
      <c r="E21" s="43" t="s">
        <v>12</v>
      </c>
      <c r="L21" t="s">
        <v>27</v>
      </c>
      <c r="O21" t="s">
        <v>97</v>
      </c>
    </row>
    <row r="22" spans="1:29" x14ac:dyDescent="0.3">
      <c r="AA22" t="s">
        <v>67</v>
      </c>
      <c r="AC22" t="s">
        <v>72</v>
      </c>
    </row>
    <row r="23" spans="1:29" x14ac:dyDescent="0.3">
      <c r="I23" s="15" t="s">
        <v>10</v>
      </c>
      <c r="J23" s="17" t="s">
        <v>11</v>
      </c>
      <c r="P23"/>
      <c r="R23" s="75" t="s">
        <v>108</v>
      </c>
      <c r="S23" s="76"/>
      <c r="T23" s="77"/>
      <c r="Z23" t="s">
        <v>68</v>
      </c>
      <c r="AA23" t="s">
        <v>70</v>
      </c>
      <c r="AB23" t="s">
        <v>71</v>
      </c>
    </row>
    <row r="24" spans="1:29" ht="43.2" x14ac:dyDescent="0.3">
      <c r="I24" s="16"/>
      <c r="J24" s="16"/>
      <c r="L24" s="18"/>
      <c r="M24" s="18"/>
      <c r="N24" s="65" t="s">
        <v>116</v>
      </c>
      <c r="O24" s="18" t="s">
        <v>106</v>
      </c>
      <c r="P24" s="18" t="s">
        <v>107</v>
      </c>
      <c r="Q24" s="18" t="s">
        <v>23</v>
      </c>
      <c r="R24" s="18" t="s">
        <v>106</v>
      </c>
      <c r="S24" s="18" t="s">
        <v>107</v>
      </c>
      <c r="T24" s="18" t="s">
        <v>111</v>
      </c>
      <c r="U24" s="18" t="s">
        <v>25</v>
      </c>
      <c r="V24" s="18" t="s">
        <v>28</v>
      </c>
      <c r="W24" s="65" t="s">
        <v>112</v>
      </c>
      <c r="X24" s="18" t="s">
        <v>119</v>
      </c>
      <c r="Z24" t="s">
        <v>69</v>
      </c>
      <c r="AA24" t="s">
        <v>70</v>
      </c>
    </row>
    <row r="25" spans="1:29" x14ac:dyDescent="0.3">
      <c r="C25" s="490" t="s">
        <v>0</v>
      </c>
      <c r="D25" s="491">
        <f>E25/$D$21</f>
        <v>0.25315169706765184</v>
      </c>
      <c r="E25" s="492">
        <f>I26+J25</f>
        <v>5482</v>
      </c>
      <c r="F25" s="493"/>
      <c r="G25" s="1" t="s">
        <v>135</v>
      </c>
      <c r="H25" s="2">
        <f>J25/E25</f>
        <v>2.0065669463699379E-2</v>
      </c>
      <c r="I25" s="3"/>
      <c r="J25" s="4">
        <v>110</v>
      </c>
      <c r="L25" s="18"/>
      <c r="M25" s="18"/>
      <c r="N25" s="18"/>
      <c r="O25" s="18"/>
      <c r="P25" s="18"/>
      <c r="Q25" s="18"/>
      <c r="R25" s="18"/>
      <c r="S25" s="18"/>
      <c r="T25" s="18"/>
      <c r="U25" s="18"/>
      <c r="V25" s="18"/>
      <c r="W25" s="18"/>
      <c r="X25" s="18"/>
    </row>
    <row r="26" spans="1:29" x14ac:dyDescent="0.3">
      <c r="C26" s="490"/>
      <c r="D26" s="491"/>
      <c r="E26" s="492"/>
      <c r="F26" s="494"/>
      <c r="G26" s="5" t="s">
        <v>136</v>
      </c>
      <c r="H26" s="6"/>
      <c r="I26" s="7">
        <v>5372</v>
      </c>
      <c r="J26" s="8"/>
      <c r="L26" s="78" t="s">
        <v>114</v>
      </c>
      <c r="M26" s="18"/>
      <c r="N26" s="66">
        <f>(77%*$J$43)-S26</f>
        <v>3395.35</v>
      </c>
      <c r="O26" s="79">
        <f>(17%*$J$43)-P26</f>
        <v>767.35</v>
      </c>
      <c r="P26" s="80">
        <v>126</v>
      </c>
      <c r="Q26" s="66">
        <f>($I$43*62%)</f>
        <v>10168</v>
      </c>
      <c r="R26" s="66">
        <v>1037</v>
      </c>
      <c r="S26" s="66">
        <v>651</v>
      </c>
      <c r="T26" s="66">
        <v>547</v>
      </c>
      <c r="U26" s="66">
        <f>($I$43*29%)</f>
        <v>4756</v>
      </c>
      <c r="V26" s="66"/>
      <c r="W26" s="66"/>
      <c r="X26" s="67">
        <f>SUM(N26:W26)</f>
        <v>21447.7</v>
      </c>
    </row>
    <row r="27" spans="1:29" x14ac:dyDescent="0.3">
      <c r="C27" s="490" t="s">
        <v>1</v>
      </c>
      <c r="D27" s="491">
        <f>E27/$D$21</f>
        <v>0.13405679981528515</v>
      </c>
      <c r="E27" s="492">
        <f t="shared" ref="E27" si="0">I28+J27</f>
        <v>2903</v>
      </c>
      <c r="F27" s="493"/>
      <c r="G27" s="1" t="s">
        <v>135</v>
      </c>
      <c r="H27" s="2">
        <f>J27/E27</f>
        <v>0.16982431966930761</v>
      </c>
      <c r="I27" s="3"/>
      <c r="J27" s="4">
        <v>493</v>
      </c>
      <c r="L27" s="78" t="s">
        <v>113</v>
      </c>
      <c r="M27" s="18"/>
      <c r="N27" s="66"/>
      <c r="O27" s="66"/>
      <c r="P27" s="66"/>
      <c r="Q27" s="66"/>
      <c r="R27" s="66"/>
      <c r="S27" s="66"/>
      <c r="T27" s="66"/>
      <c r="U27" s="66"/>
      <c r="V27" s="66"/>
      <c r="W27" s="66"/>
      <c r="X27" s="67"/>
    </row>
    <row r="28" spans="1:29" x14ac:dyDescent="0.3">
      <c r="C28" s="490"/>
      <c r="D28" s="491"/>
      <c r="E28" s="492"/>
      <c r="F28" s="494"/>
      <c r="G28" s="5" t="s">
        <v>136</v>
      </c>
      <c r="H28" s="6"/>
      <c r="I28" s="7">
        <v>2410</v>
      </c>
      <c r="J28" s="8"/>
      <c r="L28" t="s">
        <v>120</v>
      </c>
      <c r="M28" s="18"/>
      <c r="N28" s="66"/>
      <c r="O28" s="66"/>
      <c r="P28" s="66"/>
      <c r="Q28" s="66">
        <v>573</v>
      </c>
      <c r="R28" s="66"/>
      <c r="S28" s="66"/>
      <c r="T28" s="66"/>
      <c r="U28" s="66">
        <f>627</f>
        <v>627</v>
      </c>
      <c r="V28" s="66"/>
      <c r="W28" s="66"/>
      <c r="X28" s="67">
        <f>SUM(N28:W28)</f>
        <v>1200</v>
      </c>
    </row>
    <row r="29" spans="1:29" x14ac:dyDescent="0.3">
      <c r="C29" s="490" t="s">
        <v>2</v>
      </c>
      <c r="D29" s="491">
        <f>E29/$D$21</f>
        <v>0.13350265527591781</v>
      </c>
      <c r="E29" s="492">
        <f t="shared" ref="E29" si="1">I30+J29</f>
        <v>2891</v>
      </c>
      <c r="F29" s="493"/>
      <c r="G29" s="1" t="s">
        <v>135</v>
      </c>
      <c r="H29" s="2">
        <f>J29/E29</f>
        <v>0.51227948806641299</v>
      </c>
      <c r="I29" s="3"/>
      <c r="J29" s="4">
        <v>1481</v>
      </c>
      <c r="L29" s="18" t="s">
        <v>109</v>
      </c>
      <c r="M29" s="18"/>
      <c r="N29" s="66"/>
      <c r="O29" s="66"/>
      <c r="P29" s="66"/>
      <c r="Q29" s="66">
        <f>(N26*9%)-N37</f>
        <v>55.581500000000005</v>
      </c>
      <c r="R29" s="66"/>
      <c r="S29" s="66"/>
      <c r="T29" s="66"/>
      <c r="U29" s="66">
        <f>SUM(N26:N30)*18.5%</f>
        <v>628.13974999999994</v>
      </c>
      <c r="V29" s="66"/>
      <c r="W29" s="66"/>
      <c r="X29" s="67"/>
    </row>
    <row r="30" spans="1:29" x14ac:dyDescent="0.3">
      <c r="C30" s="490"/>
      <c r="D30" s="491"/>
      <c r="E30" s="492"/>
      <c r="F30" s="494"/>
      <c r="G30" s="5" t="s">
        <v>136</v>
      </c>
      <c r="H30" s="6"/>
      <c r="I30" s="7">
        <v>1410</v>
      </c>
      <c r="J30" s="8"/>
      <c r="L30" s="18" t="s">
        <v>110</v>
      </c>
      <c r="M30" s="18"/>
      <c r="N30" s="66"/>
      <c r="O30" s="66"/>
      <c r="P30" s="66"/>
      <c r="Q30" s="66">
        <f>O26*4%</f>
        <v>30.694000000000003</v>
      </c>
      <c r="R30" s="66"/>
      <c r="S30" s="66"/>
      <c r="T30" s="66"/>
      <c r="U30" s="66">
        <f>(SUM(O26:O30)*4.5%)+26</f>
        <v>60.530749999999998</v>
      </c>
      <c r="V30" s="66"/>
      <c r="W30" s="66"/>
      <c r="X30" s="67">
        <f>SUM(N30:W30)</f>
        <v>91.22475</v>
      </c>
    </row>
    <row r="31" spans="1:29" x14ac:dyDescent="0.3">
      <c r="C31" s="490" t="s">
        <v>3</v>
      </c>
      <c r="D31" s="491">
        <f>E31/$D$21</f>
        <v>0.13031632417455552</v>
      </c>
      <c r="E31" s="492">
        <f t="shared" ref="E31" si="2">I32+J31</f>
        <v>2822</v>
      </c>
      <c r="F31" s="493"/>
      <c r="G31" s="1" t="s">
        <v>135</v>
      </c>
      <c r="H31" s="2">
        <f>J31/E31</f>
        <v>0.68922749822820695</v>
      </c>
      <c r="I31" s="3"/>
      <c r="J31" s="4">
        <v>1945</v>
      </c>
      <c r="L31" s="18" t="s">
        <v>123</v>
      </c>
      <c r="M31" s="18"/>
      <c r="N31" s="66"/>
      <c r="O31" s="66"/>
      <c r="P31" s="66"/>
      <c r="Q31" s="66"/>
      <c r="R31" s="66"/>
      <c r="S31" s="66"/>
      <c r="T31" s="66"/>
      <c r="U31" s="66">
        <f>SUM(Q26:Q30)*0.76%</f>
        <v>82.2872938</v>
      </c>
      <c r="V31" s="66"/>
      <c r="W31" s="66"/>
      <c r="X31" s="67"/>
    </row>
    <row r="32" spans="1:29" x14ac:dyDescent="0.3">
      <c r="C32" s="490"/>
      <c r="D32" s="491"/>
      <c r="E32" s="492"/>
      <c r="F32" s="494"/>
      <c r="G32" s="5" t="s">
        <v>136</v>
      </c>
      <c r="H32" s="6"/>
      <c r="I32" s="7">
        <v>877</v>
      </c>
      <c r="J32" s="8"/>
      <c r="L32" s="78" t="s">
        <v>117</v>
      </c>
      <c r="M32" s="18"/>
      <c r="N32" s="66"/>
      <c r="O32" s="66"/>
      <c r="P32" s="66"/>
      <c r="Q32" s="66"/>
      <c r="R32" s="66"/>
      <c r="S32" s="66"/>
      <c r="T32" s="66"/>
      <c r="U32" s="66"/>
      <c r="V32" s="66"/>
      <c r="W32" s="66"/>
      <c r="X32" s="67">
        <f t="shared" ref="X32:X37" si="3">SUM(N32:W32)</f>
        <v>0</v>
      </c>
    </row>
    <row r="33" spans="3:24" x14ac:dyDescent="0.3">
      <c r="C33" s="490" t="s">
        <v>4</v>
      </c>
      <c r="D33" s="491">
        <f>E33/$D$21</f>
        <v>0.10658046640498731</v>
      </c>
      <c r="E33" s="492">
        <f t="shared" ref="E33" si="4">I34+J33</f>
        <v>2308</v>
      </c>
      <c r="F33" s="493"/>
      <c r="G33" s="1" t="s">
        <v>135</v>
      </c>
      <c r="H33" s="2">
        <f>J33/E33</f>
        <v>1.1265164644714038E-2</v>
      </c>
      <c r="I33" s="3"/>
      <c r="J33" s="4">
        <v>26</v>
      </c>
      <c r="L33" s="81" t="s">
        <v>115</v>
      </c>
      <c r="M33" s="81"/>
      <c r="N33" s="82">
        <f>SUM(N26:N30)*60%</f>
        <v>2037.2099999999998</v>
      </c>
      <c r="O33" s="82"/>
      <c r="P33" s="82"/>
      <c r="Q33" s="82">
        <f>SUM(Q26:Q32)*20.6%</f>
        <v>2230.4187529999999</v>
      </c>
      <c r="R33" s="82"/>
      <c r="S33" s="82"/>
      <c r="T33" s="82">
        <v>46</v>
      </c>
      <c r="U33" s="82"/>
      <c r="V33" s="82"/>
      <c r="W33" s="82"/>
      <c r="X33" s="83">
        <f t="shared" si="3"/>
        <v>4313.628753</v>
      </c>
    </row>
    <row r="34" spans="3:24" x14ac:dyDescent="0.3">
      <c r="C34" s="490"/>
      <c r="D34" s="491"/>
      <c r="E34" s="492"/>
      <c r="F34" s="494"/>
      <c r="G34" s="5" t="s">
        <v>136</v>
      </c>
      <c r="H34" s="6"/>
      <c r="I34" s="7">
        <v>2282</v>
      </c>
      <c r="J34" s="8"/>
      <c r="L34" s="81" t="s">
        <v>24</v>
      </c>
      <c r="M34" s="81"/>
      <c r="N34" s="82"/>
      <c r="O34" s="82">
        <f>SUM(O26:O30)*34%</f>
        <v>260.899</v>
      </c>
      <c r="P34" s="82">
        <f>SUM(P26:P30)*21.5%</f>
        <v>27.09</v>
      </c>
      <c r="Q34" s="82"/>
      <c r="R34" s="495">
        <v>380</v>
      </c>
      <c r="S34" s="496"/>
      <c r="T34" s="82"/>
      <c r="U34" s="82"/>
      <c r="V34" s="82"/>
      <c r="W34" s="82"/>
      <c r="X34" s="83">
        <f t="shared" si="3"/>
        <v>667.98900000000003</v>
      </c>
    </row>
    <row r="35" spans="3:24" x14ac:dyDescent="0.3">
      <c r="C35" s="490" t="s">
        <v>5</v>
      </c>
      <c r="D35" s="491">
        <f>E35/$D$21</f>
        <v>8.5938582313553447E-2</v>
      </c>
      <c r="E35" s="492">
        <f t="shared" ref="E35" si="5">I36+J35</f>
        <v>1861</v>
      </c>
      <c r="F35" s="493"/>
      <c r="G35" s="1" t="s">
        <v>135</v>
      </c>
      <c r="H35" s="2">
        <f>J35/E35</f>
        <v>0.43578721117678665</v>
      </c>
      <c r="I35" s="3"/>
      <c r="J35" s="4">
        <v>811</v>
      </c>
      <c r="L35" s="81" t="s">
        <v>30</v>
      </c>
      <c r="M35" s="81"/>
      <c r="N35" s="82"/>
      <c r="O35" s="82"/>
      <c r="P35" s="82"/>
      <c r="Q35" s="82">
        <f>SUM(Q26:Q30)</f>
        <v>10827.2755</v>
      </c>
      <c r="R35" s="82"/>
      <c r="S35" s="82"/>
      <c r="T35" s="82"/>
      <c r="U35" s="82"/>
      <c r="V35" s="82"/>
      <c r="W35" s="82"/>
      <c r="X35" s="83">
        <f t="shared" si="3"/>
        <v>10827.2755</v>
      </c>
    </row>
    <row r="36" spans="3:24" x14ac:dyDescent="0.3">
      <c r="C36" s="490"/>
      <c r="D36" s="491"/>
      <c r="E36" s="492"/>
      <c r="F36" s="494"/>
      <c r="G36" s="5" t="s">
        <v>136</v>
      </c>
      <c r="H36" s="6"/>
      <c r="I36" s="7">
        <v>1050</v>
      </c>
      <c r="J36" s="8"/>
      <c r="L36" s="81" t="s">
        <v>50</v>
      </c>
      <c r="M36" s="81"/>
      <c r="N36" s="84"/>
      <c r="O36" s="82"/>
      <c r="P36" s="82"/>
      <c r="Q36" s="82"/>
      <c r="R36" s="85"/>
      <c r="S36" s="85"/>
      <c r="T36" s="85"/>
      <c r="U36" s="82">
        <f>SUM(U26:U30)</f>
        <v>6071.6705000000002</v>
      </c>
      <c r="V36" s="82"/>
      <c r="W36" s="82"/>
      <c r="X36" s="83">
        <f t="shared" si="3"/>
        <v>6071.6705000000002</v>
      </c>
    </row>
    <row r="37" spans="3:24" x14ac:dyDescent="0.3">
      <c r="C37" s="490" t="s">
        <v>6</v>
      </c>
      <c r="D37" s="491">
        <f>E37/$D$21</f>
        <v>3.3387208496882939E-2</v>
      </c>
      <c r="E37" s="492">
        <f t="shared" ref="E37" si="6">I38+J37</f>
        <v>723</v>
      </c>
      <c r="F37" s="493"/>
      <c r="G37" s="1" t="s">
        <v>135</v>
      </c>
      <c r="H37" s="2">
        <f>J37/E37</f>
        <v>0.21991701244813278</v>
      </c>
      <c r="I37" s="3"/>
      <c r="J37" s="4">
        <v>159</v>
      </c>
      <c r="L37" s="81" t="s">
        <v>118</v>
      </c>
      <c r="M37" s="81"/>
      <c r="N37" s="82">
        <v>250</v>
      </c>
      <c r="O37" s="82"/>
      <c r="P37" s="82"/>
      <c r="Q37" s="82"/>
      <c r="R37" s="82"/>
      <c r="S37" s="82"/>
      <c r="T37" s="82"/>
      <c r="U37" s="82"/>
      <c r="V37" s="82"/>
      <c r="W37" s="82"/>
      <c r="X37" s="83">
        <f t="shared" si="3"/>
        <v>250</v>
      </c>
    </row>
    <row r="38" spans="3:24" x14ac:dyDescent="0.3">
      <c r="C38" s="490"/>
      <c r="D38" s="491"/>
      <c r="E38" s="492"/>
      <c r="F38" s="494"/>
      <c r="G38" s="5" t="s">
        <v>136</v>
      </c>
      <c r="H38" s="6"/>
      <c r="I38" s="7">
        <v>564</v>
      </c>
      <c r="J38" s="8"/>
      <c r="P38" s="58"/>
    </row>
    <row r="39" spans="3:24" x14ac:dyDescent="0.3">
      <c r="C39" s="490" t="s">
        <v>7</v>
      </c>
      <c r="D39" s="491">
        <f>E39/$D$21</f>
        <v>0.12306626645116601</v>
      </c>
      <c r="E39" s="492">
        <f t="shared" ref="E39" si="7">I40+J39</f>
        <v>2665</v>
      </c>
      <c r="F39" s="493"/>
      <c r="G39" s="1" t="s">
        <v>135</v>
      </c>
      <c r="H39" s="2">
        <f>J39/E39</f>
        <v>8.6303939962476553E-2</v>
      </c>
      <c r="I39" s="3"/>
      <c r="J39" s="4">
        <v>230</v>
      </c>
      <c r="L39" t="s">
        <v>45</v>
      </c>
    </row>
    <row r="40" spans="3:24" x14ac:dyDescent="0.3">
      <c r="C40" s="490"/>
      <c r="D40" s="491"/>
      <c r="E40" s="492"/>
      <c r="F40" s="494"/>
      <c r="G40" s="5" t="s">
        <v>136</v>
      </c>
      <c r="H40" s="6"/>
      <c r="I40" s="7">
        <v>2435</v>
      </c>
      <c r="J40" s="8"/>
      <c r="N40" t="s">
        <v>46</v>
      </c>
      <c r="O40" t="s">
        <v>47</v>
      </c>
      <c r="P40" s="64" t="s">
        <v>48</v>
      </c>
      <c r="Q40" t="s">
        <v>49</v>
      </c>
    </row>
    <row r="41" spans="3:24" x14ac:dyDescent="0.3">
      <c r="C41" t="s">
        <v>8</v>
      </c>
      <c r="D41" s="9"/>
      <c r="E41" s="10"/>
      <c r="F41" s="10"/>
      <c r="H41" s="9"/>
      <c r="I41" s="10"/>
      <c r="J41" s="10"/>
      <c r="M41" t="s">
        <v>23</v>
      </c>
    </row>
    <row r="42" spans="3:24" x14ac:dyDescent="0.3">
      <c r="C42" t="s">
        <v>9</v>
      </c>
      <c r="D42" s="9"/>
      <c r="E42" s="10"/>
      <c r="F42" s="10"/>
      <c r="H42" s="9"/>
      <c r="I42" s="10"/>
      <c r="J42" s="10"/>
      <c r="M42" t="s">
        <v>26</v>
      </c>
    </row>
    <row r="43" spans="3:24" x14ac:dyDescent="0.3">
      <c r="D43" s="9"/>
      <c r="E43" s="11"/>
      <c r="F43" s="11"/>
      <c r="H43" s="9"/>
      <c r="I43" s="12">
        <f>SUM(I25:I40)</f>
        <v>16400</v>
      </c>
      <c r="J43" s="13">
        <f>SUM(J25:J40)</f>
        <v>5255</v>
      </c>
      <c r="M43" t="s">
        <v>50</v>
      </c>
    </row>
    <row r="44" spans="3:24" x14ac:dyDescent="0.3">
      <c r="D44" s="9"/>
      <c r="E44" s="10"/>
      <c r="F44" s="10"/>
      <c r="H44" s="9"/>
      <c r="I44" s="14">
        <f>I43/$D$21</f>
        <v>0.75733087046871395</v>
      </c>
      <c r="J44" s="14">
        <f>J43/$D$21</f>
        <v>0.24266912953128608</v>
      </c>
    </row>
    <row r="46" spans="3:24" x14ac:dyDescent="0.3">
      <c r="C46" s="34" t="s">
        <v>34</v>
      </c>
      <c r="D46" s="34"/>
    </row>
    <row r="48" spans="3:24" x14ac:dyDescent="0.3">
      <c r="C48" s="30" t="s">
        <v>24</v>
      </c>
      <c r="D48" s="31">
        <v>6206</v>
      </c>
      <c r="E48" s="42">
        <f>D48/$I$43</f>
        <v>0.37841463414634147</v>
      </c>
    </row>
    <row r="49" spans="3:8" x14ac:dyDescent="0.3">
      <c r="C49" s="497" t="s">
        <v>29</v>
      </c>
      <c r="D49" s="498">
        <f>SUM(G49:G50)</f>
        <v>6545</v>
      </c>
      <c r="E49" s="499">
        <f t="shared" ref="E49:E52" si="8">D49/$I$43</f>
        <v>0.39908536585365856</v>
      </c>
      <c r="F49" s="45" t="s">
        <v>32</v>
      </c>
      <c r="G49" s="31">
        <v>5690</v>
      </c>
      <c r="H49" s="42">
        <f>G49/$I$43</f>
        <v>0.3469512195121951</v>
      </c>
    </row>
    <row r="50" spans="3:8" x14ac:dyDescent="0.3">
      <c r="C50" s="497"/>
      <c r="D50" s="498"/>
      <c r="E50" s="499">
        <f t="shared" si="8"/>
        <v>0</v>
      </c>
      <c r="F50" s="45" t="s">
        <v>33</v>
      </c>
      <c r="G50" s="31">
        <v>855</v>
      </c>
      <c r="H50" s="42">
        <f>G50/$I$43</f>
        <v>5.2134146341463412E-2</v>
      </c>
    </row>
    <row r="51" spans="3:8" x14ac:dyDescent="0.3">
      <c r="C51" s="30" t="s">
        <v>30</v>
      </c>
      <c r="D51" s="41">
        <v>2460</v>
      </c>
      <c r="E51" s="32">
        <f t="shared" si="8"/>
        <v>0.15</v>
      </c>
    </row>
    <row r="52" spans="3:8" x14ac:dyDescent="0.3">
      <c r="C52" s="30" t="s">
        <v>31</v>
      </c>
      <c r="D52" s="41">
        <v>1190</v>
      </c>
      <c r="E52" s="32">
        <f t="shared" si="8"/>
        <v>7.2560975609756093E-2</v>
      </c>
    </row>
    <row r="55" spans="3:8" x14ac:dyDescent="0.3">
      <c r="C55" s="33" t="s">
        <v>35</v>
      </c>
      <c r="D55" s="33"/>
    </row>
    <row r="56" spans="3:8" x14ac:dyDescent="0.3">
      <c r="C56" s="33" t="s">
        <v>36</v>
      </c>
      <c r="D56" s="40">
        <f>SUM(D58:D65)</f>
        <v>18775</v>
      </c>
    </row>
    <row r="58" spans="3:8" x14ac:dyDescent="0.3">
      <c r="C58" s="39" t="s">
        <v>38</v>
      </c>
      <c r="D58" s="35">
        <v>6552</v>
      </c>
      <c r="E58" s="36">
        <f>D58/$D$56</f>
        <v>0.34897470039946737</v>
      </c>
    </row>
    <row r="59" spans="3:8" x14ac:dyDescent="0.3">
      <c r="C59" s="39" t="s">
        <v>39</v>
      </c>
      <c r="D59" s="35">
        <v>6334</v>
      </c>
      <c r="E59" s="36">
        <f t="shared" ref="E59:E65" si="9">D59/$D$56</f>
        <v>0.33736351531291608</v>
      </c>
    </row>
    <row r="60" spans="3:8" x14ac:dyDescent="0.3">
      <c r="C60" s="39" t="s">
        <v>40</v>
      </c>
      <c r="D60" s="35">
        <v>2742</v>
      </c>
      <c r="E60" s="36">
        <f t="shared" si="9"/>
        <v>0.14604527296937417</v>
      </c>
    </row>
    <row r="61" spans="3:8" x14ac:dyDescent="0.3">
      <c r="C61" s="39" t="s">
        <v>41</v>
      </c>
      <c r="D61" s="37">
        <v>1128</v>
      </c>
      <c r="E61" s="38">
        <f t="shared" si="9"/>
        <v>6.0079893475366179E-2</v>
      </c>
    </row>
    <row r="62" spans="3:8" x14ac:dyDescent="0.3">
      <c r="C62" s="39" t="s">
        <v>37</v>
      </c>
      <c r="D62" s="37">
        <v>511</v>
      </c>
      <c r="E62" s="38">
        <f t="shared" si="9"/>
        <v>2.7217043941411452E-2</v>
      </c>
    </row>
    <row r="63" spans="3:8" x14ac:dyDescent="0.3">
      <c r="C63" s="39" t="s">
        <v>42</v>
      </c>
      <c r="D63" s="37">
        <v>694</v>
      </c>
      <c r="E63" s="38">
        <f t="shared" si="9"/>
        <v>3.6964047936085223E-2</v>
      </c>
    </row>
    <row r="64" spans="3:8" x14ac:dyDescent="0.3">
      <c r="C64" s="39" t="s">
        <v>43</v>
      </c>
      <c r="D64" s="37">
        <v>676</v>
      </c>
      <c r="E64" s="38">
        <f t="shared" si="9"/>
        <v>3.600532623169108E-2</v>
      </c>
    </row>
    <row r="65" spans="1:24" x14ac:dyDescent="0.3">
      <c r="C65" s="39" t="s">
        <v>44</v>
      </c>
      <c r="D65" s="37">
        <v>138</v>
      </c>
      <c r="E65" s="38">
        <f t="shared" si="9"/>
        <v>7.3501997336884155E-3</v>
      </c>
    </row>
    <row r="71" spans="1:24" x14ac:dyDescent="0.3">
      <c r="A71" s="43" t="s">
        <v>53</v>
      </c>
      <c r="C71" s="43" t="s">
        <v>51</v>
      </c>
      <c r="D71" s="44">
        <f>SUM(E74:E84)</f>
        <v>14272</v>
      </c>
      <c r="E71" s="43" t="s">
        <v>12</v>
      </c>
    </row>
    <row r="74" spans="1:24" x14ac:dyDescent="0.3">
      <c r="C74" s="18" t="s">
        <v>54</v>
      </c>
      <c r="D74" s="47">
        <f>E74/$D$71</f>
        <v>0.29715526905829598</v>
      </c>
      <c r="E74" s="46">
        <v>4241</v>
      </c>
    </row>
    <row r="75" spans="1:24" x14ac:dyDescent="0.3">
      <c r="C75" s="18" t="s">
        <v>55</v>
      </c>
      <c r="D75" s="47">
        <f t="shared" ref="D75:D84" si="10">E75/$D$71</f>
        <v>0.22982062780269058</v>
      </c>
      <c r="E75" s="46">
        <v>3280</v>
      </c>
      <c r="L75" t="s">
        <v>65</v>
      </c>
      <c r="P75" t="s">
        <v>86</v>
      </c>
    </row>
    <row r="76" spans="1:24" x14ac:dyDescent="0.3">
      <c r="C76" s="18" t="s">
        <v>56</v>
      </c>
      <c r="D76" s="47">
        <f t="shared" si="10"/>
        <v>0.25441423766816146</v>
      </c>
      <c r="E76" s="46">
        <v>3631</v>
      </c>
    </row>
    <row r="77" spans="1:24" x14ac:dyDescent="0.3">
      <c r="C77" s="18" t="s">
        <v>57</v>
      </c>
      <c r="D77" s="48">
        <f t="shared" si="10"/>
        <v>8.387051569506726E-2</v>
      </c>
      <c r="E77" s="49">
        <v>1197</v>
      </c>
      <c r="P77"/>
      <c r="R77" s="75" t="s">
        <v>108</v>
      </c>
      <c r="S77" s="76"/>
      <c r="T77" s="77"/>
    </row>
    <row r="78" spans="1:24" ht="43.2" x14ac:dyDescent="0.3">
      <c r="C78" s="18" t="s">
        <v>58</v>
      </c>
      <c r="D78" s="48">
        <f t="shared" si="10"/>
        <v>3.7766255605381167E-2</v>
      </c>
      <c r="E78" s="49">
        <v>539</v>
      </c>
      <c r="L78" s="439"/>
      <c r="M78" s="439"/>
      <c r="N78" s="439" t="s">
        <v>116</v>
      </c>
      <c r="O78" s="439" t="s">
        <v>106</v>
      </c>
      <c r="P78" s="439" t="s">
        <v>107</v>
      </c>
      <c r="Q78" s="439" t="s">
        <v>23</v>
      </c>
      <c r="R78" s="439" t="s">
        <v>106</v>
      </c>
      <c r="S78" s="439" t="s">
        <v>107</v>
      </c>
      <c r="T78" s="439" t="s">
        <v>111</v>
      </c>
      <c r="U78" s="439" t="s">
        <v>25</v>
      </c>
      <c r="V78" s="439" t="s">
        <v>28</v>
      </c>
      <c r="W78" s="439" t="s">
        <v>112</v>
      </c>
      <c r="X78" s="439" t="s">
        <v>119</v>
      </c>
    </row>
    <row r="79" spans="1:24" x14ac:dyDescent="0.3">
      <c r="C79" s="18" t="s">
        <v>59</v>
      </c>
      <c r="D79" s="48">
        <f t="shared" si="10"/>
        <v>3.0198991031390135E-2</v>
      </c>
      <c r="E79" s="49">
        <v>431</v>
      </c>
      <c r="L79" s="18"/>
      <c r="M79" s="18"/>
      <c r="N79" s="18"/>
      <c r="O79" s="18"/>
      <c r="P79" s="18"/>
      <c r="Q79" s="18"/>
      <c r="R79" s="18"/>
      <c r="S79" s="18"/>
      <c r="T79" s="18"/>
      <c r="U79" s="18"/>
      <c r="V79" s="18"/>
      <c r="W79" s="18"/>
      <c r="X79" s="18"/>
    </row>
    <row r="80" spans="1:24" x14ac:dyDescent="0.3">
      <c r="C80" s="18" t="s">
        <v>60</v>
      </c>
      <c r="D80" s="48">
        <f t="shared" si="10"/>
        <v>2.5294282511210762E-2</v>
      </c>
      <c r="E80" s="49">
        <v>361</v>
      </c>
      <c r="L80" s="78" t="s">
        <v>114</v>
      </c>
      <c r="M80" s="18"/>
      <c r="N80" s="66">
        <f>$D$71*34%</f>
        <v>4852.4800000000005</v>
      </c>
      <c r="O80" s="66">
        <f>$D$71*29%</f>
        <v>4138.88</v>
      </c>
      <c r="P80" s="80">
        <v>0</v>
      </c>
      <c r="Q80" s="66">
        <f>($D$71*7%)</f>
        <v>999.04000000000008</v>
      </c>
      <c r="R80" s="66">
        <v>0</v>
      </c>
      <c r="S80" s="66">
        <v>0</v>
      </c>
      <c r="T80" s="66">
        <v>0</v>
      </c>
      <c r="U80" s="66">
        <f>($D$71*7%)</f>
        <v>999.04000000000008</v>
      </c>
      <c r="V80" s="66">
        <f>($D$71*23%)</f>
        <v>3282.56</v>
      </c>
      <c r="W80" s="66"/>
      <c r="X80" s="67">
        <f>SUM(N80:W80)</f>
        <v>14272.000000000002</v>
      </c>
    </row>
    <row r="81" spans="3:26" x14ac:dyDescent="0.3">
      <c r="C81" s="18" t="s">
        <v>61</v>
      </c>
      <c r="D81" s="48">
        <f t="shared" si="10"/>
        <v>2.3963004484304933E-2</v>
      </c>
      <c r="E81" s="49">
        <v>342</v>
      </c>
      <c r="L81" s="78" t="s">
        <v>113</v>
      </c>
      <c r="M81" s="18"/>
      <c r="N81" s="66"/>
      <c r="O81" s="66"/>
      <c r="P81" s="66"/>
      <c r="Q81" s="66"/>
      <c r="R81" s="66"/>
      <c r="S81" s="66"/>
      <c r="T81" s="66"/>
      <c r="U81" s="66"/>
      <c r="V81" s="66"/>
      <c r="W81" s="66"/>
      <c r="X81" s="67"/>
    </row>
    <row r="82" spans="3:26" x14ac:dyDescent="0.3">
      <c r="C82" s="18" t="s">
        <v>62</v>
      </c>
      <c r="D82" s="48">
        <f t="shared" si="10"/>
        <v>8.3380044843049325E-3</v>
      </c>
      <c r="E82" s="49">
        <v>119</v>
      </c>
      <c r="L82" s="18" t="s">
        <v>120</v>
      </c>
      <c r="M82" s="18"/>
      <c r="N82" s="66"/>
      <c r="O82" s="66"/>
      <c r="P82" s="66"/>
      <c r="Q82" s="66"/>
      <c r="R82" s="66"/>
      <c r="S82" s="66"/>
      <c r="T82" s="66"/>
      <c r="U82" s="66"/>
      <c r="V82" s="66"/>
      <c r="W82" s="66"/>
      <c r="X82" s="67">
        <f>SUM(N82:W82)</f>
        <v>0</v>
      </c>
    </row>
    <row r="83" spans="3:26" x14ac:dyDescent="0.3">
      <c r="C83" s="18" t="s">
        <v>63</v>
      </c>
      <c r="D83" s="48">
        <f t="shared" si="10"/>
        <v>9.8094170403587445E-4</v>
      </c>
      <c r="E83" s="49">
        <v>14</v>
      </c>
      <c r="L83" s="18" t="s">
        <v>109</v>
      </c>
      <c r="M83" s="18"/>
      <c r="N83" s="66"/>
      <c r="O83" s="66"/>
      <c r="P83" s="66"/>
      <c r="Q83" s="66">
        <f>(N80*9%)-N91</f>
        <v>436.72320000000002</v>
      </c>
      <c r="R83" s="66"/>
      <c r="S83" s="66"/>
      <c r="T83" s="66"/>
      <c r="U83" s="66">
        <f>SUM(N80:N84)*18.5%</f>
        <v>897.70880000000011</v>
      </c>
      <c r="V83" s="66"/>
      <c r="W83" s="66"/>
      <c r="X83" s="67"/>
    </row>
    <row r="84" spans="3:26" x14ac:dyDescent="0.3">
      <c r="C84" s="18" t="s">
        <v>64</v>
      </c>
      <c r="D84" s="48">
        <f t="shared" si="10"/>
        <v>8.1978699551569501E-3</v>
      </c>
      <c r="E84" s="49">
        <v>117</v>
      </c>
      <c r="L84" s="18" t="s">
        <v>110</v>
      </c>
      <c r="M84" s="18"/>
      <c r="N84" s="66"/>
      <c r="O84" s="66"/>
      <c r="P84" s="66"/>
      <c r="Q84" s="66">
        <f>O80*4%</f>
        <v>165.55520000000001</v>
      </c>
      <c r="R84" s="66"/>
      <c r="S84" s="66"/>
      <c r="T84" s="66"/>
      <c r="U84" s="66">
        <f>(SUM(O80:O84)*4.5%)</f>
        <v>186.24959999999999</v>
      </c>
      <c r="V84" s="66"/>
      <c r="W84" s="66"/>
      <c r="X84" s="67">
        <f>SUM(N84:W84)</f>
        <v>351.8048</v>
      </c>
      <c r="Y84" s="63">
        <f>SUM(N86:X86)</f>
        <v>0</v>
      </c>
    </row>
    <row r="85" spans="3:26" x14ac:dyDescent="0.3">
      <c r="L85" s="18" t="s">
        <v>122</v>
      </c>
      <c r="M85" s="18"/>
      <c r="N85" s="18"/>
      <c r="O85" s="18"/>
      <c r="P85" s="66"/>
      <c r="Q85" s="18"/>
      <c r="R85" s="66"/>
      <c r="S85" s="18"/>
      <c r="T85" s="66"/>
      <c r="U85" s="67">
        <f>SUM(Q80:Q84)*0.76%</f>
        <v>12.17001984</v>
      </c>
      <c r="V85" s="18"/>
      <c r="W85" s="18"/>
      <c r="X85" s="18"/>
      <c r="Z85" s="70" t="s">
        <v>105</v>
      </c>
    </row>
    <row r="86" spans="3:26" x14ac:dyDescent="0.3">
      <c r="L86" s="78" t="s">
        <v>117</v>
      </c>
      <c r="M86" s="18"/>
      <c r="N86" s="66"/>
      <c r="O86" s="66"/>
      <c r="P86" s="66"/>
      <c r="Q86" s="66"/>
      <c r="R86" s="66"/>
      <c r="S86" s="66"/>
      <c r="T86" s="66"/>
      <c r="U86" s="66"/>
      <c r="V86" s="66"/>
      <c r="W86" s="66"/>
      <c r="X86" s="67">
        <f t="shared" ref="X86:X91" si="11">SUM(N86:W86)</f>
        <v>0</v>
      </c>
      <c r="Y86" s="71">
        <f>N88+P88+R88+T88+V88+X88</f>
        <v>1407.2192000000002</v>
      </c>
    </row>
    <row r="87" spans="3:26" x14ac:dyDescent="0.3">
      <c r="C87" s="34" t="s">
        <v>79</v>
      </c>
      <c r="D87" s="34"/>
      <c r="L87" s="81" t="s">
        <v>115</v>
      </c>
      <c r="M87" s="81"/>
      <c r="N87" s="82">
        <f>SUM(N80:N84)*60%</f>
        <v>2911.4880000000003</v>
      </c>
      <c r="O87" s="82"/>
      <c r="P87" s="82"/>
      <c r="Q87" s="82">
        <f>SUM(Q80:Q86)*20.6%</f>
        <v>329.87159040000006</v>
      </c>
      <c r="R87" s="82"/>
      <c r="S87" s="82"/>
      <c r="T87" s="82"/>
      <c r="U87" s="82"/>
      <c r="V87" s="82"/>
      <c r="W87" s="82"/>
      <c r="X87" s="83">
        <f t="shared" si="11"/>
        <v>3241.3595904000003</v>
      </c>
      <c r="Y87" s="71">
        <f>N89+P89+R89+T89+V89+X89</f>
        <v>1601.3184000000001</v>
      </c>
    </row>
    <row r="88" spans="3:26" x14ac:dyDescent="0.3">
      <c r="C88" s="34" t="s">
        <v>36</v>
      </c>
      <c r="D88" s="57">
        <f>SUM(E90:E96)</f>
        <v>2820</v>
      </c>
      <c r="E88" s="58">
        <f>D88/E75</f>
        <v>0.8597560975609756</v>
      </c>
      <c r="F88" t="s">
        <v>83</v>
      </c>
      <c r="L88" s="81" t="s">
        <v>24</v>
      </c>
      <c r="M88" s="81"/>
      <c r="N88" s="82"/>
      <c r="O88" s="82">
        <f>SUM(O80:O84)*34%</f>
        <v>1407.2192000000002</v>
      </c>
      <c r="P88" s="82"/>
      <c r="Q88" s="82"/>
      <c r="R88" s="87"/>
      <c r="S88" s="88"/>
      <c r="T88" s="82"/>
      <c r="U88" s="82"/>
      <c r="V88" s="82"/>
      <c r="W88" s="82"/>
      <c r="X88" s="83">
        <f t="shared" si="11"/>
        <v>1407.2192000000002</v>
      </c>
    </row>
    <row r="89" spans="3:26" x14ac:dyDescent="0.3">
      <c r="L89" s="81" t="s">
        <v>30</v>
      </c>
      <c r="M89" s="81"/>
      <c r="N89" s="82"/>
      <c r="O89" s="82"/>
      <c r="P89" s="82"/>
      <c r="Q89" s="82">
        <f>SUM(Q80:Q84)</f>
        <v>1601.3184000000001</v>
      </c>
      <c r="R89" s="82"/>
      <c r="S89" s="82"/>
      <c r="T89" s="82"/>
      <c r="U89" s="82"/>
      <c r="V89" s="82"/>
      <c r="W89" s="82"/>
      <c r="X89" s="83">
        <f t="shared" si="11"/>
        <v>1601.3184000000001</v>
      </c>
    </row>
    <row r="90" spans="3:26" x14ac:dyDescent="0.3">
      <c r="C90" s="500" t="s">
        <v>29</v>
      </c>
      <c r="D90" s="501">
        <f>E90/$E$75</f>
        <v>0.26646341463414636</v>
      </c>
      <c r="E90" s="498">
        <f>SUM(G90:G94)</f>
        <v>874</v>
      </c>
      <c r="F90" s="60" t="s">
        <v>59</v>
      </c>
      <c r="G90" s="31">
        <v>351</v>
      </c>
      <c r="H90" s="32">
        <f>G90/$E$75</f>
        <v>0.10701219512195122</v>
      </c>
      <c r="L90" s="81" t="s">
        <v>50</v>
      </c>
      <c r="M90" s="81"/>
      <c r="N90" s="84"/>
      <c r="O90" s="82"/>
      <c r="P90" s="82"/>
      <c r="Q90" s="82"/>
      <c r="R90" s="85"/>
      <c r="S90" s="85"/>
      <c r="T90" s="85"/>
      <c r="U90" s="82">
        <f>SUM(U80:U84)</f>
        <v>2082.9984000000004</v>
      </c>
      <c r="V90" s="82"/>
      <c r="W90" s="82"/>
      <c r="X90" s="83">
        <f t="shared" si="11"/>
        <v>2082.9984000000004</v>
      </c>
    </row>
    <row r="91" spans="3:26" x14ac:dyDescent="0.3">
      <c r="C91" s="500"/>
      <c r="D91" s="502"/>
      <c r="E91" s="498"/>
      <c r="F91" s="60" t="s">
        <v>80</v>
      </c>
      <c r="G91" s="31">
        <v>230</v>
      </c>
      <c r="H91" s="32">
        <f t="shared" ref="H91:H94" si="12">G91/$E$75</f>
        <v>7.0121951219512202E-2</v>
      </c>
      <c r="L91" s="81" t="s">
        <v>118</v>
      </c>
      <c r="M91" s="81"/>
      <c r="N91" s="82"/>
      <c r="O91" s="82"/>
      <c r="P91" s="82"/>
      <c r="Q91" s="82"/>
      <c r="R91" s="82"/>
      <c r="S91" s="82"/>
      <c r="T91" s="82"/>
      <c r="U91" s="82"/>
      <c r="V91" s="82"/>
      <c r="W91" s="82"/>
      <c r="X91" s="83">
        <f t="shared" si="11"/>
        <v>0</v>
      </c>
    </row>
    <row r="92" spans="3:26" x14ac:dyDescent="0.3">
      <c r="C92" s="500"/>
      <c r="D92" s="502"/>
      <c r="E92" s="498"/>
      <c r="F92" s="60" t="s">
        <v>81</v>
      </c>
      <c r="G92" s="31">
        <v>123</v>
      </c>
      <c r="H92" s="32">
        <f t="shared" si="12"/>
        <v>3.7499999999999999E-2</v>
      </c>
      <c r="L92" s="86" t="s">
        <v>121</v>
      </c>
      <c r="M92" s="70"/>
      <c r="N92" s="70"/>
      <c r="O92" s="70"/>
      <c r="P92" s="72"/>
      <c r="Q92" s="70"/>
      <c r="R92" s="72"/>
      <c r="S92" s="70"/>
      <c r="T92" s="72"/>
      <c r="U92" s="70"/>
      <c r="V92" s="70"/>
      <c r="W92" s="70"/>
      <c r="X92" s="70"/>
    </row>
    <row r="93" spans="3:26" x14ac:dyDescent="0.3">
      <c r="C93" s="500"/>
      <c r="D93" s="502"/>
      <c r="E93" s="498"/>
      <c r="F93" s="61" t="s">
        <v>33</v>
      </c>
      <c r="G93" s="31">
        <v>137</v>
      </c>
      <c r="H93" s="32">
        <f t="shared" si="12"/>
        <v>4.1768292682926832E-2</v>
      </c>
    </row>
    <row r="94" spans="3:26" x14ac:dyDescent="0.3">
      <c r="C94" s="500"/>
      <c r="D94" s="503"/>
      <c r="E94" s="498"/>
      <c r="F94" s="60" t="s">
        <v>60</v>
      </c>
      <c r="G94" s="31">
        <v>33</v>
      </c>
      <c r="H94" s="32">
        <f t="shared" si="12"/>
        <v>1.0060975609756098E-2</v>
      </c>
    </row>
    <row r="95" spans="3:26" x14ac:dyDescent="0.3">
      <c r="C95" s="59" t="s">
        <v>82</v>
      </c>
      <c r="D95" s="42">
        <f>E95/$E$75</f>
        <v>0.39634146341463417</v>
      </c>
      <c r="E95" s="31">
        <v>1300</v>
      </c>
    </row>
    <row r="96" spans="3:26" x14ac:dyDescent="0.3">
      <c r="C96" s="59" t="s">
        <v>30</v>
      </c>
      <c r="D96" s="42">
        <f>E96/$E$75</f>
        <v>0.19695121951219513</v>
      </c>
      <c r="E96" s="31">
        <v>646</v>
      </c>
    </row>
    <row r="97" spans="1:24" x14ac:dyDescent="0.3">
      <c r="N97" t="s">
        <v>46</v>
      </c>
      <c r="O97" t="s">
        <v>47</v>
      </c>
      <c r="P97" s="64" t="s">
        <v>48</v>
      </c>
      <c r="Q97" t="s">
        <v>49</v>
      </c>
    </row>
    <row r="98" spans="1:24" x14ac:dyDescent="0.3">
      <c r="M98" t="s">
        <v>23</v>
      </c>
    </row>
    <row r="99" spans="1:24" x14ac:dyDescent="0.3">
      <c r="M99" t="s">
        <v>26</v>
      </c>
    </row>
    <row r="100" spans="1:24" x14ac:dyDescent="0.3">
      <c r="M100" t="s">
        <v>50</v>
      </c>
    </row>
    <row r="106" spans="1:24" x14ac:dyDescent="0.3">
      <c r="A106" s="51" t="s">
        <v>93</v>
      </c>
      <c r="B106" s="50"/>
    </row>
    <row r="107" spans="1:24" x14ac:dyDescent="0.3">
      <c r="C107" t="s">
        <v>92</v>
      </c>
      <c r="E107" s="68">
        <f>58.9+E108</f>
        <v>66.099999999999994</v>
      </c>
    </row>
    <row r="108" spans="1:24" x14ac:dyDescent="0.3">
      <c r="C108" s="69" t="s">
        <v>94</v>
      </c>
      <c r="E108" s="68">
        <v>7.2</v>
      </c>
    </row>
    <row r="109" spans="1:24" x14ac:dyDescent="0.3">
      <c r="C109" t="s">
        <v>89</v>
      </c>
      <c r="D109" s="58">
        <f>E109/$E$107</f>
        <v>0.32526475037821484</v>
      </c>
      <c r="E109" s="68">
        <v>21.5</v>
      </c>
      <c r="L109" t="s">
        <v>96</v>
      </c>
      <c r="P109" t="s">
        <v>97</v>
      </c>
    </row>
    <row r="110" spans="1:24" x14ac:dyDescent="0.3">
      <c r="C110" t="s">
        <v>90</v>
      </c>
      <c r="D110" s="58">
        <f t="shared" ref="D110:D111" si="13">E110/$E$107</f>
        <v>0.29500756429652047</v>
      </c>
      <c r="E110" s="68">
        <v>19.5</v>
      </c>
    </row>
    <row r="111" spans="1:24" x14ac:dyDescent="0.3">
      <c r="C111" t="s">
        <v>91</v>
      </c>
      <c r="D111" s="58">
        <f t="shared" si="13"/>
        <v>0.28441754916792744</v>
      </c>
      <c r="E111" s="68">
        <v>18.8</v>
      </c>
      <c r="R111" s="91" t="s">
        <v>108</v>
      </c>
      <c r="S111" s="5"/>
      <c r="T111" s="92"/>
    </row>
    <row r="112" spans="1:24" ht="43.2" x14ac:dyDescent="0.3">
      <c r="L112" s="18"/>
      <c r="M112" s="18"/>
      <c r="N112" s="65" t="s">
        <v>116</v>
      </c>
      <c r="O112" s="18" t="s">
        <v>106</v>
      </c>
      <c r="P112" s="18" t="s">
        <v>107</v>
      </c>
      <c r="Q112" s="18" t="s">
        <v>23</v>
      </c>
      <c r="R112" s="18" t="s">
        <v>106</v>
      </c>
      <c r="S112" s="18" t="s">
        <v>107</v>
      </c>
      <c r="T112" s="18" t="s">
        <v>111</v>
      </c>
      <c r="U112" s="18" t="s">
        <v>25</v>
      </c>
      <c r="V112" s="18" t="s">
        <v>28</v>
      </c>
      <c r="W112" s="65" t="s">
        <v>112</v>
      </c>
      <c r="X112" s="18" t="s">
        <v>119</v>
      </c>
    </row>
    <row r="113" spans="1:25" x14ac:dyDescent="0.3">
      <c r="L113" s="18"/>
      <c r="M113" s="18"/>
      <c r="N113" s="18"/>
      <c r="O113" s="18"/>
      <c r="P113" s="18"/>
      <c r="Q113" s="18"/>
      <c r="R113" s="18"/>
      <c r="S113" s="18"/>
      <c r="T113" s="18"/>
      <c r="U113" s="18"/>
      <c r="V113" s="18"/>
      <c r="W113" s="18"/>
      <c r="X113" s="18"/>
    </row>
    <row r="114" spans="1:25" x14ac:dyDescent="0.3">
      <c r="L114" s="78" t="s">
        <v>114</v>
      </c>
      <c r="M114" s="18"/>
      <c r="N114" s="66"/>
      <c r="O114" s="66"/>
      <c r="P114" s="80"/>
      <c r="Q114" s="66"/>
      <c r="R114" s="66"/>
      <c r="S114" s="66"/>
      <c r="T114" s="66"/>
      <c r="U114" s="66"/>
      <c r="V114" s="66"/>
      <c r="W114" s="66"/>
      <c r="X114" s="67">
        <f>SUM(N114:W114)</f>
        <v>0</v>
      </c>
    </row>
    <row r="115" spans="1:25" x14ac:dyDescent="0.3">
      <c r="L115" s="90" t="s">
        <v>124</v>
      </c>
      <c r="M115" s="89">
        <v>14000</v>
      </c>
      <c r="N115" s="66">
        <f>$M$115*76%</f>
        <v>10640</v>
      </c>
      <c r="O115" s="66">
        <f>$M$115*5%</f>
        <v>700</v>
      </c>
      <c r="Q115" s="66">
        <f>$M$115*11%</f>
        <v>1540</v>
      </c>
      <c r="R115" s="66"/>
      <c r="S115" s="66"/>
      <c r="T115" s="66"/>
      <c r="U115" s="66">
        <f>$M$115*7%</f>
        <v>980.00000000000011</v>
      </c>
      <c r="V115" s="66"/>
      <c r="W115" s="66"/>
      <c r="X115" s="67">
        <f>SUM(N115:W115)</f>
        <v>13860</v>
      </c>
    </row>
    <row r="116" spans="1:25" x14ac:dyDescent="0.3">
      <c r="L116" s="90" t="s">
        <v>125</v>
      </c>
      <c r="M116" s="89">
        <v>4400</v>
      </c>
      <c r="N116" s="93">
        <f>$M$116*(24%+N128)</f>
        <v>2376</v>
      </c>
      <c r="O116" s="93">
        <f>$M$116*O128</f>
        <v>1100</v>
      </c>
      <c r="P116" s="80"/>
      <c r="Q116" s="66">
        <f>$M$116*10%</f>
        <v>440</v>
      </c>
      <c r="R116" s="66"/>
      <c r="S116" s="66"/>
      <c r="T116" s="66"/>
      <c r="U116" s="66">
        <f>$M$116*11%</f>
        <v>484</v>
      </c>
      <c r="V116" s="66"/>
      <c r="W116" s="66"/>
      <c r="X116" s="67">
        <f>SUM(N116:W116)</f>
        <v>4400</v>
      </c>
    </row>
    <row r="117" spans="1:25" x14ac:dyDescent="0.3">
      <c r="A117" s="51" t="s">
        <v>66</v>
      </c>
      <c r="B117" s="50"/>
      <c r="L117" s="78" t="s">
        <v>113</v>
      </c>
      <c r="M117" s="18"/>
      <c r="N117" s="66"/>
      <c r="O117" s="66"/>
      <c r="P117" s="66"/>
      <c r="Q117" s="66"/>
      <c r="R117" s="66"/>
      <c r="S117" s="66"/>
      <c r="T117" s="66"/>
      <c r="U117" s="66"/>
      <c r="V117" s="66"/>
      <c r="W117" s="66"/>
      <c r="X117" s="67"/>
    </row>
    <row r="118" spans="1:25" x14ac:dyDescent="0.3">
      <c r="C118" t="s">
        <v>248</v>
      </c>
      <c r="L118" s="18" t="s">
        <v>120</v>
      </c>
      <c r="M118" s="18"/>
      <c r="N118" s="66"/>
      <c r="O118" s="66"/>
      <c r="P118" s="66"/>
      <c r="Q118" s="66"/>
      <c r="R118" s="66"/>
      <c r="S118" s="66"/>
      <c r="T118" s="66"/>
      <c r="U118" s="66"/>
      <c r="V118" s="66"/>
      <c r="W118" s="66"/>
      <c r="X118" s="67">
        <f>SUM(N118:W118)</f>
        <v>0</v>
      </c>
    </row>
    <row r="119" spans="1:25" x14ac:dyDescent="0.3">
      <c r="B119" s="121"/>
      <c r="L119" s="18" t="s">
        <v>109</v>
      </c>
      <c r="M119" s="18"/>
      <c r="N119" s="66"/>
      <c r="O119" s="66"/>
      <c r="P119" s="66"/>
      <c r="Q119" s="66">
        <f>(N115*9%)-N127</f>
        <v>957.59999999999991</v>
      </c>
      <c r="R119" s="66"/>
      <c r="S119" s="66"/>
      <c r="T119" s="66"/>
      <c r="U119" s="66">
        <f>SUM(N114:N120)*18.5%</f>
        <v>2407.96</v>
      </c>
      <c r="V119" s="66"/>
      <c r="W119" s="66"/>
      <c r="X119" s="67"/>
    </row>
    <row r="120" spans="1:25" ht="18" x14ac:dyDescent="0.3">
      <c r="C120" s="97"/>
      <c r="D120" s="114"/>
      <c r="L120" s="18" t="s">
        <v>110</v>
      </c>
      <c r="M120" s="18"/>
      <c r="N120" s="66"/>
      <c r="O120" s="66"/>
      <c r="P120" s="66"/>
      <c r="Q120" s="66">
        <f>O115*4%</f>
        <v>28</v>
      </c>
      <c r="R120" s="66"/>
      <c r="S120" s="66"/>
      <c r="T120" s="66"/>
      <c r="U120" s="66">
        <f>(O115)*4.5%</f>
        <v>31.5</v>
      </c>
      <c r="V120" s="66"/>
      <c r="W120" s="66"/>
      <c r="X120" s="67">
        <f>SUM(N120:W120)</f>
        <v>59.5</v>
      </c>
    </row>
    <row r="121" spans="1:25" x14ac:dyDescent="0.3">
      <c r="C121" s="104"/>
      <c r="D121" s="114"/>
      <c r="E121" s="126"/>
      <c r="F121" s="104"/>
      <c r="L121" s="18" t="s">
        <v>122</v>
      </c>
      <c r="M121" s="18"/>
      <c r="N121" s="18"/>
      <c r="O121" s="18"/>
      <c r="P121" s="66"/>
      <c r="Q121" s="18"/>
      <c r="R121" s="66"/>
      <c r="S121" s="18"/>
      <c r="T121" s="66"/>
      <c r="U121" s="67">
        <f>SUM(Q114:Q120)*0.76%</f>
        <v>22.53856</v>
      </c>
      <c r="V121" s="18"/>
      <c r="W121" s="18"/>
      <c r="X121" s="18"/>
    </row>
    <row r="122" spans="1:25" s="70" customFormat="1" x14ac:dyDescent="0.3">
      <c r="C122" s="104"/>
      <c r="D122" s="114"/>
      <c r="E122" s="126"/>
      <c r="F122" s="104"/>
      <c r="L122" s="78" t="s">
        <v>117</v>
      </c>
      <c r="M122" s="18"/>
      <c r="N122" s="66"/>
      <c r="O122" s="66"/>
      <c r="P122" s="66"/>
      <c r="Q122" s="66"/>
      <c r="R122" s="66"/>
      <c r="S122" s="66"/>
      <c r="T122" s="66"/>
      <c r="U122" s="66"/>
      <c r="V122" s="66"/>
      <c r="W122" s="66"/>
      <c r="X122" s="67">
        <f t="shared" ref="X122:X127" si="14">SUM(N122:W122)</f>
        <v>0</v>
      </c>
      <c r="Y122"/>
    </row>
    <row r="123" spans="1:25" s="70" customFormat="1" x14ac:dyDescent="0.3">
      <c r="C123" s="104"/>
      <c r="D123" s="114"/>
      <c r="E123" s="126"/>
      <c r="F123" s="104"/>
      <c r="L123" s="81" t="s">
        <v>115</v>
      </c>
      <c r="M123" s="81"/>
      <c r="N123" s="82">
        <f>SUM(N114:N120)*60%</f>
        <v>7809.5999999999995</v>
      </c>
      <c r="O123" s="82"/>
      <c r="P123" s="82"/>
      <c r="Q123" s="82">
        <f>SUM(Q114:Q122)*20.6%</f>
        <v>610.91359999999997</v>
      </c>
      <c r="R123" s="82"/>
      <c r="S123" s="82"/>
      <c r="T123" s="82"/>
      <c r="U123" s="82"/>
      <c r="V123" s="82"/>
      <c r="W123" s="82"/>
      <c r="X123" s="83">
        <f t="shared" si="14"/>
        <v>8420.5136000000002</v>
      </c>
      <c r="Y123"/>
    </row>
    <row r="124" spans="1:25" x14ac:dyDescent="0.3">
      <c r="L124" s="81" t="s">
        <v>24</v>
      </c>
      <c r="M124" s="81"/>
      <c r="N124" s="82"/>
      <c r="O124" s="82">
        <f>SUM(O114:O120)*34%</f>
        <v>612</v>
      </c>
      <c r="P124" s="82">
        <f>SUM(P115:P120)*21.5%</f>
        <v>0</v>
      </c>
      <c r="Q124" s="82"/>
      <c r="R124" s="87"/>
      <c r="S124" s="88"/>
      <c r="T124" s="82"/>
      <c r="U124" s="82"/>
      <c r="V124" s="82"/>
      <c r="W124" s="82"/>
      <c r="X124" s="83">
        <f t="shared" si="14"/>
        <v>612</v>
      </c>
      <c r="Y124" s="71">
        <f>N125+P125+R125+T125+V125+X125</f>
        <v>2965.6</v>
      </c>
    </row>
    <row r="125" spans="1:25" x14ac:dyDescent="0.3">
      <c r="L125" s="81" t="s">
        <v>30</v>
      </c>
      <c r="M125" s="81"/>
      <c r="N125" s="82"/>
      <c r="O125" s="82"/>
      <c r="P125" s="82"/>
      <c r="Q125" s="82">
        <f>SUM(Q114:Q120)</f>
        <v>2965.6</v>
      </c>
      <c r="R125" s="82"/>
      <c r="S125" s="82"/>
      <c r="T125" s="82"/>
      <c r="U125" s="82"/>
      <c r="V125" s="82"/>
      <c r="W125" s="82"/>
      <c r="X125" s="83">
        <f t="shared" si="14"/>
        <v>2965.6</v>
      </c>
      <c r="Y125" s="71">
        <f>N126+P126+R126+T126+V126+X126</f>
        <v>3903.46</v>
      </c>
    </row>
    <row r="126" spans="1:25" x14ac:dyDescent="0.3">
      <c r="C126" s="129"/>
      <c r="E126" s="106"/>
      <c r="L126" s="81" t="s">
        <v>50</v>
      </c>
      <c r="M126" s="81"/>
      <c r="N126" s="84"/>
      <c r="O126" s="82"/>
      <c r="P126" s="82"/>
      <c r="Q126" s="82"/>
      <c r="R126" s="85"/>
      <c r="S126" s="85"/>
      <c r="T126" s="85"/>
      <c r="U126" s="82">
        <f>SUM(U114:U120)</f>
        <v>3903.46</v>
      </c>
      <c r="V126" s="82"/>
      <c r="W126" s="82"/>
      <c r="X126" s="83">
        <f t="shared" si="14"/>
        <v>3903.46</v>
      </c>
    </row>
    <row r="127" spans="1:25" x14ac:dyDescent="0.3">
      <c r="B127" s="70"/>
      <c r="C127" s="70"/>
      <c r="L127" s="81" t="s">
        <v>118</v>
      </c>
      <c r="M127" s="81"/>
      <c r="N127" s="82"/>
      <c r="O127" s="82"/>
      <c r="P127" s="82"/>
      <c r="Q127" s="82"/>
      <c r="R127" s="82"/>
      <c r="S127" s="82"/>
      <c r="T127" s="82"/>
      <c r="U127" s="82"/>
      <c r="V127" s="82"/>
      <c r="W127" s="82"/>
      <c r="X127" s="83">
        <f t="shared" si="14"/>
        <v>0</v>
      </c>
    </row>
    <row r="128" spans="1:25" x14ac:dyDescent="0.3">
      <c r="B128" s="70"/>
      <c r="C128" s="70"/>
      <c r="L128" s="74" t="s">
        <v>126</v>
      </c>
      <c r="M128" s="70"/>
      <c r="N128" s="73">
        <v>0.3</v>
      </c>
      <c r="O128" s="73">
        <v>0.25</v>
      </c>
    </row>
    <row r="129" spans="2:17" x14ac:dyDescent="0.3">
      <c r="C129" s="70"/>
    </row>
    <row r="130" spans="2:17" x14ac:dyDescent="0.3">
      <c r="C130" s="70"/>
    </row>
    <row r="131" spans="2:17" x14ac:dyDescent="0.3">
      <c r="C131" s="70"/>
    </row>
    <row r="132" spans="2:17" x14ac:dyDescent="0.3">
      <c r="C132" s="70"/>
    </row>
    <row r="133" spans="2:17" x14ac:dyDescent="0.3">
      <c r="L133" t="s">
        <v>45</v>
      </c>
    </row>
    <row r="134" spans="2:17" x14ac:dyDescent="0.3">
      <c r="E134" s="114"/>
      <c r="N134" t="s">
        <v>46</v>
      </c>
      <c r="O134" t="s">
        <v>47</v>
      </c>
      <c r="P134" s="64" t="s">
        <v>48</v>
      </c>
      <c r="Q134" t="s">
        <v>49</v>
      </c>
    </row>
    <row r="135" spans="2:17" x14ac:dyDescent="0.3">
      <c r="M135" t="s">
        <v>23</v>
      </c>
    </row>
    <row r="136" spans="2:17" x14ac:dyDescent="0.3">
      <c r="M136" t="s">
        <v>26</v>
      </c>
    </row>
    <row r="137" spans="2:17" ht="18" x14ac:dyDescent="0.3">
      <c r="B137" s="121"/>
      <c r="C137" s="97"/>
      <c r="D137" s="114"/>
      <c r="M137" t="s">
        <v>50</v>
      </c>
    </row>
    <row r="138" spans="2:17" x14ac:dyDescent="0.3">
      <c r="C138" s="104"/>
      <c r="D138" s="114"/>
      <c r="E138" s="126"/>
      <c r="H138" s="10"/>
      <c r="I138" s="121"/>
    </row>
    <row r="139" spans="2:17" x14ac:dyDescent="0.3">
      <c r="C139" s="104"/>
      <c r="D139" s="114"/>
      <c r="E139" s="126"/>
      <c r="H139" s="10"/>
      <c r="I139" s="121"/>
    </row>
    <row r="140" spans="2:17" x14ac:dyDescent="0.3">
      <c r="C140" s="104"/>
      <c r="D140" s="114"/>
      <c r="E140" s="126"/>
    </row>
    <row r="141" spans="2:17" x14ac:dyDescent="0.3">
      <c r="I141" s="52"/>
      <c r="J141" s="52"/>
      <c r="P141" s="62"/>
    </row>
    <row r="142" spans="2:17" x14ac:dyDescent="0.3">
      <c r="D142" s="114"/>
      <c r="E142" s="121"/>
      <c r="I142" s="52"/>
      <c r="J142" s="52"/>
      <c r="P142" s="62"/>
    </row>
    <row r="143" spans="2:17" x14ac:dyDescent="0.3">
      <c r="D143" s="114"/>
      <c r="E143" s="121"/>
    </row>
    <row r="144" spans="2:17" x14ac:dyDescent="0.3">
      <c r="D144" s="114"/>
      <c r="E144" s="121"/>
    </row>
    <row r="145" spans="1:20" x14ac:dyDescent="0.3">
      <c r="D145" s="114"/>
      <c r="E145" s="121"/>
    </row>
    <row r="146" spans="1:20" x14ac:dyDescent="0.3">
      <c r="D146" s="114"/>
    </row>
    <row r="148" spans="1:20" x14ac:dyDescent="0.3">
      <c r="E148" s="114"/>
    </row>
    <row r="150" spans="1:20" ht="18" x14ac:dyDescent="0.3">
      <c r="B150" s="121"/>
      <c r="C150" s="97"/>
    </row>
    <row r="151" spans="1:20" x14ac:dyDescent="0.3">
      <c r="C151" s="104"/>
      <c r="D151" s="104"/>
      <c r="E151" s="126"/>
    </row>
    <row r="152" spans="1:20" x14ac:dyDescent="0.3">
      <c r="C152" s="104"/>
      <c r="D152" s="104"/>
      <c r="E152" s="126"/>
    </row>
    <row r="153" spans="1:20" x14ac:dyDescent="0.3">
      <c r="C153" s="104"/>
      <c r="D153" s="104"/>
      <c r="E153" s="126"/>
    </row>
    <row r="157" spans="1:20" x14ac:dyDescent="0.3">
      <c r="A157" s="52"/>
    </row>
    <row r="158" spans="1:20" s="99" customFormat="1" x14ac:dyDescent="0.3">
      <c r="D158" s="131"/>
      <c r="E158" s="131"/>
      <c r="P158" s="113"/>
      <c r="R158" s="113"/>
      <c r="T158" s="113"/>
    </row>
    <row r="159" spans="1:20" x14ac:dyDescent="0.3">
      <c r="C159" s="52"/>
      <c r="D159" s="114"/>
      <c r="E159" s="114"/>
    </row>
    <row r="160" spans="1:20" x14ac:dyDescent="0.3">
      <c r="C160" s="52"/>
      <c r="D160" s="114"/>
      <c r="E160" s="114"/>
    </row>
    <row r="161" spans="3:5" x14ac:dyDescent="0.3">
      <c r="C161" s="52"/>
      <c r="D161" s="114"/>
      <c r="E161" s="114"/>
    </row>
    <row r="162" spans="3:5" x14ac:dyDescent="0.3">
      <c r="C162" s="52"/>
      <c r="D162" s="114"/>
      <c r="E162" s="114"/>
    </row>
    <row r="163" spans="3:5" x14ac:dyDescent="0.3">
      <c r="C163" s="52"/>
      <c r="D163" s="114"/>
      <c r="E163" s="114"/>
    </row>
    <row r="164" spans="3:5" x14ac:dyDescent="0.3">
      <c r="C164" s="130"/>
    </row>
    <row r="165" spans="3:5" x14ac:dyDescent="0.3">
      <c r="C165" s="130"/>
    </row>
  </sheetData>
  <mergeCells count="39">
    <mergeCell ref="R34:S34"/>
    <mergeCell ref="C49:C50"/>
    <mergeCell ref="D49:D50"/>
    <mergeCell ref="E49:E50"/>
    <mergeCell ref="C90:C94"/>
    <mergeCell ref="D90:D94"/>
    <mergeCell ref="E90:E94"/>
    <mergeCell ref="C37:C38"/>
    <mergeCell ref="D37:D38"/>
    <mergeCell ref="E37:E38"/>
    <mergeCell ref="F37:F38"/>
    <mergeCell ref="C39:C40"/>
    <mergeCell ref="D39:D40"/>
    <mergeCell ref="E39:E40"/>
    <mergeCell ref="F39:F40"/>
    <mergeCell ref="C33:C34"/>
    <mergeCell ref="D33:D34"/>
    <mergeCell ref="E33:E34"/>
    <mergeCell ref="F33:F34"/>
    <mergeCell ref="C35:C36"/>
    <mergeCell ref="D35:D36"/>
    <mergeCell ref="E35:E36"/>
    <mergeCell ref="F35:F36"/>
    <mergeCell ref="C29:C30"/>
    <mergeCell ref="D29:D30"/>
    <mergeCell ref="E29:E30"/>
    <mergeCell ref="F29:F30"/>
    <mergeCell ref="C31:C32"/>
    <mergeCell ref="D31:D32"/>
    <mergeCell ref="E31:E32"/>
    <mergeCell ref="F31:F32"/>
    <mergeCell ref="C25:C26"/>
    <mergeCell ref="D25:D26"/>
    <mergeCell ref="E25:E26"/>
    <mergeCell ref="F25:F26"/>
    <mergeCell ref="C27:C28"/>
    <mergeCell ref="D27:D28"/>
    <mergeCell ref="E27:E28"/>
    <mergeCell ref="F27:F28"/>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tabColor theme="9"/>
  </sheetPr>
  <dimension ref="A1:O301"/>
  <sheetViews>
    <sheetView topLeftCell="A34" zoomScale="52" zoomScaleNormal="80" workbookViewId="0">
      <selection sqref="A1:K1"/>
    </sheetView>
  </sheetViews>
  <sheetFormatPr baseColWidth="10" defaultColWidth="10.77734375" defaultRowHeight="14.4" x14ac:dyDescent="0.3"/>
  <cols>
    <col min="1" max="1" width="42.21875" style="153" customWidth="1"/>
    <col min="2" max="2" width="31.6640625" style="153" customWidth="1"/>
    <col min="3" max="3" width="13.44140625" style="153" customWidth="1"/>
    <col min="4" max="4" width="9.5546875" style="437" bestFit="1" customWidth="1"/>
    <col min="5" max="5" width="11.5546875" style="153" customWidth="1"/>
    <col min="6" max="6" width="10.5546875" style="153" customWidth="1"/>
    <col min="7" max="7" width="39.21875" style="152" customWidth="1"/>
    <col min="8" max="8" width="38.77734375" style="153" customWidth="1"/>
    <col min="9" max="9" width="21.21875" style="153" bestFit="1" customWidth="1"/>
    <col min="10" max="11" width="20.21875" style="152" customWidth="1"/>
    <col min="12" max="12" width="10.77734375" style="170"/>
    <col min="13" max="16384" width="10.77734375" style="153"/>
  </cols>
  <sheetData>
    <row r="1" spans="1:11" ht="37.200000000000003" thickBot="1" x14ac:dyDescent="0.35">
      <c r="A1" s="529" t="s">
        <v>290</v>
      </c>
      <c r="B1" s="530"/>
      <c r="C1" s="530"/>
      <c r="D1" s="530"/>
      <c r="E1" s="530"/>
      <c r="F1" s="530"/>
      <c r="G1" s="530"/>
      <c r="H1" s="530"/>
      <c r="I1" s="530"/>
      <c r="J1" s="530"/>
      <c r="K1" s="531"/>
    </row>
    <row r="3" spans="1:11" ht="36.6" x14ac:dyDescent="0.3">
      <c r="A3" s="511" t="s">
        <v>296</v>
      </c>
      <c r="B3" s="511"/>
      <c r="C3" s="511"/>
      <c r="D3" s="511"/>
      <c r="E3" s="511"/>
      <c r="F3" s="511"/>
      <c r="G3" s="511"/>
      <c r="H3" s="511"/>
      <c r="I3" s="511"/>
      <c r="J3" s="511"/>
      <c r="K3" s="511"/>
    </row>
    <row r="4" spans="1:11" ht="36.6" x14ac:dyDescent="0.3">
      <c r="A4" s="504" t="s">
        <v>288</v>
      </c>
      <c r="B4" s="504"/>
      <c r="C4" s="504"/>
      <c r="D4" s="504"/>
      <c r="E4" s="504"/>
      <c r="F4" s="504"/>
      <c r="G4" s="504"/>
      <c r="H4" s="504"/>
      <c r="I4" s="504"/>
      <c r="J4" s="504"/>
      <c r="K4" s="504"/>
    </row>
    <row r="6" spans="1:11" s="170" customFormat="1" ht="14.55" customHeight="1" x14ac:dyDescent="0.3">
      <c r="A6" s="169"/>
      <c r="D6" s="171"/>
      <c r="E6" s="505" t="s">
        <v>282</v>
      </c>
      <c r="F6" s="506"/>
      <c r="G6" s="148" t="s">
        <v>283</v>
      </c>
      <c r="H6" s="148" t="s">
        <v>291</v>
      </c>
      <c r="I6" s="148" t="s">
        <v>285</v>
      </c>
      <c r="J6" s="507" t="s">
        <v>281</v>
      </c>
      <c r="K6" s="508"/>
    </row>
    <row r="7" spans="1:11" s="170" customFormat="1" ht="18" x14ac:dyDescent="0.3">
      <c r="A7" s="172"/>
      <c r="C7" s="173">
        <v>2015</v>
      </c>
      <c r="D7" s="173" t="s">
        <v>247</v>
      </c>
      <c r="E7" s="173">
        <v>2030</v>
      </c>
      <c r="F7" s="174">
        <v>2050</v>
      </c>
      <c r="G7" s="150" t="s">
        <v>132</v>
      </c>
      <c r="H7" s="150">
        <v>0</v>
      </c>
      <c r="I7" s="150"/>
      <c r="J7" s="175">
        <v>2030</v>
      </c>
      <c r="K7" s="176">
        <v>2050</v>
      </c>
    </row>
    <row r="8" spans="1:11" ht="72.599999999999994" customHeight="1" x14ac:dyDescent="0.3">
      <c r="A8" s="151" t="s">
        <v>144</v>
      </c>
      <c r="B8" s="151"/>
      <c r="C8" s="177">
        <v>1</v>
      </c>
      <c r="D8" s="178">
        <v>1</v>
      </c>
      <c r="E8" s="179">
        <v>0</v>
      </c>
      <c r="F8" s="180">
        <v>-0.1</v>
      </c>
      <c r="G8" s="152" t="s">
        <v>127</v>
      </c>
      <c r="H8" s="153" t="s">
        <v>254</v>
      </c>
      <c r="I8" s="153" t="s">
        <v>271</v>
      </c>
      <c r="J8" s="153"/>
      <c r="K8" s="181"/>
    </row>
    <row r="9" spans="1:11" ht="100.8" x14ac:dyDescent="0.3">
      <c r="A9" s="518" t="s">
        <v>0</v>
      </c>
      <c r="B9" s="154" t="s">
        <v>198</v>
      </c>
      <c r="C9" s="182">
        <v>0</v>
      </c>
      <c r="D9" s="183">
        <v>0</v>
      </c>
      <c r="E9" s="184">
        <v>-0.25</v>
      </c>
      <c r="F9" s="185">
        <v>-0.4</v>
      </c>
      <c r="G9" s="152" t="s">
        <v>279</v>
      </c>
      <c r="H9" s="153" t="s">
        <v>255</v>
      </c>
      <c r="I9" s="153" t="s">
        <v>253</v>
      </c>
      <c r="J9" s="186">
        <f>(C10+C11)*E9</f>
        <v>-1370.5</v>
      </c>
      <c r="K9" s="187">
        <f>(C10+C11)*F9</f>
        <v>-2192.8000000000002</v>
      </c>
    </row>
    <row r="10" spans="1:11" ht="28.8" x14ac:dyDescent="0.3">
      <c r="A10" s="519"/>
      <c r="B10" s="182" t="s">
        <v>196</v>
      </c>
      <c r="C10" s="188">
        <v>110</v>
      </c>
      <c r="D10" s="183">
        <v>2.0065669463699379E-2</v>
      </c>
      <c r="E10" s="189">
        <v>0.15</v>
      </c>
      <c r="F10" s="190">
        <v>0.3</v>
      </c>
      <c r="H10" s="153" t="s">
        <v>251</v>
      </c>
      <c r="J10" s="186">
        <f>((C10+C11)+J9)*E10</f>
        <v>616.72500000000002</v>
      </c>
      <c r="K10" s="187">
        <f>((C10+C11)+K9)*F10</f>
        <v>986.75999999999988</v>
      </c>
    </row>
    <row r="11" spans="1:11" x14ac:dyDescent="0.3">
      <c r="A11" s="520"/>
      <c r="B11" s="182" t="s">
        <v>197</v>
      </c>
      <c r="C11" s="188">
        <v>5372</v>
      </c>
      <c r="D11" s="183">
        <v>0.97993433053630064</v>
      </c>
      <c r="E11" s="189">
        <v>0.85</v>
      </c>
      <c r="F11" s="190">
        <v>0.7</v>
      </c>
      <c r="J11" s="186">
        <f>((C10+C11)+J9)*E11</f>
        <v>3494.7750000000001</v>
      </c>
      <c r="K11" s="187">
        <f>((C10+C11)+K9)*F11</f>
        <v>2302.4399999999996</v>
      </c>
    </row>
    <row r="12" spans="1:11" ht="57.6" x14ac:dyDescent="0.3">
      <c r="A12" s="521" t="s">
        <v>1</v>
      </c>
      <c r="B12" s="155" t="s">
        <v>145</v>
      </c>
      <c r="C12" s="151">
        <v>0</v>
      </c>
      <c r="D12" s="191">
        <v>0</v>
      </c>
      <c r="E12" s="192">
        <v>-0.15</v>
      </c>
      <c r="F12" s="193">
        <v>-0.3</v>
      </c>
      <c r="G12" s="152" t="s">
        <v>284</v>
      </c>
      <c r="H12" s="153" t="s">
        <v>256</v>
      </c>
      <c r="J12" s="194">
        <f>(C13+C14)*E12</f>
        <v>-435.45</v>
      </c>
      <c r="K12" s="195">
        <f>(C13+C14)*F12</f>
        <v>-870.9</v>
      </c>
    </row>
    <row r="13" spans="1:11" ht="43.2" x14ac:dyDescent="0.3">
      <c r="A13" s="522"/>
      <c r="B13" s="151" t="s">
        <v>196</v>
      </c>
      <c r="C13" s="196">
        <v>493</v>
      </c>
      <c r="D13" s="191">
        <v>0.16982431966930761</v>
      </c>
      <c r="E13" s="192">
        <v>0.2</v>
      </c>
      <c r="F13" s="197">
        <v>0.6</v>
      </c>
      <c r="H13" s="153" t="s">
        <v>257</v>
      </c>
      <c r="J13" s="194">
        <f>((C13+C14)+J12)*E13</f>
        <v>493.51000000000005</v>
      </c>
      <c r="K13" s="195">
        <f>((C13+C14)+K12)*F13</f>
        <v>1219.26</v>
      </c>
    </row>
    <row r="14" spans="1:11" x14ac:dyDescent="0.3">
      <c r="A14" s="523"/>
      <c r="B14" s="151" t="s">
        <v>197</v>
      </c>
      <c r="C14" s="196">
        <v>2410</v>
      </c>
      <c r="D14" s="191">
        <v>0.83017568033069233</v>
      </c>
      <c r="E14" s="198">
        <v>0.8</v>
      </c>
      <c r="F14" s="193">
        <v>0.4</v>
      </c>
      <c r="J14" s="194">
        <f>((C13+C14)+J12)*E14</f>
        <v>1974.0400000000002</v>
      </c>
      <c r="K14" s="195">
        <f>((C13+C14)+K12)*F14</f>
        <v>812.84</v>
      </c>
    </row>
    <row r="15" spans="1:11" ht="29.1" customHeight="1" x14ac:dyDescent="0.3">
      <c r="A15" s="518" t="s">
        <v>2</v>
      </c>
      <c r="B15" s="154" t="s">
        <v>209</v>
      </c>
      <c r="C15" s="154">
        <v>0</v>
      </c>
      <c r="D15" s="183">
        <v>0</v>
      </c>
      <c r="E15" s="189">
        <v>0.05</v>
      </c>
      <c r="F15" s="199">
        <v>0.1</v>
      </c>
      <c r="J15" s="186">
        <f>(C16+C17)*E15</f>
        <v>144.55000000000001</v>
      </c>
      <c r="K15" s="187">
        <f>(C16+C17)*F15</f>
        <v>289.10000000000002</v>
      </c>
    </row>
    <row r="16" spans="1:11" ht="43.2" x14ac:dyDescent="0.3">
      <c r="A16" s="519"/>
      <c r="B16" s="182" t="s">
        <v>196</v>
      </c>
      <c r="C16" s="188">
        <v>1481</v>
      </c>
      <c r="D16" s="183">
        <v>0.51227948806641299</v>
      </c>
      <c r="E16" s="189">
        <v>0.5</v>
      </c>
      <c r="F16" s="199">
        <v>0.7</v>
      </c>
      <c r="H16" s="153" t="s">
        <v>257</v>
      </c>
      <c r="J16" s="186">
        <f>((C16+C17)+J15)*E16</f>
        <v>1517.7750000000001</v>
      </c>
      <c r="K16" s="187">
        <f>((C16+C17)+K15)*F16</f>
        <v>2226.0699999999997</v>
      </c>
    </row>
    <row r="17" spans="1:12" x14ac:dyDescent="0.3">
      <c r="A17" s="520"/>
      <c r="B17" s="182" t="s">
        <v>197</v>
      </c>
      <c r="C17" s="188">
        <v>1410</v>
      </c>
      <c r="D17" s="183">
        <v>0.48772051193358701</v>
      </c>
      <c r="E17" s="200">
        <v>0.5</v>
      </c>
      <c r="F17" s="199">
        <v>0.3</v>
      </c>
      <c r="G17" s="153"/>
      <c r="J17" s="186">
        <f>((C16+C17)+J15)*E17</f>
        <v>1517.7750000000001</v>
      </c>
      <c r="K17" s="187">
        <f>((C16+C17)+K15)*F17</f>
        <v>954.03</v>
      </c>
    </row>
    <row r="18" spans="1:12" x14ac:dyDescent="0.3">
      <c r="A18" s="521" t="s">
        <v>5</v>
      </c>
      <c r="B18" s="155" t="s">
        <v>208</v>
      </c>
      <c r="C18" s="155">
        <v>0</v>
      </c>
      <c r="D18" s="191">
        <v>0</v>
      </c>
      <c r="E18" s="192">
        <v>0.1</v>
      </c>
      <c r="F18" s="197">
        <v>0.28000000000000003</v>
      </c>
      <c r="J18" s="194">
        <f>(C19+C20)*E18</f>
        <v>186.10000000000002</v>
      </c>
      <c r="K18" s="195">
        <f>(C19+C20)*F18</f>
        <v>521.08000000000004</v>
      </c>
    </row>
    <row r="19" spans="1:12" ht="43.2" x14ac:dyDescent="0.3">
      <c r="A19" s="522"/>
      <c r="B19" s="151" t="s">
        <v>196</v>
      </c>
      <c r="C19" s="196">
        <v>811</v>
      </c>
      <c r="D19" s="191">
        <v>0.43578721117678665</v>
      </c>
      <c r="E19" s="192">
        <v>0.44</v>
      </c>
      <c r="F19" s="197">
        <v>0.7</v>
      </c>
      <c r="H19" s="153" t="s">
        <v>257</v>
      </c>
      <c r="J19" s="194">
        <f>((C19+C20)+J18)*E19</f>
        <v>900.72399999999993</v>
      </c>
      <c r="K19" s="195">
        <f>((C19+C20)+K18)*F19</f>
        <v>1667.4559999999999</v>
      </c>
    </row>
    <row r="20" spans="1:12" x14ac:dyDescent="0.3">
      <c r="A20" s="523"/>
      <c r="B20" s="151" t="s">
        <v>197</v>
      </c>
      <c r="C20" s="196">
        <v>1050</v>
      </c>
      <c r="D20" s="191">
        <v>0.56421278882321335</v>
      </c>
      <c r="E20" s="198">
        <v>0.56000000000000005</v>
      </c>
      <c r="F20" s="197">
        <v>0.3</v>
      </c>
      <c r="J20" s="194">
        <f>((C19+C20)+J18)*E20</f>
        <v>1146.376</v>
      </c>
      <c r="K20" s="195">
        <f>((C19+C20)+K18)*F20</f>
        <v>714.62399999999991</v>
      </c>
    </row>
    <row r="21" spans="1:12" x14ac:dyDescent="0.3">
      <c r="A21" s="518" t="s">
        <v>3</v>
      </c>
      <c r="B21" s="154" t="s">
        <v>179</v>
      </c>
      <c r="C21" s="182">
        <v>0</v>
      </c>
      <c r="D21" s="183">
        <v>0</v>
      </c>
      <c r="E21" s="200">
        <v>0</v>
      </c>
      <c r="F21" s="201">
        <v>0.17</v>
      </c>
      <c r="J21" s="186">
        <f>(C22+C23)*E21</f>
        <v>0</v>
      </c>
      <c r="K21" s="187">
        <f>(C22+C23)*F21</f>
        <v>479.74</v>
      </c>
    </row>
    <row r="22" spans="1:12" ht="43.2" x14ac:dyDescent="0.3">
      <c r="A22" s="519"/>
      <c r="B22" s="182" t="s">
        <v>196</v>
      </c>
      <c r="C22" s="188">
        <v>1945</v>
      </c>
      <c r="D22" s="183">
        <v>0.68922749822820695</v>
      </c>
      <c r="E22" s="200">
        <v>0.7</v>
      </c>
      <c r="F22" s="190">
        <v>0.8</v>
      </c>
      <c r="H22" s="153" t="s">
        <v>257</v>
      </c>
      <c r="J22" s="186">
        <f>($C$22+$C$23)*(1-E$21)*E$22</f>
        <v>1975.3999999999999</v>
      </c>
      <c r="K22" s="186">
        <f>($C$22+$C$23)*(1-F$21)*F$22</f>
        <v>1873.808</v>
      </c>
    </row>
    <row r="23" spans="1:12" x14ac:dyDescent="0.3">
      <c r="A23" s="520"/>
      <c r="B23" s="182" t="s">
        <v>197</v>
      </c>
      <c r="C23" s="188">
        <v>877</v>
      </c>
      <c r="D23" s="183">
        <v>0.31077250177179305</v>
      </c>
      <c r="E23" s="200">
        <v>0.30000000000000004</v>
      </c>
      <c r="F23" s="190">
        <v>0.2</v>
      </c>
      <c r="G23" s="153"/>
      <c r="J23" s="186">
        <f>($C$22+$C$23)*(1-E$21)*E$23</f>
        <v>846.60000000000014</v>
      </c>
      <c r="K23" s="186">
        <f>($C$22+$C$23)*(1-F$21)*F$23</f>
        <v>468.452</v>
      </c>
    </row>
    <row r="24" spans="1:12" x14ac:dyDescent="0.3">
      <c r="A24" s="521" t="s">
        <v>6</v>
      </c>
      <c r="B24" s="155" t="s">
        <v>145</v>
      </c>
      <c r="C24" s="155">
        <v>0</v>
      </c>
      <c r="D24" s="191">
        <v>0</v>
      </c>
      <c r="E24" s="202">
        <v>0</v>
      </c>
      <c r="F24" s="203">
        <v>0</v>
      </c>
      <c r="G24" s="153"/>
      <c r="J24" s="194">
        <f>(C25+C26)*E24</f>
        <v>0</v>
      </c>
      <c r="K24" s="195">
        <f>(C25+C26)*F24</f>
        <v>0</v>
      </c>
    </row>
    <row r="25" spans="1:12" ht="28.8" x14ac:dyDescent="0.3">
      <c r="A25" s="522"/>
      <c r="B25" s="151" t="s">
        <v>196</v>
      </c>
      <c r="C25" s="196">
        <v>159</v>
      </c>
      <c r="D25" s="191">
        <v>0</v>
      </c>
      <c r="E25" s="202">
        <v>0</v>
      </c>
      <c r="F25" s="203">
        <v>0</v>
      </c>
      <c r="G25" s="153"/>
      <c r="J25" s="194">
        <f>C25+C25*E25</f>
        <v>159</v>
      </c>
      <c r="K25" s="195">
        <f>C25+C25*F25</f>
        <v>159</v>
      </c>
    </row>
    <row r="26" spans="1:12" x14ac:dyDescent="0.3">
      <c r="A26" s="523"/>
      <c r="B26" s="151" t="s">
        <v>197</v>
      </c>
      <c r="C26" s="196">
        <v>564</v>
      </c>
      <c r="D26" s="191">
        <v>0</v>
      </c>
      <c r="E26" s="202">
        <v>0</v>
      </c>
      <c r="F26" s="203">
        <v>0</v>
      </c>
      <c r="G26" s="153"/>
      <c r="J26" s="194">
        <f>C26+C26*E26</f>
        <v>564</v>
      </c>
      <c r="K26" s="195">
        <f>C26+C26*F26</f>
        <v>564</v>
      </c>
    </row>
    <row r="27" spans="1:12" ht="86.4" x14ac:dyDescent="0.3">
      <c r="A27" s="524" t="s">
        <v>4</v>
      </c>
      <c r="B27" s="204" t="s">
        <v>135</v>
      </c>
      <c r="C27" s="188">
        <v>26</v>
      </c>
      <c r="D27" s="183">
        <v>0</v>
      </c>
      <c r="E27" s="205">
        <v>0.01</v>
      </c>
      <c r="F27" s="205">
        <v>0.05</v>
      </c>
      <c r="G27" s="153"/>
      <c r="J27" s="206">
        <v>20.772000000000002</v>
      </c>
      <c r="K27" s="207">
        <v>80.78</v>
      </c>
      <c r="L27" s="170" t="s">
        <v>319</v>
      </c>
    </row>
    <row r="28" spans="1:12" x14ac:dyDescent="0.3">
      <c r="A28" s="524"/>
      <c r="B28" s="204" t="s">
        <v>136</v>
      </c>
      <c r="C28" s="188">
        <v>2282</v>
      </c>
      <c r="D28" s="183">
        <v>0</v>
      </c>
      <c r="E28" s="205">
        <v>0.99</v>
      </c>
      <c r="F28" s="205">
        <v>0.95</v>
      </c>
      <c r="G28" s="153"/>
      <c r="J28" s="206">
        <v>2056.4280000000003</v>
      </c>
      <c r="K28" s="207">
        <v>1534.82</v>
      </c>
    </row>
    <row r="29" spans="1:12" ht="86.4" x14ac:dyDescent="0.3">
      <c r="A29" s="532" t="s">
        <v>7</v>
      </c>
      <c r="B29" s="208" t="s">
        <v>135</v>
      </c>
      <c r="C29" s="196">
        <v>230</v>
      </c>
      <c r="D29" s="178">
        <v>0</v>
      </c>
      <c r="E29" s="209">
        <v>0.01</v>
      </c>
      <c r="F29" s="210">
        <v>0.05</v>
      </c>
      <c r="G29" s="153"/>
      <c r="J29" s="211">
        <v>23.984999999999999</v>
      </c>
      <c r="K29" s="212">
        <v>93.274999999999991</v>
      </c>
      <c r="L29" s="170" t="s">
        <v>319</v>
      </c>
    </row>
    <row r="30" spans="1:12" x14ac:dyDescent="0.3">
      <c r="A30" s="532"/>
      <c r="B30" s="208" t="s">
        <v>136</v>
      </c>
      <c r="C30" s="196">
        <v>2435</v>
      </c>
      <c r="D30" s="178">
        <v>0</v>
      </c>
      <c r="E30" s="209">
        <v>0.99</v>
      </c>
      <c r="F30" s="210">
        <v>0.95</v>
      </c>
      <c r="G30" s="153"/>
      <c r="J30" s="211">
        <v>2374.5149999999999</v>
      </c>
      <c r="K30" s="212">
        <v>1772.2249999999997</v>
      </c>
    </row>
    <row r="31" spans="1:12" x14ac:dyDescent="0.3">
      <c r="A31" s="525" t="s">
        <v>119</v>
      </c>
      <c r="B31" s="213" t="s">
        <v>152</v>
      </c>
      <c r="C31" s="214">
        <v>0</v>
      </c>
      <c r="D31" s="215">
        <v>0</v>
      </c>
      <c r="E31" s="216">
        <f t="shared" ref="E31:F33" si="0">J31/($C$32+$C$33)</f>
        <v>-6.8127453244054489E-2</v>
      </c>
      <c r="F31" s="217">
        <f t="shared" si="0"/>
        <v>-8.1910875086585094E-2</v>
      </c>
      <c r="G31" s="153"/>
      <c r="J31" s="218">
        <f>(J24+J21+J18+J15+J12+J9)+SUM(C27:C28)*'Prov prévention'!M4+SUM(C29:C30)*'Prov prévention'!N7</f>
        <v>-1475.3</v>
      </c>
      <c r="K31" s="219">
        <f>(K24+K21+K18+K15+K12+K9)+SUM(C27:C28)*'Prov prévention'!M4+SUM(C29:C30)*'Prov prévention'!M7</f>
        <v>-1773.7800000000002</v>
      </c>
    </row>
    <row r="32" spans="1:12" x14ac:dyDescent="0.3">
      <c r="A32" s="525"/>
      <c r="B32" s="213" t="s">
        <v>135</v>
      </c>
      <c r="C32" s="220">
        <v>5255</v>
      </c>
      <c r="D32" s="215">
        <v>0</v>
      </c>
      <c r="E32" s="216">
        <f>J32/($C$32+$C$33)</f>
        <v>0.17236162549064882</v>
      </c>
      <c r="F32" s="217">
        <f t="shared" si="0"/>
        <v>0.29704922650658044</v>
      </c>
      <c r="G32" s="153"/>
      <c r="J32" s="218">
        <f>(J25+J19+J16+J13+J10+J27+J29)</f>
        <v>3732.491</v>
      </c>
      <c r="K32" s="219">
        <f>(K25+K19+K16+K13+K10+K27+K29)</f>
        <v>6432.6009999999997</v>
      </c>
    </row>
    <row r="33" spans="1:12" x14ac:dyDescent="0.3">
      <c r="A33" s="525"/>
      <c r="B33" s="213" t="s">
        <v>136</v>
      </c>
      <c r="C33" s="220">
        <v>16400</v>
      </c>
      <c r="D33" s="221">
        <v>0</v>
      </c>
      <c r="E33" s="222">
        <f t="shared" si="0"/>
        <v>0.64532482105749245</v>
      </c>
      <c r="F33" s="222">
        <f t="shared" si="0"/>
        <v>0.42130828907873463</v>
      </c>
      <c r="G33" s="153"/>
      <c r="J33" s="219">
        <f>(J26+J23+J20+J17+J14+J11+J28+J30)</f>
        <v>13974.509</v>
      </c>
      <c r="K33" s="219">
        <f>(K26+K23+K20+K17+K14+K11+K28+K30)</f>
        <v>9123.4309999999987</v>
      </c>
    </row>
    <row r="34" spans="1:12" x14ac:dyDescent="0.3">
      <c r="A34" s="223"/>
      <c r="B34" s="146"/>
      <c r="C34" s="224">
        <f>SUM(C32:C33)</f>
        <v>21655</v>
      </c>
      <c r="D34" s="225"/>
      <c r="E34" s="146"/>
      <c r="F34" s="146"/>
      <c r="G34" s="153"/>
      <c r="H34" s="146"/>
      <c r="I34" s="146"/>
      <c r="J34" s="224">
        <f>SUM(J32:J33)</f>
        <v>17707</v>
      </c>
      <c r="K34" s="224">
        <f>SUM(K32:K33)</f>
        <v>15556.031999999999</v>
      </c>
    </row>
    <row r="35" spans="1:12" x14ac:dyDescent="0.3">
      <c r="A35" s="223"/>
      <c r="B35" s="146"/>
      <c r="C35" s="146"/>
      <c r="D35" s="225"/>
      <c r="E35" s="146"/>
      <c r="F35" s="146"/>
      <c r="H35" s="146"/>
      <c r="J35" s="153"/>
      <c r="K35" s="153"/>
    </row>
    <row r="36" spans="1:12" ht="36.6" x14ac:dyDescent="0.3">
      <c r="A36" s="504" t="s">
        <v>289</v>
      </c>
      <c r="B36" s="504"/>
      <c r="C36" s="504"/>
      <c r="D36" s="504"/>
      <c r="E36" s="504"/>
      <c r="F36" s="504"/>
      <c r="G36" s="504"/>
      <c r="H36" s="504"/>
      <c r="I36" s="504"/>
      <c r="J36" s="504"/>
      <c r="K36" s="504"/>
    </row>
    <row r="37" spans="1:12" x14ac:dyDescent="0.3">
      <c r="A37" s="226" t="s">
        <v>148</v>
      </c>
      <c r="B37" s="226"/>
      <c r="C37" s="226"/>
      <c r="D37" s="227"/>
      <c r="E37" s="152"/>
      <c r="F37" s="152"/>
      <c r="J37" s="228"/>
      <c r="K37" s="229"/>
    </row>
    <row r="38" spans="1:12" x14ac:dyDescent="0.3">
      <c r="A38" s="230" t="s">
        <v>170</v>
      </c>
      <c r="B38" s="231"/>
      <c r="C38" s="231"/>
      <c r="D38" s="232"/>
      <c r="E38" s="152"/>
      <c r="F38" s="152"/>
      <c r="J38" s="233"/>
      <c r="K38" s="234"/>
    </row>
    <row r="39" spans="1:12" x14ac:dyDescent="0.3">
      <c r="A39" s="235" t="s">
        <v>171</v>
      </c>
      <c r="B39" s="236"/>
      <c r="C39" s="236"/>
      <c r="D39" s="237"/>
      <c r="E39" s="152"/>
      <c r="F39" s="152"/>
      <c r="G39" s="153"/>
      <c r="J39" s="238"/>
      <c r="K39" s="239"/>
    </row>
    <row r="40" spans="1:12" s="170" customFormat="1" x14ac:dyDescent="0.3">
      <c r="D40" s="171"/>
      <c r="E40" s="505" t="s">
        <v>282</v>
      </c>
      <c r="F40" s="506"/>
      <c r="G40" s="148" t="s">
        <v>283</v>
      </c>
      <c r="H40" s="148" t="s">
        <v>180</v>
      </c>
      <c r="I40" s="148" t="s">
        <v>285</v>
      </c>
      <c r="J40" s="507" t="s">
        <v>281</v>
      </c>
      <c r="K40" s="508"/>
    </row>
    <row r="41" spans="1:12" s="170" customFormat="1" ht="15" thickBot="1" x14ac:dyDescent="0.35">
      <c r="A41" s="169"/>
      <c r="C41" s="173">
        <v>2015</v>
      </c>
      <c r="D41" s="173" t="s">
        <v>247</v>
      </c>
      <c r="E41" s="173">
        <v>2030</v>
      </c>
      <c r="F41" s="174">
        <v>2050</v>
      </c>
      <c r="G41" s="150" t="s">
        <v>132</v>
      </c>
      <c r="H41" s="150"/>
      <c r="I41" s="150"/>
      <c r="J41" s="175">
        <v>2030</v>
      </c>
      <c r="K41" s="176">
        <v>2050</v>
      </c>
    </row>
    <row r="42" spans="1:12" ht="28.8" x14ac:dyDescent="0.3">
      <c r="A42" s="240" t="s">
        <v>143</v>
      </c>
      <c r="B42" s="157" t="s">
        <v>204</v>
      </c>
      <c r="C42" s="241">
        <v>5145</v>
      </c>
      <c r="D42" s="178">
        <v>0</v>
      </c>
      <c r="E42" s="242">
        <v>1</v>
      </c>
      <c r="F42" s="243">
        <v>1</v>
      </c>
      <c r="G42" s="152" t="s">
        <v>128</v>
      </c>
      <c r="J42" s="244">
        <f>(J32-J10)*E42</f>
        <v>3115.7660000000001</v>
      </c>
      <c r="K42" s="245">
        <f>(K32-K10)*F42</f>
        <v>5445.8409999999994</v>
      </c>
    </row>
    <row r="43" spans="1:12" ht="57.6" x14ac:dyDescent="0.3">
      <c r="A43" s="246" t="s">
        <v>115</v>
      </c>
      <c r="B43" s="247">
        <v>0.6</v>
      </c>
      <c r="C43" s="248">
        <v>3087</v>
      </c>
      <c r="D43" s="178">
        <v>0.6</v>
      </c>
      <c r="E43" s="249">
        <v>0.7</v>
      </c>
      <c r="F43" s="249">
        <v>0.8</v>
      </c>
      <c r="G43" s="152" t="s">
        <v>133</v>
      </c>
      <c r="J43" s="250">
        <f>J42*E43</f>
        <v>2181.0362</v>
      </c>
      <c r="K43" s="251">
        <f>K42*F43</f>
        <v>4356.6727999999994</v>
      </c>
    </row>
    <row r="44" spans="1:12" x14ac:dyDescent="0.3">
      <c r="A44" s="246" t="s">
        <v>118</v>
      </c>
      <c r="B44" s="247">
        <v>0</v>
      </c>
      <c r="C44" s="248">
        <v>0</v>
      </c>
      <c r="D44" s="178">
        <v>0</v>
      </c>
      <c r="E44" s="252">
        <v>0</v>
      </c>
      <c r="F44" s="253">
        <v>0</v>
      </c>
      <c r="J44" s="250">
        <f>J42*E44</f>
        <v>0</v>
      </c>
      <c r="K44" s="251">
        <f>K42*F44</f>
        <v>0</v>
      </c>
    </row>
    <row r="45" spans="1:12" x14ac:dyDescent="0.3">
      <c r="A45" s="254" t="s">
        <v>155</v>
      </c>
      <c r="B45" s="255" t="s">
        <v>165</v>
      </c>
      <c r="C45" s="256">
        <f>C42*(0.09+0.185)</f>
        <v>1414.8750000000002</v>
      </c>
      <c r="D45" s="178">
        <v>0</v>
      </c>
      <c r="E45" s="257">
        <v>0.3</v>
      </c>
      <c r="F45" s="258">
        <v>0.2</v>
      </c>
      <c r="G45" s="156" t="s">
        <v>181</v>
      </c>
      <c r="J45" s="259">
        <f>J42*E45</f>
        <v>934.72979999999995</v>
      </c>
      <c r="K45" s="260">
        <f>K42*F45</f>
        <v>1089.1681999999998</v>
      </c>
    </row>
    <row r="46" spans="1:12" ht="43.2" x14ac:dyDescent="0.3">
      <c r="A46" s="157" t="s">
        <v>106</v>
      </c>
      <c r="B46" s="157" t="s">
        <v>275</v>
      </c>
      <c r="C46" s="241">
        <v>767.35</v>
      </c>
      <c r="D46" s="178">
        <v>0.13997628602699744</v>
      </c>
      <c r="E46" s="261">
        <v>0.6</v>
      </c>
      <c r="F46" s="261">
        <v>0.6</v>
      </c>
      <c r="J46" s="244">
        <f>J10*E46</f>
        <v>370.03500000000003</v>
      </c>
      <c r="K46" s="245">
        <f>K10*F46</f>
        <v>592.05599999999993</v>
      </c>
      <c r="L46" s="170" t="s">
        <v>325</v>
      </c>
    </row>
    <row r="47" spans="1:12" x14ac:dyDescent="0.3">
      <c r="A47" s="246" t="s">
        <v>159</v>
      </c>
      <c r="B47" s="247">
        <v>0.34</v>
      </c>
      <c r="C47" s="248">
        <v>260.899</v>
      </c>
      <c r="D47" s="178">
        <v>0.34</v>
      </c>
      <c r="E47" s="262">
        <v>0.4</v>
      </c>
      <c r="F47" s="262">
        <v>0.4</v>
      </c>
      <c r="J47" s="250">
        <f>J46*E47</f>
        <v>148.01400000000001</v>
      </c>
      <c r="K47" s="251">
        <f>K46*F47</f>
        <v>236.82239999999999</v>
      </c>
    </row>
    <row r="48" spans="1:12" ht="28.8" x14ac:dyDescent="0.3">
      <c r="A48" s="263" t="s">
        <v>166</v>
      </c>
      <c r="B48" s="255" t="s">
        <v>276</v>
      </c>
      <c r="C48" s="256">
        <v>91.22475</v>
      </c>
      <c r="D48" s="178">
        <v>8.5000000000000006E-2</v>
      </c>
      <c r="E48" s="264">
        <v>-0.6</v>
      </c>
      <c r="F48" s="264">
        <v>-0.6</v>
      </c>
      <c r="H48" s="471" t="s">
        <v>330</v>
      </c>
      <c r="J48" s="259">
        <f>(D48+(D48*E48))*J46</f>
        <v>12.581190000000001</v>
      </c>
      <c r="K48" s="260">
        <f>(D48+(D48*F48))*K46</f>
        <v>20.129904</v>
      </c>
    </row>
    <row r="49" spans="1:12" ht="43.2" x14ac:dyDescent="0.3">
      <c r="A49" s="157" t="s">
        <v>131</v>
      </c>
      <c r="B49" s="157" t="s">
        <v>277</v>
      </c>
      <c r="C49" s="241">
        <v>126</v>
      </c>
      <c r="D49" s="178">
        <v>2.2984312294782927E-2</v>
      </c>
      <c r="E49" s="261">
        <v>0.4</v>
      </c>
      <c r="F49" s="261">
        <v>0.4</v>
      </c>
      <c r="J49" s="244">
        <f>J10*E49</f>
        <v>246.69000000000003</v>
      </c>
      <c r="K49" s="245">
        <f>K10*F49</f>
        <v>394.70399999999995</v>
      </c>
      <c r="L49" s="170" t="s">
        <v>325</v>
      </c>
    </row>
    <row r="50" spans="1:12" x14ac:dyDescent="0.3">
      <c r="A50" s="246" t="s">
        <v>159</v>
      </c>
      <c r="B50" s="247">
        <v>0.215</v>
      </c>
      <c r="C50" s="248">
        <v>27.72</v>
      </c>
      <c r="D50" s="178">
        <v>0.22</v>
      </c>
      <c r="E50" s="249">
        <v>0.4</v>
      </c>
      <c r="F50" s="249">
        <v>0.4</v>
      </c>
      <c r="J50" s="250">
        <f>J49*E50</f>
        <v>98.676000000000016</v>
      </c>
      <c r="K50" s="251">
        <f>K49*F50</f>
        <v>157.88159999999999</v>
      </c>
    </row>
    <row r="51" spans="1:12" x14ac:dyDescent="0.3">
      <c r="A51" s="240" t="s">
        <v>149</v>
      </c>
      <c r="B51" s="533" t="s">
        <v>158</v>
      </c>
      <c r="C51" s="241">
        <v>1037</v>
      </c>
      <c r="D51" s="178">
        <v>0.46398210290827741</v>
      </c>
      <c r="E51" s="261">
        <v>0.05</v>
      </c>
      <c r="F51" s="261">
        <v>0.05</v>
      </c>
      <c r="G51" s="152" t="s">
        <v>132</v>
      </c>
      <c r="J51" s="244">
        <f>E51*J33*D51</f>
        <v>324.19610364653244</v>
      </c>
      <c r="K51" s="245">
        <f>F51*K33*D51</f>
        <v>211.65543505592839</v>
      </c>
      <c r="L51" s="170" t="s">
        <v>325</v>
      </c>
    </row>
    <row r="52" spans="1:12" x14ac:dyDescent="0.3">
      <c r="A52" s="240" t="s">
        <v>150</v>
      </c>
      <c r="B52" s="534"/>
      <c r="C52" s="241">
        <v>651</v>
      </c>
      <c r="D52" s="178">
        <v>0.29127516778523488</v>
      </c>
      <c r="E52" s="261">
        <v>0.05</v>
      </c>
      <c r="F52" s="261">
        <v>0.05</v>
      </c>
      <c r="G52" s="152" t="s">
        <v>132</v>
      </c>
      <c r="J52" s="244">
        <f>E52*J33*D52</f>
        <v>203.52137268456374</v>
      </c>
      <c r="K52" s="245">
        <f>F52*K33*D52</f>
        <v>132.87144476510065</v>
      </c>
      <c r="L52" s="170" t="s">
        <v>325</v>
      </c>
    </row>
    <row r="53" spans="1:12" x14ac:dyDescent="0.3">
      <c r="A53" s="240" t="s">
        <v>151</v>
      </c>
      <c r="B53" s="535"/>
      <c r="C53" s="241">
        <v>547</v>
      </c>
      <c r="D53" s="178">
        <v>0.24474272930648769</v>
      </c>
      <c r="E53" s="261">
        <v>0.05</v>
      </c>
      <c r="F53" s="261">
        <v>0.05</v>
      </c>
      <c r="G53" s="152" t="s">
        <v>190</v>
      </c>
      <c r="J53" s="244">
        <f>E53*J33*D53</f>
        <v>171.00797366890382</v>
      </c>
      <c r="K53" s="245">
        <f>F53*K33*D53</f>
        <v>111.64467017897091</v>
      </c>
    </row>
    <row r="54" spans="1:12" ht="28.8" x14ac:dyDescent="0.3">
      <c r="A54" s="246" t="s">
        <v>159</v>
      </c>
      <c r="B54" s="247" t="s">
        <v>160</v>
      </c>
      <c r="C54" s="248">
        <v>380</v>
      </c>
      <c r="D54" s="178">
        <v>0.22</v>
      </c>
      <c r="E54" s="249">
        <v>0.22</v>
      </c>
      <c r="F54" s="249">
        <v>0.22</v>
      </c>
      <c r="J54" s="250">
        <f>E54*SUM(J51:J52)</f>
        <v>116.09784479284114</v>
      </c>
      <c r="K54" s="251">
        <f>F54*SUM(K51:K52)</f>
        <v>75.795913560626403</v>
      </c>
    </row>
    <row r="55" spans="1:12" x14ac:dyDescent="0.3">
      <c r="A55" s="246" t="s">
        <v>118</v>
      </c>
      <c r="B55" s="247">
        <v>0</v>
      </c>
      <c r="C55" s="248">
        <v>0</v>
      </c>
      <c r="D55" s="178">
        <v>0</v>
      </c>
      <c r="E55" s="252">
        <v>0</v>
      </c>
      <c r="F55" s="253">
        <v>0</v>
      </c>
      <c r="J55" s="250">
        <f>J53*E55</f>
        <v>0</v>
      </c>
      <c r="K55" s="251">
        <f>K53*F55</f>
        <v>0</v>
      </c>
    </row>
    <row r="56" spans="1:12" x14ac:dyDescent="0.3">
      <c r="A56" s="254" t="s">
        <v>156</v>
      </c>
      <c r="B56" s="263" t="s">
        <v>161</v>
      </c>
      <c r="C56" s="256">
        <v>1200</v>
      </c>
      <c r="D56" s="178">
        <v>0.21</v>
      </c>
      <c r="E56" s="257">
        <v>0.21</v>
      </c>
      <c r="F56" s="264">
        <v>0.21</v>
      </c>
      <c r="H56" s="470" t="s">
        <v>330</v>
      </c>
      <c r="J56" s="259">
        <f>E56*SUM(J51:J53)</f>
        <v>146.73234449999998</v>
      </c>
      <c r="K56" s="260">
        <f>F56*SUM(K51:K53)</f>
        <v>95.796025499999985</v>
      </c>
    </row>
    <row r="57" spans="1:12" ht="28.8" x14ac:dyDescent="0.3">
      <c r="A57" s="240" t="s">
        <v>23</v>
      </c>
      <c r="B57" s="157" t="s">
        <v>153</v>
      </c>
      <c r="C57" s="241">
        <f>0.62*C33</f>
        <v>10168</v>
      </c>
      <c r="D57" s="178">
        <v>0.62</v>
      </c>
      <c r="E57" s="265">
        <v>0.75</v>
      </c>
      <c r="F57" s="266">
        <v>0.85</v>
      </c>
      <c r="G57" s="152" t="s">
        <v>195</v>
      </c>
      <c r="J57" s="244">
        <f>J33*E57</f>
        <v>10480.88175</v>
      </c>
      <c r="K57" s="245">
        <f>K33*F57</f>
        <v>7754.9163499999986</v>
      </c>
      <c r="L57" s="170" t="s">
        <v>325</v>
      </c>
    </row>
    <row r="58" spans="1:12" ht="14.55" customHeight="1" x14ac:dyDescent="0.3">
      <c r="A58" s="526" t="s">
        <v>162</v>
      </c>
      <c r="B58" s="157" t="s">
        <v>210</v>
      </c>
      <c r="C58" s="241">
        <f>C42*0.09</f>
        <v>463.04999999999995</v>
      </c>
      <c r="D58" s="178">
        <v>0.33333333333333331</v>
      </c>
      <c r="E58" s="267">
        <v>0.33333333333333331</v>
      </c>
      <c r="F58" s="268">
        <v>0.33333333333333331</v>
      </c>
      <c r="H58" s="476">
        <f>9%*C42</f>
        <v>463.04999999999995</v>
      </c>
      <c r="J58" s="244">
        <f>J45*E58</f>
        <v>311.57659999999998</v>
      </c>
      <c r="K58" s="245">
        <f>K45*F58</f>
        <v>363.0560666666666</v>
      </c>
    </row>
    <row r="59" spans="1:12" x14ac:dyDescent="0.3">
      <c r="A59" s="527"/>
      <c r="B59" s="157" t="s">
        <v>163</v>
      </c>
      <c r="C59" s="241">
        <v>30.694000000000003</v>
      </c>
      <c r="D59" s="178">
        <v>0.45</v>
      </c>
      <c r="E59" s="267">
        <v>1.8700000000000001E-2</v>
      </c>
      <c r="F59" s="268">
        <v>1.8700000000000001E-2</v>
      </c>
      <c r="H59" s="477">
        <f>4%*(C47+C50+C54)</f>
        <v>26.744760000000003</v>
      </c>
      <c r="J59" s="244">
        <f>J46*E59</f>
        <v>6.9196545000000009</v>
      </c>
      <c r="K59" s="245">
        <f>K46*F59</f>
        <v>11.0714472</v>
      </c>
    </row>
    <row r="60" spans="1:12" x14ac:dyDescent="0.3">
      <c r="A60" s="528"/>
      <c r="B60" s="157" t="s">
        <v>164</v>
      </c>
      <c r="C60" s="241">
        <v>573</v>
      </c>
      <c r="D60" s="178">
        <v>0.45</v>
      </c>
      <c r="E60" s="267">
        <v>0.45</v>
      </c>
      <c r="F60" s="268">
        <v>0.45</v>
      </c>
      <c r="H60" s="477">
        <f>21%*SUM(C51:C53)</f>
        <v>469.34999999999997</v>
      </c>
      <c r="J60" s="244">
        <f>J56*E60</f>
        <v>66.029555024999993</v>
      </c>
      <c r="K60" s="245">
        <f>K56*F60</f>
        <v>43.108211474999997</v>
      </c>
    </row>
    <row r="61" spans="1:12" x14ac:dyDescent="0.3">
      <c r="A61" s="246" t="s">
        <v>115</v>
      </c>
      <c r="B61" s="269">
        <v>0.20599999999999999</v>
      </c>
      <c r="C61" s="248">
        <f>0.206*SUM(C57:C60)</f>
        <v>2314.3572639999998</v>
      </c>
      <c r="D61" s="178">
        <v>0</v>
      </c>
      <c r="E61" s="252">
        <v>0.21</v>
      </c>
      <c r="F61" s="249">
        <v>0.21</v>
      </c>
      <c r="H61" s="478"/>
      <c r="J61" s="250">
        <f>SUM(J57:J60)*E61</f>
        <v>2281.7355875002499</v>
      </c>
      <c r="K61" s="251">
        <f>SUM(K57:K60)*F61</f>
        <v>1716.1519358217497</v>
      </c>
    </row>
    <row r="62" spans="1:12" x14ac:dyDescent="0.3">
      <c r="A62" s="246" t="s">
        <v>30</v>
      </c>
      <c r="B62" s="270" t="s">
        <v>200</v>
      </c>
      <c r="C62" s="248">
        <f>SUM(C57:C60)-C68</f>
        <v>11157.028345599998</v>
      </c>
      <c r="D62" s="178">
        <v>0</v>
      </c>
      <c r="E62" s="252">
        <v>0.99239999999999995</v>
      </c>
      <c r="F62" s="253">
        <v>0.99239999999999995</v>
      </c>
      <c r="H62" s="478"/>
      <c r="J62" s="250">
        <f>SUM(J57:J60)*E62</f>
        <v>10782.830462072608</v>
      </c>
      <c r="K62" s="251">
        <f>SUM(K57:K60)*F62</f>
        <v>8110.0437195690683</v>
      </c>
    </row>
    <row r="63" spans="1:12" x14ac:dyDescent="0.3">
      <c r="A63" s="254" t="s">
        <v>157</v>
      </c>
      <c r="B63" s="271">
        <v>7.6E-3</v>
      </c>
      <c r="C63" s="256">
        <v>77.715654399999991</v>
      </c>
      <c r="D63" s="178">
        <v>0</v>
      </c>
      <c r="E63" s="257">
        <v>7.6E-3</v>
      </c>
      <c r="F63" s="264">
        <v>7.6E-3</v>
      </c>
      <c r="H63" s="479" t="s">
        <v>330</v>
      </c>
      <c r="J63" s="259">
        <f>SUM(J57:J60)*E63</f>
        <v>82.577097452389992</v>
      </c>
      <c r="K63" s="260">
        <f>SUM(K57:K60)*F63</f>
        <v>62.108355772596653</v>
      </c>
    </row>
    <row r="64" spans="1:12" ht="28.8" x14ac:dyDescent="0.3">
      <c r="A64" s="240" t="s">
        <v>25</v>
      </c>
      <c r="B64" s="272" t="s">
        <v>154</v>
      </c>
      <c r="C64" s="241">
        <v>4756</v>
      </c>
      <c r="D64" s="178">
        <v>0</v>
      </c>
      <c r="E64" s="267">
        <v>0.2</v>
      </c>
      <c r="F64" s="261">
        <v>0.15</v>
      </c>
      <c r="G64" s="152" t="s">
        <v>183</v>
      </c>
      <c r="H64" s="478"/>
      <c r="J64" s="244">
        <f>J33*E64</f>
        <v>2794.9018000000001</v>
      </c>
      <c r="K64" s="245">
        <f>K33*F64</f>
        <v>1368.5146499999998</v>
      </c>
      <c r="L64" s="170" t="s">
        <v>325</v>
      </c>
    </row>
    <row r="65" spans="1:14" ht="14.55" customHeight="1" x14ac:dyDescent="0.3">
      <c r="A65" s="464" t="s">
        <v>168</v>
      </c>
      <c r="B65" s="272">
        <v>0.185</v>
      </c>
      <c r="C65" s="241">
        <v>951.82499999999993</v>
      </c>
      <c r="D65" s="178">
        <v>0.66666666666666663</v>
      </c>
      <c r="E65" s="267">
        <v>0.66666666666666663</v>
      </c>
      <c r="F65" s="268">
        <v>0.66666666666666663</v>
      </c>
      <c r="H65" s="466">
        <f>B65*C42</f>
        <v>951.82499999999993</v>
      </c>
      <c r="J65" s="244">
        <f>J45*E65</f>
        <v>623.15319999999997</v>
      </c>
      <c r="K65" s="245">
        <f>K45*F65</f>
        <v>726.11213333333319</v>
      </c>
      <c r="L65" s="170" t="s">
        <v>325</v>
      </c>
    </row>
    <row r="66" spans="1:14" x14ac:dyDescent="0.3">
      <c r="A66" s="464" t="s">
        <v>272</v>
      </c>
      <c r="B66" s="272">
        <v>4.4999999999999998E-2</v>
      </c>
      <c r="C66" s="241">
        <v>60.530749999999998</v>
      </c>
      <c r="D66" s="178">
        <v>0.55000000000000004</v>
      </c>
      <c r="E66" s="267">
        <v>1.8700000000000001E-2</v>
      </c>
      <c r="F66" s="268">
        <v>1.8700000000000001E-2</v>
      </c>
      <c r="G66" s="152" t="s">
        <v>182</v>
      </c>
      <c r="H66" s="477"/>
      <c r="J66" s="244">
        <f>J46*E66</f>
        <v>6.9196545000000009</v>
      </c>
      <c r="K66" s="245">
        <f>K46*F66</f>
        <v>11.0714472</v>
      </c>
      <c r="L66" s="170" t="s">
        <v>325</v>
      </c>
    </row>
    <row r="67" spans="1:14" x14ac:dyDescent="0.3">
      <c r="A67" s="464" t="s">
        <v>167</v>
      </c>
      <c r="B67" s="272">
        <v>0</v>
      </c>
      <c r="C67" s="241">
        <v>627</v>
      </c>
      <c r="D67" s="178">
        <v>0.55000000000000004</v>
      </c>
      <c r="E67" s="267">
        <v>0.55000000000000004</v>
      </c>
      <c r="F67" s="268">
        <v>0.55000000000000004</v>
      </c>
      <c r="H67" s="477">
        <f>23.8%*SUM(C51:C53)</f>
        <v>531.93000000000006</v>
      </c>
      <c r="J67" s="244">
        <f>J56*E67</f>
        <v>80.702789475000003</v>
      </c>
      <c r="K67" s="245">
        <f>K56*F67</f>
        <v>52.687814024999994</v>
      </c>
      <c r="L67" s="170" t="s">
        <v>325</v>
      </c>
    </row>
    <row r="68" spans="1:14" ht="15" thickBot="1" x14ac:dyDescent="0.35">
      <c r="A68" s="465" t="s">
        <v>169</v>
      </c>
      <c r="B68" s="272">
        <v>7.6E-3</v>
      </c>
      <c r="C68" s="241">
        <v>77.715654399999991</v>
      </c>
      <c r="D68" s="178">
        <v>0</v>
      </c>
      <c r="E68" s="273">
        <v>7.6E-3</v>
      </c>
      <c r="F68" s="274">
        <v>7.6E-3</v>
      </c>
      <c r="H68" s="466">
        <f>B68*C57</f>
        <v>77.276799999999994</v>
      </c>
      <c r="J68" s="244">
        <f>J63</f>
        <v>82.577097452389992</v>
      </c>
      <c r="K68" s="245">
        <f>K63</f>
        <v>62.108355772596653</v>
      </c>
      <c r="L68" s="170" t="s">
        <v>325</v>
      </c>
    </row>
    <row r="69" spans="1:14" ht="28.8" x14ac:dyDescent="0.3">
      <c r="A69" s="246" t="s">
        <v>191</v>
      </c>
      <c r="B69" s="269" t="s">
        <v>193</v>
      </c>
      <c r="C69" s="248">
        <v>0</v>
      </c>
      <c r="D69" s="178">
        <v>0</v>
      </c>
      <c r="E69" s="179">
        <v>0</v>
      </c>
      <c r="F69" s="275">
        <v>0</v>
      </c>
      <c r="G69" s="152" t="s">
        <v>194</v>
      </c>
      <c r="J69" s="153"/>
      <c r="K69" s="153"/>
    </row>
    <row r="70" spans="1:14" x14ac:dyDescent="0.3">
      <c r="A70" s="246" t="s">
        <v>192</v>
      </c>
      <c r="B70" s="269">
        <v>0</v>
      </c>
      <c r="C70" s="248">
        <v>0</v>
      </c>
      <c r="D70" s="178">
        <v>0</v>
      </c>
      <c r="E70" s="179">
        <v>0</v>
      </c>
      <c r="F70" s="275">
        <v>0</v>
      </c>
      <c r="J70" s="153"/>
      <c r="K70" s="153"/>
    </row>
    <row r="71" spans="1:14" x14ac:dyDescent="0.3">
      <c r="A71" s="151" t="s">
        <v>28</v>
      </c>
      <c r="B71" s="151">
        <v>0</v>
      </c>
      <c r="C71" s="276">
        <v>0</v>
      </c>
      <c r="D71" s="191">
        <v>0</v>
      </c>
      <c r="E71" s="277">
        <v>0</v>
      </c>
      <c r="F71" s="278">
        <v>0</v>
      </c>
      <c r="J71" s="153"/>
      <c r="K71" s="153"/>
    </row>
    <row r="72" spans="1:14" x14ac:dyDescent="0.3">
      <c r="A72" s="151" t="s">
        <v>112</v>
      </c>
      <c r="B72" s="151">
        <v>0</v>
      </c>
      <c r="C72" s="276">
        <v>0</v>
      </c>
      <c r="D72" s="191">
        <v>0</v>
      </c>
      <c r="E72" s="277">
        <v>0</v>
      </c>
      <c r="F72" s="278">
        <v>0</v>
      </c>
      <c r="J72" s="153"/>
      <c r="K72" s="153"/>
    </row>
    <row r="73" spans="1:14" x14ac:dyDescent="0.3">
      <c r="A73" s="146"/>
      <c r="B73" s="146"/>
      <c r="C73" s="146"/>
      <c r="D73" s="153"/>
      <c r="G73" s="153"/>
      <c r="J73" s="153"/>
      <c r="K73" s="153"/>
    </row>
    <row r="74" spans="1:14" x14ac:dyDescent="0.3">
      <c r="A74" s="146"/>
      <c r="B74" s="146"/>
      <c r="C74" s="146"/>
      <c r="D74" s="153"/>
      <c r="G74" s="153"/>
      <c r="J74" s="153"/>
      <c r="K74" s="153"/>
    </row>
    <row r="75" spans="1:14" ht="36.6" x14ac:dyDescent="0.3">
      <c r="A75" s="511" t="s">
        <v>286</v>
      </c>
      <c r="B75" s="511"/>
      <c r="C75" s="511"/>
      <c r="D75" s="511"/>
      <c r="E75" s="511"/>
      <c r="F75" s="511"/>
      <c r="G75" s="511"/>
      <c r="H75" s="511"/>
      <c r="I75" s="511"/>
      <c r="J75" s="511"/>
      <c r="K75" s="511"/>
    </row>
    <row r="76" spans="1:14" ht="36.6" x14ac:dyDescent="0.3">
      <c r="A76" s="504" t="s">
        <v>288</v>
      </c>
      <c r="B76" s="504"/>
      <c r="C76" s="504"/>
      <c r="D76" s="504"/>
      <c r="E76" s="504"/>
      <c r="F76" s="504"/>
      <c r="G76" s="504"/>
      <c r="H76" s="504"/>
      <c r="I76" s="504"/>
      <c r="J76" s="504"/>
      <c r="K76" s="504"/>
    </row>
    <row r="77" spans="1:14" x14ac:dyDescent="0.3">
      <c r="D77" s="152"/>
      <c r="E77" s="152"/>
      <c r="F77" s="152"/>
      <c r="H77" s="152"/>
      <c r="I77" s="152"/>
      <c r="L77" s="440"/>
      <c r="M77" s="152"/>
      <c r="N77" s="152"/>
    </row>
    <row r="78" spans="1:14" s="170" customFormat="1" x14ac:dyDescent="0.3">
      <c r="A78" s="169"/>
      <c r="D78" s="440"/>
      <c r="E78" s="505" t="s">
        <v>282</v>
      </c>
      <c r="F78" s="506"/>
      <c r="G78" s="148" t="s">
        <v>283</v>
      </c>
      <c r="H78" s="148" t="s">
        <v>180</v>
      </c>
      <c r="I78" s="148" t="s">
        <v>285</v>
      </c>
      <c r="J78" s="507" t="s">
        <v>281</v>
      </c>
      <c r="K78" s="508"/>
      <c r="L78" s="440"/>
      <c r="M78" s="440"/>
      <c r="N78" s="440"/>
    </row>
    <row r="79" spans="1:14" s="170" customFormat="1" ht="18" x14ac:dyDescent="0.3">
      <c r="A79" s="172"/>
      <c r="C79" s="173">
        <v>2015</v>
      </c>
      <c r="D79" s="173" t="s">
        <v>247</v>
      </c>
      <c r="E79" s="173">
        <v>2030</v>
      </c>
      <c r="F79" s="174">
        <v>2050</v>
      </c>
      <c r="G79" s="150"/>
      <c r="H79" s="150"/>
      <c r="I79" s="150"/>
      <c r="J79" s="175">
        <v>2030</v>
      </c>
      <c r="K79" s="176">
        <v>2050</v>
      </c>
    </row>
    <row r="80" spans="1:14" ht="28.8" x14ac:dyDescent="0.3">
      <c r="A80" s="151" t="s">
        <v>144</v>
      </c>
      <c r="B80" s="151"/>
      <c r="C80" s="177">
        <v>1</v>
      </c>
      <c r="D80" s="178"/>
      <c r="E80" s="283">
        <v>-0.1</v>
      </c>
      <c r="F80" s="284">
        <v>-0.3</v>
      </c>
      <c r="G80" s="158" t="s">
        <v>318</v>
      </c>
      <c r="J80" s="285">
        <f>C92+(C92*E80)</f>
        <v>12844.8</v>
      </c>
      <c r="K80" s="181">
        <f>C92+(C92*F80)</f>
        <v>9990.4000000000015</v>
      </c>
    </row>
    <row r="81" spans="1:11" x14ac:dyDescent="0.3">
      <c r="A81" s="286" t="s">
        <v>54</v>
      </c>
      <c r="B81" s="287">
        <v>0</v>
      </c>
      <c r="C81" s="196">
        <v>4241</v>
      </c>
      <c r="D81" s="191">
        <v>0.29715526905829598</v>
      </c>
      <c r="E81" s="288">
        <v>0.3</v>
      </c>
      <c r="F81" s="288">
        <v>0.3</v>
      </c>
      <c r="J81" s="194">
        <f>J80*E81</f>
        <v>3853.4399999999996</v>
      </c>
      <c r="K81" s="195">
        <f>K80*F81</f>
        <v>2997.1200000000003</v>
      </c>
    </row>
    <row r="82" spans="1:11" x14ac:dyDescent="0.3">
      <c r="A82" s="286" t="s">
        <v>55</v>
      </c>
      <c r="B82" s="287">
        <v>0</v>
      </c>
      <c r="C82" s="196">
        <v>3280</v>
      </c>
      <c r="D82" s="191">
        <v>0.22982062780269058</v>
      </c>
      <c r="E82" s="192">
        <v>0.23</v>
      </c>
      <c r="F82" s="289">
        <v>0.23</v>
      </c>
      <c r="J82" s="194">
        <f>J80*E82</f>
        <v>2954.3040000000001</v>
      </c>
      <c r="K82" s="195">
        <f>K80*F82</f>
        <v>2297.7920000000004</v>
      </c>
    </row>
    <row r="83" spans="1:11" x14ac:dyDescent="0.3">
      <c r="A83" s="286" t="s">
        <v>56</v>
      </c>
      <c r="B83" s="287">
        <v>0</v>
      </c>
      <c r="C83" s="196">
        <v>3631</v>
      </c>
      <c r="D83" s="191">
        <v>0.25441423766816146</v>
      </c>
      <c r="E83" s="198">
        <v>0.25441423766816146</v>
      </c>
      <c r="F83" s="290">
        <v>0.25441423766816146</v>
      </c>
      <c r="J83" s="194">
        <f>J80*E83</f>
        <v>3267.9</v>
      </c>
      <c r="K83" s="195">
        <f>K80*F83</f>
        <v>2541.7000000000007</v>
      </c>
    </row>
    <row r="84" spans="1:11" x14ac:dyDescent="0.3">
      <c r="A84" s="286" t="s">
        <v>57</v>
      </c>
      <c r="B84" s="291">
        <v>0</v>
      </c>
      <c r="C84" s="196">
        <v>1197</v>
      </c>
      <c r="D84" s="191">
        <v>8.387051569506726E-2</v>
      </c>
      <c r="E84" s="202">
        <v>8.387051569506726E-2</v>
      </c>
      <c r="F84" s="203">
        <v>8.387051569506726E-2</v>
      </c>
      <c r="J84" s="194">
        <f>J80*E84</f>
        <v>1077.3</v>
      </c>
      <c r="K84" s="195">
        <f>K80*F84</f>
        <v>837.90000000000009</v>
      </c>
    </row>
    <row r="85" spans="1:11" x14ac:dyDescent="0.3">
      <c r="A85" s="151" t="s">
        <v>58</v>
      </c>
      <c r="B85" s="291">
        <v>0</v>
      </c>
      <c r="C85" s="292">
        <v>539</v>
      </c>
      <c r="D85" s="191">
        <v>3.7766255605381167E-2</v>
      </c>
      <c r="E85" s="202">
        <v>3.7766255605381167E-2</v>
      </c>
      <c r="F85" s="203">
        <v>3.7766255605381167E-2</v>
      </c>
      <c r="J85" s="194">
        <f>J80*E85</f>
        <v>485.09999999999997</v>
      </c>
      <c r="K85" s="195">
        <f>K80*F85</f>
        <v>377.30000000000007</v>
      </c>
    </row>
    <row r="86" spans="1:11" x14ac:dyDescent="0.3">
      <c r="A86" s="151" t="s">
        <v>59</v>
      </c>
      <c r="B86" s="291">
        <v>0</v>
      </c>
      <c r="C86" s="292">
        <v>431</v>
      </c>
      <c r="D86" s="191">
        <v>3.0198991031390135E-2</v>
      </c>
      <c r="E86" s="202">
        <v>3.0198991031390135E-2</v>
      </c>
      <c r="F86" s="203">
        <v>3.0198991031390135E-2</v>
      </c>
      <c r="J86" s="194">
        <f>J80*E86</f>
        <v>387.9</v>
      </c>
      <c r="K86" s="195">
        <f>K80*F86</f>
        <v>301.70000000000005</v>
      </c>
    </row>
    <row r="87" spans="1:11" x14ac:dyDescent="0.3">
      <c r="A87" s="151" t="s">
        <v>60</v>
      </c>
      <c r="B87" s="291">
        <v>0</v>
      </c>
      <c r="C87" s="292">
        <v>361</v>
      </c>
      <c r="D87" s="191">
        <v>2.5294282511210762E-2</v>
      </c>
      <c r="E87" s="202">
        <v>2.5294282511210762E-2</v>
      </c>
      <c r="F87" s="203">
        <v>2.5294282511210762E-2</v>
      </c>
      <c r="J87" s="194">
        <f>J80*E87</f>
        <v>324.89999999999998</v>
      </c>
      <c r="K87" s="195">
        <f>K80*F87</f>
        <v>252.70000000000005</v>
      </c>
    </row>
    <row r="88" spans="1:11" x14ac:dyDescent="0.3">
      <c r="A88" s="151" t="s">
        <v>61</v>
      </c>
      <c r="B88" s="291">
        <v>0</v>
      </c>
      <c r="C88" s="292">
        <v>342</v>
      </c>
      <c r="D88" s="191">
        <v>2.3963004484304933E-2</v>
      </c>
      <c r="E88" s="202">
        <v>2.3963004484304933E-2</v>
      </c>
      <c r="F88" s="203">
        <v>2.3963004484304933E-2</v>
      </c>
      <c r="J88" s="194">
        <f>J80*E88</f>
        <v>307.79999999999995</v>
      </c>
      <c r="K88" s="195">
        <f>K80*F88</f>
        <v>239.40000000000003</v>
      </c>
    </row>
    <row r="89" spans="1:11" x14ac:dyDescent="0.3">
      <c r="A89" s="151" t="s">
        <v>62</v>
      </c>
      <c r="B89" s="291">
        <v>0</v>
      </c>
      <c r="C89" s="292">
        <v>119</v>
      </c>
      <c r="D89" s="191">
        <v>8.3380044843049325E-3</v>
      </c>
      <c r="E89" s="202">
        <v>8.3380044843049325E-3</v>
      </c>
      <c r="F89" s="203">
        <v>8.3380044843049325E-3</v>
      </c>
      <c r="J89" s="194">
        <f>J80*E89</f>
        <v>107.1</v>
      </c>
      <c r="K89" s="195">
        <f>K80*F89</f>
        <v>83.300000000000011</v>
      </c>
    </row>
    <row r="90" spans="1:11" x14ac:dyDescent="0.3">
      <c r="A90" s="151" t="s">
        <v>63</v>
      </c>
      <c r="B90" s="291">
        <v>0</v>
      </c>
      <c r="C90" s="292">
        <v>14</v>
      </c>
      <c r="D90" s="191">
        <v>9.8094170403587445E-4</v>
      </c>
      <c r="E90" s="202">
        <v>9.8094170403587445E-4</v>
      </c>
      <c r="F90" s="203">
        <v>9.8094170403587445E-4</v>
      </c>
      <c r="J90" s="194">
        <f>J80*E90</f>
        <v>12.6</v>
      </c>
      <c r="K90" s="195">
        <f>K80*F90</f>
        <v>9.8000000000000007</v>
      </c>
    </row>
    <row r="91" spans="1:11" x14ac:dyDescent="0.3">
      <c r="A91" s="151" t="s">
        <v>64</v>
      </c>
      <c r="B91" s="291">
        <v>0</v>
      </c>
      <c r="C91" s="292">
        <v>117</v>
      </c>
      <c r="D91" s="191">
        <v>8.1978699551569501E-3</v>
      </c>
      <c r="E91" s="202">
        <v>8.1978699551569501E-3</v>
      </c>
      <c r="F91" s="203">
        <v>8.1978699551569501E-3</v>
      </c>
      <c r="J91" s="194">
        <f>J80*E91</f>
        <v>105.29999999999998</v>
      </c>
      <c r="K91" s="195">
        <f>K80*F91</f>
        <v>81.900000000000006</v>
      </c>
    </row>
    <row r="92" spans="1:11" x14ac:dyDescent="0.3">
      <c r="A92" s="213" t="s">
        <v>119</v>
      </c>
      <c r="B92" s="213">
        <v>0</v>
      </c>
      <c r="C92" s="224">
        <v>14272</v>
      </c>
      <c r="D92" s="293">
        <f>SUM(D81:D91)</f>
        <v>0.99999999999999989</v>
      </c>
      <c r="E92" s="294">
        <v>1.0030241031390135</v>
      </c>
      <c r="F92" s="295">
        <v>1.0030241031390135</v>
      </c>
      <c r="G92" s="153"/>
      <c r="J92" s="224">
        <f>SUM(J81:J91)</f>
        <v>12883.643999999998</v>
      </c>
      <c r="K92" s="224">
        <f>SUM(K81:K91)</f>
        <v>10020.611999999999</v>
      </c>
    </row>
    <row r="93" spans="1:11" x14ac:dyDescent="0.3">
      <c r="A93" s="296" t="s">
        <v>303</v>
      </c>
      <c r="B93" s="297"/>
      <c r="C93" s="298">
        <f>C34+C92</f>
        <v>35927</v>
      </c>
      <c r="D93" s="299"/>
      <c r="E93" s="300"/>
      <c r="G93" s="298" t="s">
        <v>302</v>
      </c>
      <c r="K93" s="301"/>
    </row>
    <row r="94" spans="1:11" x14ac:dyDescent="0.3">
      <c r="A94" s="302"/>
      <c r="D94" s="299"/>
      <c r="G94" s="153"/>
    </row>
    <row r="95" spans="1:11" ht="36.6" x14ac:dyDescent="0.3">
      <c r="A95" s="504" t="s">
        <v>289</v>
      </c>
      <c r="B95" s="504"/>
      <c r="C95" s="504"/>
      <c r="D95" s="504"/>
      <c r="E95" s="504"/>
      <c r="F95" s="504"/>
      <c r="G95" s="504"/>
      <c r="H95" s="504"/>
      <c r="I95" s="504"/>
      <c r="J95" s="504"/>
      <c r="K95" s="504"/>
    </row>
    <row r="96" spans="1:11" x14ac:dyDescent="0.3">
      <c r="A96" s="226" t="s">
        <v>148</v>
      </c>
      <c r="B96" s="226"/>
      <c r="C96" s="226"/>
      <c r="D96" s="227"/>
      <c r="E96" s="303"/>
      <c r="F96" s="304"/>
      <c r="J96" s="228"/>
      <c r="K96" s="229"/>
    </row>
    <row r="97" spans="1:11" x14ac:dyDescent="0.3">
      <c r="A97" s="230" t="s">
        <v>170</v>
      </c>
      <c r="B97" s="231"/>
      <c r="C97" s="231"/>
      <c r="D97" s="232"/>
      <c r="E97" s="305"/>
      <c r="F97" s="306"/>
      <c r="G97" s="153"/>
      <c r="J97" s="233"/>
      <c r="K97" s="234"/>
    </row>
    <row r="98" spans="1:11" x14ac:dyDescent="0.3">
      <c r="A98" s="235" t="s">
        <v>171</v>
      </c>
      <c r="B98" s="236"/>
      <c r="C98" s="236"/>
      <c r="D98" s="237"/>
      <c r="E98" s="307"/>
      <c r="F98" s="236"/>
      <c r="G98" s="153"/>
      <c r="J98" s="238"/>
      <c r="K98" s="239"/>
    </row>
    <row r="99" spans="1:11" s="170" customFormat="1" x14ac:dyDescent="0.3">
      <c r="D99" s="171"/>
      <c r="E99" s="505" t="s">
        <v>282</v>
      </c>
      <c r="F99" s="506"/>
      <c r="G99" s="148" t="s">
        <v>283</v>
      </c>
      <c r="H99" s="148" t="s">
        <v>180</v>
      </c>
      <c r="I99" s="148" t="s">
        <v>285</v>
      </c>
      <c r="J99" s="507" t="s">
        <v>281</v>
      </c>
      <c r="K99" s="508"/>
    </row>
    <row r="100" spans="1:11" s="170" customFormat="1" x14ac:dyDescent="0.3">
      <c r="A100" s="169"/>
      <c r="C100" s="173">
        <v>2015</v>
      </c>
      <c r="D100" s="173" t="s">
        <v>247</v>
      </c>
      <c r="E100" s="173">
        <v>2030</v>
      </c>
      <c r="F100" s="174">
        <v>2050</v>
      </c>
      <c r="G100" s="150" t="s">
        <v>132</v>
      </c>
      <c r="H100" s="150">
        <v>0</v>
      </c>
      <c r="I100" s="150"/>
      <c r="J100" s="175">
        <v>2030</v>
      </c>
      <c r="K100" s="176">
        <v>2050</v>
      </c>
    </row>
    <row r="101" spans="1:11" x14ac:dyDescent="0.3">
      <c r="A101" s="240" t="s">
        <v>143</v>
      </c>
      <c r="B101" s="272">
        <v>0.34</v>
      </c>
      <c r="C101" s="241">
        <v>4852.4800000000005</v>
      </c>
      <c r="D101" s="178">
        <v>0</v>
      </c>
      <c r="E101" s="272">
        <v>0.43999999999999984</v>
      </c>
      <c r="F101" s="310">
        <v>0.48999999999999988</v>
      </c>
      <c r="G101" s="159"/>
      <c r="H101" s="159"/>
      <c r="J101" s="245">
        <f>J92*E101</f>
        <v>5668.8033599999972</v>
      </c>
      <c r="K101" s="245">
        <f>K92*F101</f>
        <v>4910.0998799999979</v>
      </c>
    </row>
    <row r="102" spans="1:11" x14ac:dyDescent="0.3">
      <c r="A102" s="246" t="s">
        <v>115</v>
      </c>
      <c r="B102" s="247" t="s">
        <v>172</v>
      </c>
      <c r="C102" s="248">
        <v>2911.4880000000003</v>
      </c>
      <c r="D102" s="178">
        <v>0</v>
      </c>
      <c r="E102" s="252">
        <v>0.7</v>
      </c>
      <c r="F102" s="249">
        <v>0.7</v>
      </c>
      <c r="H102" s="466">
        <f>0.6*C101</f>
        <v>2911.4880000000003</v>
      </c>
      <c r="J102" s="251">
        <f>J101*E102</f>
        <v>3968.1623519999976</v>
      </c>
      <c r="K102" s="251">
        <f>K101*F102</f>
        <v>3437.0699159999986</v>
      </c>
    </row>
    <row r="103" spans="1:11" x14ac:dyDescent="0.3">
      <c r="A103" s="246" t="s">
        <v>118</v>
      </c>
      <c r="B103" s="247">
        <v>0</v>
      </c>
      <c r="C103" s="248">
        <v>0</v>
      </c>
      <c r="D103" s="178">
        <v>0</v>
      </c>
      <c r="E103" s="252">
        <v>0</v>
      </c>
      <c r="F103" s="249">
        <v>0</v>
      </c>
      <c r="G103" s="153"/>
      <c r="J103" s="251">
        <f>J101*E103</f>
        <v>0</v>
      </c>
      <c r="K103" s="251">
        <f>K101*F103</f>
        <v>0</v>
      </c>
    </row>
    <row r="104" spans="1:11" x14ac:dyDescent="0.3">
      <c r="A104" s="254" t="s">
        <v>155</v>
      </c>
      <c r="B104" s="255" t="s">
        <v>165</v>
      </c>
      <c r="C104" s="256">
        <v>1334.4320000000002</v>
      </c>
      <c r="D104" s="178">
        <v>0</v>
      </c>
      <c r="E104" s="257">
        <v>0.3</v>
      </c>
      <c r="F104" s="258">
        <v>0.3</v>
      </c>
      <c r="H104" s="466">
        <f>9%*C101+18.5%*C101</f>
        <v>1334.4320000000002</v>
      </c>
      <c r="J104" s="260">
        <f>J101*E104</f>
        <v>1700.6410079999991</v>
      </c>
      <c r="K104" s="260">
        <f>K101*F104</f>
        <v>1473.0299639999994</v>
      </c>
    </row>
    <row r="105" spans="1:11" x14ac:dyDescent="0.3">
      <c r="A105" s="157" t="s">
        <v>106</v>
      </c>
      <c r="B105" s="272">
        <v>0.28999999999999998</v>
      </c>
      <c r="C105" s="241">
        <v>4138.88</v>
      </c>
      <c r="D105" s="178">
        <v>0</v>
      </c>
      <c r="E105" s="311">
        <v>0.28999999999999998</v>
      </c>
      <c r="F105" s="311">
        <v>0.28999999999999998</v>
      </c>
      <c r="G105" s="153"/>
      <c r="J105" s="245">
        <f>J92*E105</f>
        <v>3736.2567599999993</v>
      </c>
      <c r="K105" s="245">
        <f>K92*F105</f>
        <v>2905.9774799999996</v>
      </c>
    </row>
    <row r="106" spans="1:11" x14ac:dyDescent="0.3">
      <c r="A106" s="246" t="s">
        <v>159</v>
      </c>
      <c r="B106" s="247" t="s">
        <v>173</v>
      </c>
      <c r="C106" s="248">
        <v>1407.2192000000002</v>
      </c>
      <c r="D106" s="178">
        <v>0</v>
      </c>
      <c r="E106" s="312">
        <v>0.34</v>
      </c>
      <c r="F106" s="312">
        <v>0.34</v>
      </c>
      <c r="G106" s="470"/>
      <c r="H106" s="466">
        <f>34%*C105</f>
        <v>1407.2192000000002</v>
      </c>
      <c r="J106" s="251">
        <f>J105*E106</f>
        <v>1270.3272983999998</v>
      </c>
      <c r="K106" s="251">
        <f>K105*F106</f>
        <v>988.0323431999999</v>
      </c>
    </row>
    <row r="107" spans="1:11" x14ac:dyDescent="0.3">
      <c r="A107" s="263" t="s">
        <v>166</v>
      </c>
      <c r="B107" s="255" t="s">
        <v>174</v>
      </c>
      <c r="C107" s="256">
        <v>351.8048</v>
      </c>
      <c r="D107" s="178">
        <v>4.2499999999999996E-2</v>
      </c>
      <c r="E107" s="313">
        <v>8.4999999999999992E-2</v>
      </c>
      <c r="F107" s="313">
        <v>8.4999999999999992E-2</v>
      </c>
      <c r="G107" s="153"/>
      <c r="H107" s="471" t="s">
        <v>330</v>
      </c>
      <c r="J107" s="260">
        <f>J105*E107</f>
        <v>317.58182459999989</v>
      </c>
      <c r="K107" s="260">
        <f>K105*F107</f>
        <v>247.00808579999995</v>
      </c>
    </row>
    <row r="108" spans="1:11" x14ac:dyDescent="0.3">
      <c r="A108" s="314" t="s">
        <v>131</v>
      </c>
      <c r="B108" s="314">
        <v>0</v>
      </c>
      <c r="C108" s="315">
        <v>0</v>
      </c>
      <c r="D108" s="178">
        <v>0</v>
      </c>
      <c r="E108" s="316"/>
      <c r="F108" s="317"/>
      <c r="J108" s="316"/>
      <c r="K108" s="317"/>
    </row>
    <row r="109" spans="1:11" x14ac:dyDescent="0.3">
      <c r="A109" s="318" t="s">
        <v>159</v>
      </c>
      <c r="B109" s="319">
        <v>0</v>
      </c>
      <c r="C109" s="315">
        <v>0</v>
      </c>
      <c r="D109" s="178">
        <v>0</v>
      </c>
      <c r="E109" s="316"/>
      <c r="F109" s="317"/>
      <c r="J109" s="316"/>
      <c r="K109" s="317"/>
    </row>
    <row r="110" spans="1:11" x14ac:dyDescent="0.3">
      <c r="A110" s="318" t="s">
        <v>149</v>
      </c>
      <c r="B110" s="513">
        <v>0</v>
      </c>
      <c r="C110" s="315">
        <v>0</v>
      </c>
      <c r="D110" s="178">
        <v>0</v>
      </c>
      <c r="E110" s="316"/>
      <c r="F110" s="317"/>
      <c r="J110" s="316"/>
      <c r="K110" s="317"/>
    </row>
    <row r="111" spans="1:11" x14ac:dyDescent="0.3">
      <c r="A111" s="318" t="s">
        <v>150</v>
      </c>
      <c r="B111" s="514"/>
      <c r="C111" s="315">
        <v>0</v>
      </c>
      <c r="D111" s="178">
        <v>0</v>
      </c>
      <c r="E111" s="316"/>
      <c r="F111" s="317"/>
      <c r="J111" s="316"/>
      <c r="K111" s="317"/>
    </row>
    <row r="112" spans="1:11" x14ac:dyDescent="0.3">
      <c r="A112" s="318" t="s">
        <v>151</v>
      </c>
      <c r="B112" s="515"/>
      <c r="C112" s="315">
        <v>0</v>
      </c>
      <c r="D112" s="178">
        <v>0</v>
      </c>
      <c r="E112" s="316"/>
      <c r="F112" s="317"/>
      <c r="J112" s="316"/>
      <c r="K112" s="317"/>
    </row>
    <row r="113" spans="1:11" x14ac:dyDescent="0.3">
      <c r="A113" s="318" t="s">
        <v>159</v>
      </c>
      <c r="B113" s="319">
        <v>0</v>
      </c>
      <c r="C113" s="315">
        <v>0</v>
      </c>
      <c r="D113" s="178">
        <v>0</v>
      </c>
      <c r="E113" s="316"/>
      <c r="F113" s="317"/>
      <c r="J113" s="316"/>
      <c r="K113" s="317"/>
    </row>
    <row r="114" spans="1:11" x14ac:dyDescent="0.3">
      <c r="A114" s="318" t="s">
        <v>118</v>
      </c>
      <c r="B114" s="319">
        <v>0</v>
      </c>
      <c r="C114" s="315">
        <v>0</v>
      </c>
      <c r="D114" s="178">
        <v>0</v>
      </c>
      <c r="E114" s="316"/>
      <c r="F114" s="317"/>
      <c r="J114" s="316"/>
      <c r="K114" s="317"/>
    </row>
    <row r="115" spans="1:11" x14ac:dyDescent="0.3">
      <c r="A115" s="318" t="s">
        <v>156</v>
      </c>
      <c r="B115" s="314">
        <v>0</v>
      </c>
      <c r="C115" s="315">
        <v>0</v>
      </c>
      <c r="D115" s="178">
        <v>0</v>
      </c>
      <c r="E115" s="316"/>
      <c r="F115" s="317"/>
      <c r="J115" s="316"/>
      <c r="K115" s="317"/>
    </row>
    <row r="116" spans="1:11" x14ac:dyDescent="0.3">
      <c r="A116" s="240" t="s">
        <v>23</v>
      </c>
      <c r="B116" s="272">
        <v>7.0000000000000007E-2</v>
      </c>
      <c r="C116" s="241">
        <v>999.04000000000008</v>
      </c>
      <c r="D116" s="178">
        <v>0</v>
      </c>
      <c r="E116" s="265">
        <v>0.05</v>
      </c>
      <c r="F116" s="320">
        <v>0.05</v>
      </c>
      <c r="J116" s="245">
        <f>J92*E116</f>
        <v>644.18219999999997</v>
      </c>
      <c r="K116" s="245">
        <f>K92*F116</f>
        <v>501.03059999999999</v>
      </c>
    </row>
    <row r="117" spans="1:11" ht="14.55" customHeight="1" x14ac:dyDescent="0.3">
      <c r="A117" s="526" t="s">
        <v>162</v>
      </c>
      <c r="B117" s="157" t="s">
        <v>175</v>
      </c>
      <c r="C117" s="241">
        <v>436.72320000000002</v>
      </c>
      <c r="D117" s="178">
        <v>0.33333333333333331</v>
      </c>
      <c r="E117" s="265">
        <v>0.33333333333333331</v>
      </c>
      <c r="F117" s="265">
        <v>0.33333333333333331</v>
      </c>
      <c r="H117" s="467">
        <f>9%*C101</f>
        <v>436.72320000000002</v>
      </c>
      <c r="J117" s="245">
        <f>J104*E117</f>
        <v>566.88033599999972</v>
      </c>
      <c r="K117" s="245">
        <f>K104*F117</f>
        <v>491.00998799999979</v>
      </c>
    </row>
    <row r="118" spans="1:11" x14ac:dyDescent="0.3">
      <c r="A118" s="527"/>
      <c r="B118" s="157" t="s">
        <v>163</v>
      </c>
      <c r="C118" s="241">
        <v>165.55520000000001</v>
      </c>
      <c r="D118" s="178">
        <v>0.45</v>
      </c>
      <c r="E118" s="265">
        <v>0.45</v>
      </c>
      <c r="F118" s="265">
        <v>0.45</v>
      </c>
      <c r="G118" s="444"/>
      <c r="J118" s="245">
        <f>J106*E118</f>
        <v>571.64728427999989</v>
      </c>
      <c r="K118" s="245">
        <f>K106*F118</f>
        <v>444.61455443999995</v>
      </c>
    </row>
    <row r="119" spans="1:11" x14ac:dyDescent="0.3">
      <c r="A119" s="528"/>
      <c r="B119" s="314" t="s">
        <v>156</v>
      </c>
      <c r="C119" s="314">
        <v>0</v>
      </c>
      <c r="D119" s="178">
        <v>0</v>
      </c>
      <c r="E119" s="316"/>
      <c r="F119" s="317"/>
      <c r="G119" s="153"/>
      <c r="J119" s="316"/>
      <c r="K119" s="317"/>
    </row>
    <row r="120" spans="1:11" x14ac:dyDescent="0.3">
      <c r="A120" s="246" t="s">
        <v>115</v>
      </c>
      <c r="B120" s="269">
        <v>0.20599999999999999</v>
      </c>
      <c r="C120" s="248">
        <v>329.8715904</v>
      </c>
      <c r="D120" s="178">
        <v>0</v>
      </c>
      <c r="E120" s="312">
        <v>0.21</v>
      </c>
      <c r="F120" s="312">
        <v>0.21</v>
      </c>
      <c r="G120" s="153"/>
      <c r="J120" s="251">
        <f>SUM(J116:J119)*E120</f>
        <v>374.36906225879989</v>
      </c>
      <c r="K120" s="251">
        <f>SUM(K116:K119)*F120</f>
        <v>301.69757991239993</v>
      </c>
    </row>
    <row r="121" spans="1:11" x14ac:dyDescent="0.3">
      <c r="A121" s="246" t="s">
        <v>30</v>
      </c>
      <c r="B121" s="270" t="s">
        <v>200</v>
      </c>
      <c r="C121" s="248">
        <v>1589.1483801600002</v>
      </c>
      <c r="D121" s="178">
        <v>0</v>
      </c>
      <c r="E121" s="312">
        <v>0.99239999999999995</v>
      </c>
      <c r="F121" s="312">
        <v>0.99239999999999995</v>
      </c>
      <c r="G121" s="153"/>
      <c r="J121" s="251">
        <f>SUM(J116:J119)*E121</f>
        <v>1769.1612256458716</v>
      </c>
      <c r="K121" s="251">
        <f>SUM(K116:K119)*F121</f>
        <v>1425.7365633574557</v>
      </c>
    </row>
    <row r="122" spans="1:11" x14ac:dyDescent="0.3">
      <c r="A122" s="254" t="s">
        <v>157</v>
      </c>
      <c r="B122" s="271">
        <v>7.6E-3</v>
      </c>
      <c r="C122" s="256">
        <v>12.17001984</v>
      </c>
      <c r="D122" s="178">
        <v>0</v>
      </c>
      <c r="E122" s="321">
        <v>7.6E-3</v>
      </c>
      <c r="F122" s="321">
        <v>7.6E-3</v>
      </c>
      <c r="G122" s="153"/>
      <c r="H122" s="471" t="s">
        <v>330</v>
      </c>
      <c r="J122" s="260">
        <f>SUM(J116:J119)*E122</f>
        <v>13.548594634127996</v>
      </c>
      <c r="K122" s="260">
        <f>SUM(K116:K119)*F122</f>
        <v>10.918579082543998</v>
      </c>
    </row>
    <row r="123" spans="1:11" ht="57.6" x14ac:dyDescent="0.3">
      <c r="A123" s="240" t="s">
        <v>25</v>
      </c>
      <c r="B123" s="272">
        <v>7.0000000000000007E-2</v>
      </c>
      <c r="C123" s="241">
        <v>999.04000000000008</v>
      </c>
      <c r="D123" s="178">
        <v>0</v>
      </c>
      <c r="E123" s="265">
        <v>7.0000000000000007E-2</v>
      </c>
      <c r="F123" s="320">
        <v>7.0000000000000007E-2</v>
      </c>
      <c r="G123" s="153" t="s">
        <v>280</v>
      </c>
      <c r="J123" s="245">
        <f>J92*E123</f>
        <v>901.85507999999993</v>
      </c>
      <c r="K123" s="245">
        <f>K92*F123</f>
        <v>701.44284000000005</v>
      </c>
    </row>
    <row r="124" spans="1:11" ht="14.55" customHeight="1" x14ac:dyDescent="0.3">
      <c r="A124" s="464" t="s">
        <v>168</v>
      </c>
      <c r="B124" s="272">
        <v>0.185</v>
      </c>
      <c r="C124" s="241">
        <v>897.70880000000011</v>
      </c>
      <c r="D124" s="178">
        <v>0.66666666666666663</v>
      </c>
      <c r="E124" s="265">
        <v>0.66666666666666663</v>
      </c>
      <c r="F124" s="320">
        <v>0.66666666666666663</v>
      </c>
      <c r="H124" s="467">
        <f>18.5%*C101</f>
        <v>897.70880000000011</v>
      </c>
      <c r="J124" s="245">
        <f>J104*E124</f>
        <v>1133.7606719999994</v>
      </c>
      <c r="K124" s="245">
        <f>K104*F124</f>
        <v>982.01997599999959</v>
      </c>
    </row>
    <row r="125" spans="1:11" x14ac:dyDescent="0.3">
      <c r="A125" s="464" t="s">
        <v>273</v>
      </c>
      <c r="B125" s="272">
        <v>4.4999999999999998E-2</v>
      </c>
      <c r="C125" s="241">
        <v>186.24959999999999</v>
      </c>
      <c r="D125" s="178">
        <v>0.55000000000000004</v>
      </c>
      <c r="E125" s="265">
        <v>0.55000000000000004</v>
      </c>
      <c r="F125" s="320">
        <v>0.55000000000000004</v>
      </c>
      <c r="G125" s="153" t="s">
        <v>211</v>
      </c>
      <c r="J125" s="245">
        <f>J107*E125</f>
        <v>174.67000352999995</v>
      </c>
      <c r="K125" s="245">
        <f>K107*F125</f>
        <v>135.85444718999997</v>
      </c>
    </row>
    <row r="126" spans="1:11" x14ac:dyDescent="0.3">
      <c r="A126" s="314" t="s">
        <v>156</v>
      </c>
      <c r="B126" s="314">
        <v>0</v>
      </c>
      <c r="C126" s="314">
        <v>0</v>
      </c>
      <c r="D126" s="178">
        <v>0</v>
      </c>
      <c r="E126" s="216"/>
      <c r="F126" s="322"/>
      <c r="G126" s="153"/>
      <c r="J126" s="316"/>
      <c r="K126" s="317"/>
    </row>
    <row r="127" spans="1:11" ht="15" thickBot="1" x14ac:dyDescent="0.35">
      <c r="A127" s="465" t="s">
        <v>169</v>
      </c>
      <c r="B127" s="272">
        <v>7.6E-3</v>
      </c>
      <c r="C127" s="241">
        <v>12.17001984</v>
      </c>
      <c r="D127" s="178">
        <v>1</v>
      </c>
      <c r="E127" s="273">
        <v>7.6E-3</v>
      </c>
      <c r="F127" s="323">
        <v>7.6E-3</v>
      </c>
      <c r="J127" s="245">
        <f>SUM(J116:J119)*E127</f>
        <v>13.548594634127996</v>
      </c>
      <c r="K127" s="245">
        <f>SUM(K116:K119)*F127</f>
        <v>10.918579082543998</v>
      </c>
    </row>
    <row r="128" spans="1:11" x14ac:dyDescent="0.3">
      <c r="A128" s="240" t="s">
        <v>28</v>
      </c>
      <c r="B128" s="272">
        <v>0.23</v>
      </c>
      <c r="C128" s="241">
        <v>3282.56</v>
      </c>
      <c r="D128" s="178">
        <v>0</v>
      </c>
      <c r="E128" s="267">
        <v>0.15</v>
      </c>
      <c r="F128" s="324">
        <v>0.1</v>
      </c>
      <c r="G128" s="469" t="s">
        <v>329</v>
      </c>
      <c r="J128" s="245">
        <f>J92*E128</f>
        <v>1932.5465999999997</v>
      </c>
      <c r="K128" s="245">
        <f>K92*F128</f>
        <v>1002.0612</v>
      </c>
    </row>
    <row r="129" spans="1:15" x14ac:dyDescent="0.3">
      <c r="A129" s="151" t="s">
        <v>112</v>
      </c>
      <c r="B129" s="151">
        <v>0</v>
      </c>
      <c r="C129" s="276">
        <v>0</v>
      </c>
      <c r="D129" s="191">
        <v>0</v>
      </c>
      <c r="E129" s="277">
        <v>0</v>
      </c>
      <c r="F129" s="325">
        <v>0</v>
      </c>
      <c r="J129" s="326"/>
      <c r="K129" s="327"/>
    </row>
    <row r="130" spans="1:15" x14ac:dyDescent="0.3">
      <c r="C130" s="328"/>
      <c r="D130" s="299"/>
      <c r="E130" s="159"/>
      <c r="F130" s="159"/>
    </row>
    <row r="131" spans="1:15" ht="36.6" x14ac:dyDescent="0.3">
      <c r="A131" s="511" t="s">
        <v>287</v>
      </c>
      <c r="B131" s="511"/>
      <c r="C131" s="511"/>
      <c r="D131" s="511"/>
      <c r="E131" s="511"/>
      <c r="F131" s="511"/>
      <c r="G131" s="511"/>
      <c r="H131" s="511"/>
      <c r="I131" s="511"/>
      <c r="J131" s="511"/>
      <c r="K131" s="511"/>
    </row>
    <row r="132" spans="1:15" ht="36.6" x14ac:dyDescent="0.3">
      <c r="A132" s="504" t="s">
        <v>288</v>
      </c>
      <c r="B132" s="504"/>
      <c r="C132" s="504"/>
      <c r="D132" s="504"/>
      <c r="E132" s="504"/>
      <c r="F132" s="504"/>
      <c r="G132" s="504"/>
      <c r="H132" s="504"/>
      <c r="I132" s="504"/>
      <c r="J132" s="504"/>
      <c r="K132" s="504"/>
    </row>
    <row r="133" spans="1:15" x14ac:dyDescent="0.3">
      <c r="C133" s="328"/>
      <c r="D133" s="299"/>
      <c r="E133" s="300"/>
      <c r="F133" s="329"/>
      <c r="J133" s="330"/>
      <c r="K133" s="153"/>
    </row>
    <row r="134" spans="1:15" s="170" customFormat="1" x14ac:dyDescent="0.3">
      <c r="A134" s="169"/>
      <c r="D134" s="171"/>
      <c r="E134" s="505" t="s">
        <v>282</v>
      </c>
      <c r="F134" s="506"/>
      <c r="G134" s="148" t="s">
        <v>283</v>
      </c>
      <c r="H134" s="148" t="s">
        <v>180</v>
      </c>
      <c r="I134" s="148" t="s">
        <v>285</v>
      </c>
      <c r="J134" s="507" t="s">
        <v>281</v>
      </c>
      <c r="K134" s="508"/>
    </row>
    <row r="135" spans="1:15" s="170" customFormat="1" ht="18" x14ac:dyDescent="0.3">
      <c r="A135" s="172"/>
      <c r="C135" s="174">
        <v>2015</v>
      </c>
      <c r="D135" s="173" t="s">
        <v>247</v>
      </c>
      <c r="E135" s="173">
        <v>2030</v>
      </c>
      <c r="F135" s="174">
        <v>2050</v>
      </c>
      <c r="G135" s="150" t="s">
        <v>132</v>
      </c>
      <c r="H135" s="150">
        <v>0</v>
      </c>
      <c r="I135" s="150"/>
      <c r="J135" s="175">
        <v>2030</v>
      </c>
      <c r="K135" s="176">
        <v>2050</v>
      </c>
    </row>
    <row r="136" spans="1:15" ht="101.55" customHeight="1" x14ac:dyDescent="0.3">
      <c r="A136" s="151" t="s">
        <v>144</v>
      </c>
      <c r="B136" s="151"/>
      <c r="C136" s="177">
        <v>1</v>
      </c>
      <c r="D136" s="178"/>
      <c r="E136" s="331">
        <v>8.5000000000000006E-2</v>
      </c>
      <c r="F136" s="331">
        <v>0.155</v>
      </c>
      <c r="G136" s="152" t="s">
        <v>187</v>
      </c>
      <c r="H136" s="153" t="s">
        <v>129</v>
      </c>
      <c r="J136" s="194">
        <f>SUM(C137:C138)*(1+E136)</f>
        <v>38700.864999999998</v>
      </c>
      <c r="K136" s="194">
        <f>SUM(C137:C138)*(1+F136)</f>
        <v>41197.695</v>
      </c>
    </row>
    <row r="137" spans="1:15" ht="72.599999999999994" customHeight="1" x14ac:dyDescent="0.3">
      <c r="A137" s="160" t="s">
        <v>124</v>
      </c>
      <c r="B137" s="332"/>
      <c r="C137" s="333">
        <v>18183</v>
      </c>
      <c r="D137" s="183"/>
      <c r="E137" s="184"/>
      <c r="F137" s="205"/>
      <c r="G137" s="152" t="s">
        <v>317</v>
      </c>
      <c r="H137" s="153" t="s">
        <v>130</v>
      </c>
      <c r="J137" s="186">
        <f>$C137*(1+E$136)</f>
        <v>19728.555</v>
      </c>
      <c r="K137" s="186">
        <f>$C137*(1+F$136)</f>
        <v>21001.365000000002</v>
      </c>
      <c r="L137" s="441"/>
      <c r="M137" s="334"/>
    </row>
    <row r="138" spans="1:15" ht="89.1" customHeight="1" x14ac:dyDescent="0.3">
      <c r="A138" s="160" t="s">
        <v>297</v>
      </c>
      <c r="B138" s="332"/>
      <c r="C138" s="333">
        <v>17486</v>
      </c>
      <c r="D138" s="183"/>
      <c r="E138" s="184"/>
      <c r="F138" s="205"/>
      <c r="G138" s="152" t="s">
        <v>324</v>
      </c>
      <c r="H138" s="132"/>
      <c r="J138" s="186">
        <f>$C138*(1+E$136)</f>
        <v>18972.309999999998</v>
      </c>
      <c r="K138" s="335">
        <f>$C138*(1+F$136)</f>
        <v>20196.330000000002</v>
      </c>
    </row>
    <row r="139" spans="1:15" ht="158.4" x14ac:dyDescent="0.3">
      <c r="A139" s="336" t="s">
        <v>0</v>
      </c>
      <c r="B139" s="287"/>
      <c r="C139" s="337">
        <f>SUM(C$137:C$138)*D139</f>
        <v>7072.6719070887339</v>
      </c>
      <c r="D139" s="191">
        <v>0.19828624035124992</v>
      </c>
      <c r="E139" s="179">
        <v>0.17499999999999999</v>
      </c>
      <c r="F139" s="180">
        <v>0.15</v>
      </c>
      <c r="G139" s="152" t="s">
        <v>320</v>
      </c>
      <c r="H139" s="153" t="s">
        <v>258</v>
      </c>
      <c r="J139" s="194">
        <f>J$136*E139</f>
        <v>6772.6513749999995</v>
      </c>
      <c r="K139" s="338">
        <f>K$136*F139</f>
        <v>6179.6542499999996</v>
      </c>
      <c r="L139" s="442"/>
      <c r="M139" s="339"/>
      <c r="N139" s="340"/>
      <c r="O139" s="159"/>
    </row>
    <row r="140" spans="1:15" x14ac:dyDescent="0.3">
      <c r="A140" s="336" t="s">
        <v>1</v>
      </c>
      <c r="B140" s="287"/>
      <c r="C140" s="337">
        <f t="shared" ref="C140:C144" si="1">SUM(C$137:C$138)*D140</f>
        <v>1768.1679767721835</v>
      </c>
      <c r="D140" s="191">
        <v>4.957156008781248E-2</v>
      </c>
      <c r="E140" s="179">
        <v>0.04</v>
      </c>
      <c r="F140" s="159">
        <v>0.03</v>
      </c>
      <c r="H140" s="153">
        <v>0</v>
      </c>
      <c r="J140" s="194">
        <f t="shared" ref="J140:K144" si="2">J$136*E140</f>
        <v>1548.0346</v>
      </c>
      <c r="K140" s="338">
        <f t="shared" si="2"/>
        <v>1235.93085</v>
      </c>
      <c r="L140" s="442"/>
      <c r="M140" s="339"/>
      <c r="N140" s="340"/>
      <c r="O140" s="159"/>
    </row>
    <row r="141" spans="1:15" ht="72" x14ac:dyDescent="0.3">
      <c r="A141" s="336" t="s">
        <v>205</v>
      </c>
      <c r="B141" s="287"/>
      <c r="C141" s="337">
        <f t="shared" si="1"/>
        <v>6314.8856313292254</v>
      </c>
      <c r="D141" s="191">
        <v>0.1770412860279017</v>
      </c>
      <c r="E141" s="179">
        <v>0.2</v>
      </c>
      <c r="F141" s="275">
        <v>0.22</v>
      </c>
      <c r="H141" s="153" t="s">
        <v>252</v>
      </c>
      <c r="J141" s="194">
        <f t="shared" si="2"/>
        <v>7740.1729999999998</v>
      </c>
      <c r="K141" s="338">
        <f t="shared" si="2"/>
        <v>9063.4928999999993</v>
      </c>
      <c r="L141" s="442"/>
      <c r="M141" s="339"/>
      <c r="N141" s="340"/>
      <c r="O141" s="159"/>
    </row>
    <row r="142" spans="1:15" x14ac:dyDescent="0.3">
      <c r="A142" s="336" t="s">
        <v>3</v>
      </c>
      <c r="B142" s="287"/>
      <c r="C142" s="337">
        <f t="shared" si="1"/>
        <v>709.79314496140489</v>
      </c>
      <c r="D142" s="191">
        <v>1.989944054953615E-2</v>
      </c>
      <c r="E142" s="179">
        <v>0.02</v>
      </c>
      <c r="F142" s="180">
        <v>0.04</v>
      </c>
      <c r="J142" s="194">
        <f t="shared" si="2"/>
        <v>774.01729999999998</v>
      </c>
      <c r="K142" s="338">
        <f t="shared" si="2"/>
        <v>1647.9078</v>
      </c>
      <c r="L142" s="442"/>
      <c r="M142" s="339"/>
      <c r="N142" s="340"/>
      <c r="O142" s="159"/>
    </row>
    <row r="143" spans="1:15" x14ac:dyDescent="0.3">
      <c r="A143" s="336" t="s">
        <v>6</v>
      </c>
      <c r="B143" s="287"/>
      <c r="C143" s="337">
        <f t="shared" si="1"/>
        <v>9901.7406699242256</v>
      </c>
      <c r="D143" s="191">
        <v>0.27760073649174988</v>
      </c>
      <c r="E143" s="179">
        <v>0.28000000000000003</v>
      </c>
      <c r="F143" s="180">
        <v>0.28000000000000003</v>
      </c>
      <c r="J143" s="194">
        <f t="shared" si="2"/>
        <v>10836.242200000001</v>
      </c>
      <c r="K143" s="338">
        <f t="shared" si="2"/>
        <v>11535.354600000001</v>
      </c>
      <c r="L143" s="442"/>
      <c r="M143" s="339"/>
      <c r="N143" s="340"/>
      <c r="O143" s="159"/>
    </row>
    <row r="144" spans="1:15" x14ac:dyDescent="0.3">
      <c r="A144" s="151" t="s">
        <v>212</v>
      </c>
      <c r="B144" s="151"/>
      <c r="C144" s="337">
        <f t="shared" si="1"/>
        <v>9901.7406699242256</v>
      </c>
      <c r="D144" s="191">
        <v>0.27760073649174988</v>
      </c>
      <c r="E144" s="179">
        <v>0.28000000000000003</v>
      </c>
      <c r="F144" s="284">
        <v>0.28000000000000003</v>
      </c>
      <c r="J144" s="194">
        <f t="shared" si="2"/>
        <v>10836.242200000001</v>
      </c>
      <c r="K144" s="338">
        <f t="shared" si="2"/>
        <v>11535.354600000001</v>
      </c>
      <c r="L144" s="442"/>
      <c r="M144" s="339"/>
      <c r="N144" s="340"/>
      <c r="O144" s="159"/>
    </row>
    <row r="145" spans="1:14" x14ac:dyDescent="0.3">
      <c r="A145" s="160" t="s">
        <v>119</v>
      </c>
      <c r="B145" s="334"/>
      <c r="C145" s="341">
        <f>SUM(C139:C144)</f>
        <v>35669</v>
      </c>
      <c r="D145" s="299"/>
      <c r="E145" s="299"/>
      <c r="F145" s="329"/>
      <c r="G145" s="181"/>
      <c r="J145" s="341">
        <f>SUM(J139:J144)</f>
        <v>38507.360675000004</v>
      </c>
      <c r="K145" s="342">
        <f>SUM(K139:K144)</f>
        <v>41197.695</v>
      </c>
      <c r="L145" s="443"/>
      <c r="M145" s="343"/>
      <c r="N145" s="343"/>
    </row>
    <row r="146" spans="1:14" ht="36.6" x14ac:dyDescent="0.3">
      <c r="A146" s="504" t="s">
        <v>289</v>
      </c>
      <c r="B146" s="504"/>
      <c r="C146" s="504"/>
      <c r="D146" s="504"/>
      <c r="E146" s="504"/>
      <c r="F146" s="504"/>
      <c r="G146" s="504"/>
      <c r="H146" s="504"/>
      <c r="I146" s="504"/>
      <c r="J146" s="504"/>
      <c r="K146" s="504"/>
    </row>
    <row r="147" spans="1:14" x14ac:dyDescent="0.3">
      <c r="A147" s="226" t="s">
        <v>148</v>
      </c>
      <c r="B147" s="226"/>
      <c r="C147" s="226"/>
      <c r="D147" s="227"/>
      <c r="E147" s="303"/>
      <c r="F147" s="304"/>
      <c r="J147" s="228"/>
      <c r="K147" s="229"/>
    </row>
    <row r="148" spans="1:14" x14ac:dyDescent="0.3">
      <c r="A148" s="230" t="s">
        <v>170</v>
      </c>
      <c r="B148" s="231"/>
      <c r="C148" s="231"/>
      <c r="D148" s="232"/>
      <c r="E148" s="305"/>
      <c r="F148" s="306"/>
      <c r="J148" s="233"/>
      <c r="K148" s="234"/>
    </row>
    <row r="149" spans="1:14" x14ac:dyDescent="0.3">
      <c r="A149" s="235" t="s">
        <v>171</v>
      </c>
      <c r="B149" s="236"/>
      <c r="C149" s="236"/>
      <c r="D149" s="237"/>
      <c r="E149" s="307"/>
      <c r="F149" s="344"/>
      <c r="G149" s="153"/>
      <c r="J149" s="238"/>
      <c r="K149" s="239"/>
    </row>
    <row r="150" spans="1:14" s="170" customFormat="1" x14ac:dyDescent="0.3">
      <c r="D150" s="171"/>
      <c r="E150" s="505" t="s">
        <v>282</v>
      </c>
      <c r="F150" s="506"/>
      <c r="G150" s="148" t="s">
        <v>283</v>
      </c>
      <c r="H150" s="148" t="s">
        <v>180</v>
      </c>
      <c r="I150" s="148" t="s">
        <v>285</v>
      </c>
      <c r="J150" s="507" t="s">
        <v>281</v>
      </c>
      <c r="K150" s="508"/>
    </row>
    <row r="151" spans="1:14" s="170" customFormat="1" ht="15" thickBot="1" x14ac:dyDescent="0.35">
      <c r="A151" s="169"/>
      <c r="C151" s="173">
        <v>2015</v>
      </c>
      <c r="D151" s="173" t="s">
        <v>247</v>
      </c>
      <c r="E151" s="173">
        <v>2030</v>
      </c>
      <c r="F151" s="174">
        <v>2050</v>
      </c>
      <c r="G151" s="150" t="s">
        <v>132</v>
      </c>
      <c r="H151" s="150">
        <v>0</v>
      </c>
      <c r="I151" s="150"/>
      <c r="J151" s="175">
        <v>2030</v>
      </c>
      <c r="K151" s="176">
        <v>2050</v>
      </c>
    </row>
    <row r="152" spans="1:14" x14ac:dyDescent="0.3">
      <c r="A152" s="240" t="s">
        <v>177</v>
      </c>
      <c r="B152" s="272">
        <v>0.76</v>
      </c>
      <c r="C152" s="241">
        <f>C137*0.76</f>
        <v>13819.08</v>
      </c>
      <c r="D152" s="178"/>
      <c r="E152" s="242">
        <v>0.7</v>
      </c>
      <c r="F152" s="345">
        <v>0.73</v>
      </c>
      <c r="G152" s="153" t="s">
        <v>199</v>
      </c>
      <c r="J152" s="245">
        <f>J137*E152</f>
        <v>13809.988499999999</v>
      </c>
      <c r="K152" s="245">
        <f>K137*F152</f>
        <v>15330.996450000001</v>
      </c>
    </row>
    <row r="153" spans="1:14" x14ac:dyDescent="0.3">
      <c r="A153" s="240" t="s">
        <v>298</v>
      </c>
      <c r="B153" s="272">
        <v>0.54</v>
      </c>
      <c r="C153" s="241">
        <f>C138*0.54</f>
        <v>9442.44</v>
      </c>
      <c r="D153" s="178"/>
      <c r="E153" s="346">
        <v>0.58000000000000007</v>
      </c>
      <c r="F153" s="347">
        <v>0.72333333333333327</v>
      </c>
      <c r="G153" s="153"/>
      <c r="J153" s="245">
        <f>J138*E153</f>
        <v>11003.9398</v>
      </c>
      <c r="K153" s="245">
        <f>K138*F153</f>
        <v>14608.6787</v>
      </c>
    </row>
    <row r="154" spans="1:14" ht="43.2" x14ac:dyDescent="0.3">
      <c r="A154" s="246" t="s">
        <v>115</v>
      </c>
      <c r="B154" s="247" t="s">
        <v>278</v>
      </c>
      <c r="C154" s="248">
        <f>(C152+C153)*0.6</f>
        <v>13956.912</v>
      </c>
      <c r="D154" s="178"/>
      <c r="E154" s="252">
        <v>0.55000000000000004</v>
      </c>
      <c r="F154" s="348">
        <v>0.64</v>
      </c>
      <c r="G154" s="153"/>
      <c r="J154" s="251">
        <f>SUM(J152:J153)*E154</f>
        <v>13647.660565</v>
      </c>
      <c r="K154" s="251">
        <f>SUM(K152:K153)*F154</f>
        <v>19161.392096000003</v>
      </c>
    </row>
    <row r="155" spans="1:14" x14ac:dyDescent="0.3">
      <c r="A155" s="246" t="s">
        <v>118</v>
      </c>
      <c r="B155" s="349">
        <v>1.9207129686539644E-2</v>
      </c>
      <c r="C155" s="248">
        <v>0</v>
      </c>
      <c r="D155" s="178"/>
      <c r="E155" s="252">
        <v>0.15999999999999992</v>
      </c>
      <c r="F155" s="348">
        <v>0.16</v>
      </c>
      <c r="G155" s="153"/>
      <c r="J155" s="251">
        <f>SUM(J152:J153)*E155</f>
        <v>3970.2285279999978</v>
      </c>
      <c r="K155" s="251">
        <f>SUM(K152:K153)*F155</f>
        <v>4790.3480240000008</v>
      </c>
    </row>
    <row r="156" spans="1:14" x14ac:dyDescent="0.3">
      <c r="A156" s="254" t="s">
        <v>155</v>
      </c>
      <c r="B156" s="255" t="s">
        <v>165</v>
      </c>
      <c r="C156" s="256">
        <f>(C152*0.09-C155)+(C152+C153)*0.185</f>
        <v>5547.0983999999999</v>
      </c>
      <c r="D156" s="178"/>
      <c r="E156" s="257">
        <v>0.29000000000000004</v>
      </c>
      <c r="F156" s="350">
        <v>0.2</v>
      </c>
      <c r="G156" s="153" t="s">
        <v>189</v>
      </c>
      <c r="J156" s="260">
        <f>(SUM(J152:J153)-J155)*E156</f>
        <v>6044.6729338800005</v>
      </c>
      <c r="K156" s="260">
        <f>(SUM(K152:K153)-K155)*F156</f>
        <v>5029.8654252000015</v>
      </c>
    </row>
    <row r="157" spans="1:14" x14ac:dyDescent="0.3">
      <c r="A157" s="157" t="s">
        <v>178</v>
      </c>
      <c r="B157" s="272">
        <v>0.05</v>
      </c>
      <c r="C157" s="241">
        <f>C137*0.05</f>
        <v>909.15000000000009</v>
      </c>
      <c r="D157" s="178"/>
      <c r="E157" s="261">
        <v>0.15887850467289719</v>
      </c>
      <c r="F157" s="261">
        <v>0.15</v>
      </c>
      <c r="G157" s="153"/>
      <c r="J157" s="245">
        <f>J137*E157</f>
        <v>3134.443317757009</v>
      </c>
      <c r="K157" s="245">
        <f>K137*F157</f>
        <v>3150.2047500000003</v>
      </c>
      <c r="M157" s="334"/>
    </row>
    <row r="158" spans="1:14" x14ac:dyDescent="0.3">
      <c r="A158" s="157" t="s">
        <v>299</v>
      </c>
      <c r="B158" s="272">
        <v>0.25</v>
      </c>
      <c r="C158" s="241">
        <f>C138*0.25</f>
        <v>4371.5</v>
      </c>
      <c r="D158" s="178"/>
      <c r="E158" s="310">
        <v>0.2</v>
      </c>
      <c r="F158" s="310">
        <v>0.15</v>
      </c>
      <c r="G158" s="153"/>
      <c r="J158" s="245">
        <f>J138*E158</f>
        <v>3794.4619999999995</v>
      </c>
      <c r="K158" s="245">
        <f>K138*F158</f>
        <v>3029.4495000000002</v>
      </c>
    </row>
    <row r="159" spans="1:14" x14ac:dyDescent="0.3">
      <c r="A159" s="246" t="s">
        <v>159</v>
      </c>
      <c r="B159" s="247" t="s">
        <v>173</v>
      </c>
      <c r="C159" s="248">
        <f>(C157+C158)*0.34</f>
        <v>1795.421</v>
      </c>
      <c r="D159" s="178"/>
      <c r="E159" s="252">
        <v>0.34</v>
      </c>
      <c r="F159" s="252">
        <v>0.34</v>
      </c>
      <c r="G159" s="153"/>
      <c r="J159" s="251">
        <f>(J$157+J$158)*E159</f>
        <v>2355.827808037383</v>
      </c>
      <c r="K159" s="251">
        <f>(K$157+K$158)*F159</f>
        <v>2101.0824450000005</v>
      </c>
    </row>
    <row r="160" spans="1:14" x14ac:dyDescent="0.3">
      <c r="A160" s="263" t="s">
        <v>274</v>
      </c>
      <c r="B160" s="255" t="s">
        <v>174</v>
      </c>
      <c r="C160" s="256">
        <f>C157*0.04+C157*0.045</f>
        <v>77.277750000000012</v>
      </c>
      <c r="D160" s="178"/>
      <c r="E160" s="351">
        <v>0.05</v>
      </c>
      <c r="F160" s="351">
        <v>0.05</v>
      </c>
      <c r="G160" s="470"/>
      <c r="H160" s="471" t="s">
        <v>330</v>
      </c>
      <c r="J160" s="251">
        <f>(J$157+J$158)*E160</f>
        <v>346.44526588785044</v>
      </c>
      <c r="K160" s="251">
        <f>(K$157+K$158)*F160</f>
        <v>308.98271250000005</v>
      </c>
    </row>
    <row r="161" spans="1:11" x14ac:dyDescent="0.3">
      <c r="A161" s="314" t="s">
        <v>131</v>
      </c>
      <c r="B161" s="314">
        <v>0</v>
      </c>
      <c r="C161" s="315"/>
      <c r="D161" s="178"/>
      <c r="E161" s="352">
        <v>0</v>
      </c>
      <c r="F161" s="353">
        <v>0</v>
      </c>
      <c r="G161" s="153"/>
      <c r="J161" s="316"/>
      <c r="K161" s="317"/>
    </row>
    <row r="162" spans="1:11" x14ac:dyDescent="0.3">
      <c r="A162" s="318" t="s">
        <v>159</v>
      </c>
      <c r="B162" s="319">
        <v>0</v>
      </c>
      <c r="C162" s="315"/>
      <c r="D162" s="178"/>
      <c r="E162" s="352">
        <v>0</v>
      </c>
      <c r="F162" s="353">
        <v>0</v>
      </c>
      <c r="G162" s="153"/>
      <c r="J162" s="316"/>
      <c r="K162" s="317"/>
    </row>
    <row r="163" spans="1:11" x14ac:dyDescent="0.3">
      <c r="A163" s="318" t="s">
        <v>149</v>
      </c>
      <c r="B163" s="513">
        <v>0</v>
      </c>
      <c r="C163" s="315"/>
      <c r="D163" s="178"/>
      <c r="E163" s="352">
        <v>0</v>
      </c>
      <c r="F163" s="353">
        <v>0</v>
      </c>
      <c r="G163" s="153"/>
      <c r="J163" s="316"/>
      <c r="K163" s="317"/>
    </row>
    <row r="164" spans="1:11" x14ac:dyDescent="0.3">
      <c r="A164" s="318" t="s">
        <v>150</v>
      </c>
      <c r="B164" s="514"/>
      <c r="C164" s="315"/>
      <c r="D164" s="178"/>
      <c r="E164" s="352">
        <v>0</v>
      </c>
      <c r="F164" s="353">
        <v>0</v>
      </c>
      <c r="G164" s="153"/>
      <c r="J164" s="316"/>
      <c r="K164" s="317"/>
    </row>
    <row r="165" spans="1:11" x14ac:dyDescent="0.3">
      <c r="A165" s="318" t="s">
        <v>151</v>
      </c>
      <c r="B165" s="515"/>
      <c r="C165" s="315"/>
      <c r="D165" s="178"/>
      <c r="E165" s="352">
        <v>0</v>
      </c>
      <c r="F165" s="353">
        <v>0</v>
      </c>
      <c r="G165" s="153"/>
      <c r="J165" s="316"/>
      <c r="K165" s="317"/>
    </row>
    <row r="166" spans="1:11" x14ac:dyDescent="0.3">
      <c r="A166" s="318" t="s">
        <v>159</v>
      </c>
      <c r="B166" s="319">
        <v>0</v>
      </c>
      <c r="C166" s="315"/>
      <c r="D166" s="178"/>
      <c r="E166" s="352">
        <v>0</v>
      </c>
      <c r="F166" s="353">
        <v>0</v>
      </c>
      <c r="G166" s="153"/>
      <c r="J166" s="316"/>
      <c r="K166" s="317"/>
    </row>
    <row r="167" spans="1:11" x14ac:dyDescent="0.3">
      <c r="A167" s="318" t="s">
        <v>118</v>
      </c>
      <c r="B167" s="319">
        <v>0</v>
      </c>
      <c r="C167" s="315"/>
      <c r="D167" s="178"/>
      <c r="E167" s="352">
        <v>0</v>
      </c>
      <c r="F167" s="353">
        <v>0</v>
      </c>
      <c r="G167" s="153"/>
      <c r="J167" s="316"/>
      <c r="K167" s="317"/>
    </row>
    <row r="168" spans="1:11" x14ac:dyDescent="0.3">
      <c r="A168" s="318" t="s">
        <v>156</v>
      </c>
      <c r="B168" s="314">
        <v>0</v>
      </c>
      <c r="C168" s="315"/>
      <c r="D168" s="178"/>
      <c r="E168" s="352">
        <v>0</v>
      </c>
      <c r="F168" s="353">
        <v>0</v>
      </c>
      <c r="G168" s="153"/>
      <c r="J168" s="316"/>
      <c r="K168" s="317"/>
    </row>
    <row r="169" spans="1:11" x14ac:dyDescent="0.3">
      <c r="A169" s="240" t="s">
        <v>206</v>
      </c>
      <c r="B169" s="272" t="s">
        <v>176</v>
      </c>
      <c r="C169" s="241">
        <f>C137*0.11+C138*0.1</f>
        <v>3748.7300000000005</v>
      </c>
      <c r="D169" s="178"/>
      <c r="E169" s="265">
        <v>0.09</v>
      </c>
      <c r="F169" s="265">
        <v>7.0000000000000007E-2</v>
      </c>
      <c r="G169" s="153"/>
      <c r="J169" s="245">
        <f>J137*E169</f>
        <v>1775.5699500000001</v>
      </c>
      <c r="K169" s="245">
        <f>K137*F169</f>
        <v>1470.0955500000002</v>
      </c>
    </row>
    <row r="170" spans="1:11" ht="14.55" customHeight="1" x14ac:dyDescent="0.3">
      <c r="A170" s="157" t="s">
        <v>300</v>
      </c>
      <c r="B170" s="157">
        <v>0</v>
      </c>
      <c r="C170" s="241"/>
      <c r="D170" s="178"/>
      <c r="E170" s="265">
        <v>0.12</v>
      </c>
      <c r="F170" s="265">
        <v>0.1</v>
      </c>
      <c r="G170" s="153"/>
      <c r="J170" s="245">
        <f>J138*E170</f>
        <v>2276.6771999999996</v>
      </c>
      <c r="K170" s="245">
        <f>K138*F170</f>
        <v>2019.6330000000003</v>
      </c>
    </row>
    <row r="171" spans="1:11" x14ac:dyDescent="0.3">
      <c r="A171" s="464" t="s">
        <v>175</v>
      </c>
      <c r="B171" s="157">
        <v>0</v>
      </c>
      <c r="C171" s="241">
        <f>(C152*0.09-C155)</f>
        <v>1243.7172</v>
      </c>
      <c r="D171" s="178"/>
      <c r="E171" s="265">
        <v>0.33333333333333331</v>
      </c>
      <c r="F171" s="265">
        <v>0.33333333333333331</v>
      </c>
      <c r="G171" s="153"/>
      <c r="J171" s="245">
        <f>J156*E171</f>
        <v>2014.8909779600001</v>
      </c>
      <c r="K171" s="245">
        <f>K156*F171</f>
        <v>1676.6218084000004</v>
      </c>
    </row>
    <row r="172" spans="1:11" x14ac:dyDescent="0.3">
      <c r="A172" s="314" t="s">
        <v>163</v>
      </c>
      <c r="B172" s="314">
        <v>0</v>
      </c>
      <c r="C172" s="241">
        <f>C157*0.04</f>
        <v>36.366000000000007</v>
      </c>
      <c r="D172" s="178"/>
      <c r="E172" s="265">
        <v>0.45</v>
      </c>
      <c r="F172" s="265">
        <v>0.45</v>
      </c>
      <c r="G172" s="153"/>
      <c r="J172" s="245">
        <f>J160*E172</f>
        <v>155.90036964953271</v>
      </c>
      <c r="K172" s="245">
        <f>K160*F172</f>
        <v>139.04222062500003</v>
      </c>
    </row>
    <row r="173" spans="1:11" x14ac:dyDescent="0.3">
      <c r="A173" s="246" t="s">
        <v>156</v>
      </c>
      <c r="B173" s="269">
        <v>0</v>
      </c>
      <c r="C173" s="314"/>
      <c r="D173" s="178"/>
      <c r="E173" s="216">
        <v>0</v>
      </c>
      <c r="F173" s="322">
        <v>0</v>
      </c>
      <c r="G173" s="153"/>
      <c r="J173" s="316"/>
      <c r="K173" s="317"/>
    </row>
    <row r="174" spans="1:11" x14ac:dyDescent="0.3">
      <c r="A174" s="246" t="s">
        <v>115</v>
      </c>
      <c r="B174" s="270">
        <v>0.20599999999999999</v>
      </c>
      <c r="C174" s="248">
        <f>SUM(C169:C172)*0.206</f>
        <v>1035.9355192</v>
      </c>
      <c r="D174" s="178"/>
      <c r="E174" s="252">
        <v>0.2</v>
      </c>
      <c r="F174" s="252">
        <v>0.2</v>
      </c>
      <c r="G174" s="153"/>
      <c r="J174" s="251">
        <f>SUM(J169:J173)*E174</f>
        <v>1244.6076995219066</v>
      </c>
      <c r="K174" s="251">
        <f>SUM(K169:K173)*F174</f>
        <v>1061.0785158050003</v>
      </c>
    </row>
    <row r="175" spans="1:11" x14ac:dyDescent="0.3">
      <c r="A175" s="254" t="s">
        <v>30</v>
      </c>
      <c r="B175" s="271" t="s">
        <v>207</v>
      </c>
      <c r="C175" s="248">
        <f>SUM(C169:C172)-C176</f>
        <v>4990.5942196800006</v>
      </c>
      <c r="D175" s="178"/>
      <c r="E175" s="252">
        <v>0.99</v>
      </c>
      <c r="F175" s="252">
        <v>0.99</v>
      </c>
      <c r="G175" s="153"/>
      <c r="H175" s="470"/>
      <c r="J175" s="251">
        <f>SUM(J169:J173)-J176</f>
        <v>6175.7434050277006</v>
      </c>
      <c r="K175" s="251">
        <f>SUM(K169:K173)-K176</f>
        <v>5265.0715954244115</v>
      </c>
    </row>
    <row r="176" spans="1:11" ht="28.8" x14ac:dyDescent="0.3">
      <c r="A176" s="240" t="s">
        <v>157</v>
      </c>
      <c r="B176" s="272">
        <v>7.6E-3</v>
      </c>
      <c r="C176" s="256">
        <f>SUM(C169:C172)*0.76%</f>
        <v>38.218980320000007</v>
      </c>
      <c r="D176" s="178"/>
      <c r="E176" s="264">
        <v>7.6E-3</v>
      </c>
      <c r="F176" s="264">
        <v>7.6E-3</v>
      </c>
      <c r="G176" s="153" t="s">
        <v>183</v>
      </c>
      <c r="H176" s="471" t="s">
        <v>330</v>
      </c>
      <c r="J176" s="260">
        <f>SUM(J169:J173)*E176</f>
        <v>47.295092581832449</v>
      </c>
      <c r="K176" s="260">
        <f>SUM(K169:K173)*F176</f>
        <v>40.320983600590012</v>
      </c>
    </row>
    <row r="177" spans="1:11" ht="57.6" x14ac:dyDescent="0.3">
      <c r="A177" s="240" t="s">
        <v>201</v>
      </c>
      <c r="B177" s="272" t="s">
        <v>203</v>
      </c>
      <c r="C177" s="241">
        <f>C137*0.07</f>
        <v>1272.8100000000002</v>
      </c>
      <c r="D177" s="178"/>
      <c r="E177" s="265">
        <v>0.05</v>
      </c>
      <c r="F177" s="320">
        <v>0.04</v>
      </c>
      <c r="G177" s="153" t="s">
        <v>280</v>
      </c>
      <c r="J177" s="245">
        <f>J137*E177</f>
        <v>986.42775000000006</v>
      </c>
      <c r="K177" s="245">
        <f>K137*F177</f>
        <v>840.05460000000005</v>
      </c>
    </row>
    <row r="178" spans="1:11" ht="14.55" customHeight="1" x14ac:dyDescent="0.3">
      <c r="A178" s="157" t="s">
        <v>301</v>
      </c>
      <c r="B178" s="157" t="s">
        <v>202</v>
      </c>
      <c r="C178" s="241">
        <f>C138*0.11</f>
        <v>1923.46</v>
      </c>
      <c r="D178" s="178"/>
      <c r="E178" s="265">
        <v>0.1</v>
      </c>
      <c r="F178" s="320">
        <v>0.03</v>
      </c>
      <c r="G178" s="153"/>
      <c r="J178" s="245">
        <f>J138*E178</f>
        <v>1897.2309999999998</v>
      </c>
      <c r="K178" s="245">
        <f>K138*F178</f>
        <v>605.88990000000001</v>
      </c>
    </row>
    <row r="179" spans="1:11" ht="43.2" x14ac:dyDescent="0.3">
      <c r="A179" s="464" t="s">
        <v>168</v>
      </c>
      <c r="B179" s="157">
        <v>0</v>
      </c>
      <c r="C179" s="241">
        <f>(C152+C153)*0.185</f>
        <v>4303.3811999999998</v>
      </c>
      <c r="D179" s="178"/>
      <c r="E179" s="265">
        <v>0.66666666666666663</v>
      </c>
      <c r="F179" s="320">
        <v>0.66666666666666663</v>
      </c>
      <c r="G179" s="153" t="s">
        <v>188</v>
      </c>
      <c r="J179" s="245">
        <f>J156*E179</f>
        <v>4029.7819559200002</v>
      </c>
      <c r="K179" s="245">
        <f>K156*F179</f>
        <v>3353.2436168000008</v>
      </c>
    </row>
    <row r="180" spans="1:11" x14ac:dyDescent="0.3">
      <c r="A180" s="468" t="s">
        <v>273</v>
      </c>
      <c r="B180" s="314">
        <v>0</v>
      </c>
      <c r="C180" s="241">
        <f>C157*0.045</f>
        <v>40.911750000000005</v>
      </c>
      <c r="D180" s="178"/>
      <c r="E180" s="267">
        <v>0.55000000000000004</v>
      </c>
      <c r="F180" s="324">
        <v>0.55000000000000004</v>
      </c>
      <c r="G180" s="153" t="s">
        <v>211</v>
      </c>
      <c r="J180" s="245">
        <f>J160*E180</f>
        <v>190.54489623831776</v>
      </c>
      <c r="K180" s="245">
        <f>K160*F180</f>
        <v>169.94049187500005</v>
      </c>
    </row>
    <row r="181" spans="1:11" x14ac:dyDescent="0.3">
      <c r="A181" s="465" t="s">
        <v>156</v>
      </c>
      <c r="B181" s="240">
        <v>0</v>
      </c>
      <c r="C181" s="314"/>
      <c r="D181" s="178"/>
      <c r="E181" s="216">
        <v>0</v>
      </c>
      <c r="F181" s="322">
        <v>0</v>
      </c>
      <c r="G181" s="153"/>
      <c r="J181" s="354"/>
      <c r="K181" s="355"/>
    </row>
    <row r="182" spans="1:11" ht="15" thickBot="1" x14ac:dyDescent="0.35">
      <c r="A182" s="151" t="s">
        <v>169</v>
      </c>
      <c r="B182" s="151"/>
      <c r="C182" s="241"/>
      <c r="D182" s="191"/>
      <c r="E182" s="273">
        <v>7.6E-3</v>
      </c>
      <c r="F182" s="323">
        <v>7.6E-3</v>
      </c>
      <c r="G182" s="153"/>
      <c r="J182" s="245">
        <f>J176</f>
        <v>47.295092581832449</v>
      </c>
      <c r="K182" s="245">
        <f>K176</f>
        <v>40.320983600590012</v>
      </c>
    </row>
    <row r="183" spans="1:11" x14ac:dyDescent="0.3">
      <c r="A183" s="151" t="s">
        <v>28</v>
      </c>
      <c r="B183" s="151"/>
      <c r="C183" s="276"/>
      <c r="D183" s="191"/>
      <c r="E183" s="277">
        <v>0</v>
      </c>
      <c r="F183" s="325">
        <v>0</v>
      </c>
      <c r="G183" s="153"/>
      <c r="J183" s="195"/>
      <c r="K183" s="195"/>
    </row>
    <row r="184" spans="1:11" x14ac:dyDescent="0.3">
      <c r="A184" s="153" t="s">
        <v>112</v>
      </c>
      <c r="C184" s="328"/>
      <c r="D184" s="299"/>
      <c r="E184" s="283"/>
      <c r="F184" s="283"/>
      <c r="G184" s="153"/>
      <c r="J184" s="195"/>
      <c r="K184" s="195"/>
    </row>
    <row r="185" spans="1:11" x14ac:dyDescent="0.3">
      <c r="C185" s="356"/>
      <c r="D185" s="299"/>
      <c r="E185" s="300"/>
      <c r="G185" s="153"/>
      <c r="J185" s="330"/>
      <c r="K185" s="301"/>
    </row>
    <row r="186" spans="1:11" ht="36.6" x14ac:dyDescent="0.3">
      <c r="A186" s="511" t="s">
        <v>293</v>
      </c>
      <c r="B186" s="511"/>
      <c r="C186" s="511"/>
      <c r="D186" s="511"/>
      <c r="E186" s="511"/>
      <c r="F186" s="511"/>
      <c r="G186" s="511"/>
      <c r="H186" s="511"/>
      <c r="I186" s="511"/>
      <c r="J186" s="511"/>
      <c r="K186" s="511"/>
    </row>
    <row r="187" spans="1:11" ht="36.6" x14ac:dyDescent="0.3">
      <c r="A187" s="504" t="s">
        <v>294</v>
      </c>
      <c r="B187" s="504"/>
      <c r="C187" s="504"/>
      <c r="D187" s="504"/>
      <c r="E187" s="504"/>
      <c r="F187" s="504"/>
      <c r="G187" s="504"/>
      <c r="H187" s="504"/>
      <c r="I187" s="504"/>
      <c r="J187" s="504"/>
      <c r="K187" s="504"/>
    </row>
    <row r="188" spans="1:11" x14ac:dyDescent="0.3">
      <c r="D188" s="153"/>
      <c r="E188" s="505" t="s">
        <v>282</v>
      </c>
      <c r="F188" s="506"/>
      <c r="G188" s="148" t="s">
        <v>283</v>
      </c>
      <c r="H188" s="148" t="s">
        <v>291</v>
      </c>
      <c r="I188" s="148" t="s">
        <v>285</v>
      </c>
      <c r="J188" s="507" t="s">
        <v>281</v>
      </c>
      <c r="K188" s="508"/>
    </row>
    <row r="189" spans="1:11" x14ac:dyDescent="0.3">
      <c r="A189" s="357" t="s">
        <v>26</v>
      </c>
      <c r="B189" s="151" t="s">
        <v>184</v>
      </c>
      <c r="C189" s="358">
        <v>2015</v>
      </c>
      <c r="D189" s="191"/>
      <c r="E189" s="279">
        <v>2030</v>
      </c>
      <c r="F189" s="280">
        <v>2050</v>
      </c>
      <c r="G189" s="149" t="s">
        <v>132</v>
      </c>
      <c r="H189" s="150">
        <v>0</v>
      </c>
      <c r="I189" s="150"/>
      <c r="J189" s="281">
        <v>2030</v>
      </c>
      <c r="K189" s="282">
        <v>2050</v>
      </c>
    </row>
    <row r="190" spans="1:11" x14ac:dyDescent="0.3">
      <c r="A190" s="151" t="s">
        <v>185</v>
      </c>
      <c r="B190" s="177">
        <v>0</v>
      </c>
      <c r="C190" s="151">
        <v>250</v>
      </c>
      <c r="D190" s="191"/>
      <c r="E190" s="359"/>
      <c r="F190" s="360"/>
      <c r="G190" s="153"/>
      <c r="J190" s="361">
        <f>J44+J55+J103+J155</f>
        <v>3970.2285279999978</v>
      </c>
      <c r="K190" s="361">
        <f>K44+K55+K103+K155</f>
        <v>4790.3480240000008</v>
      </c>
    </row>
    <row r="191" spans="1:11" x14ac:dyDescent="0.3">
      <c r="A191" s="151" t="s">
        <v>140</v>
      </c>
      <c r="B191" s="177">
        <v>0.5</v>
      </c>
      <c r="C191" s="151">
        <v>0</v>
      </c>
      <c r="D191" s="191"/>
      <c r="E191" s="362"/>
      <c r="F191" s="363"/>
      <c r="G191" s="153"/>
      <c r="J191" s="198">
        <f>J155/J190</f>
        <v>1</v>
      </c>
      <c r="K191" s="198">
        <f>K155/K190</f>
        <v>1</v>
      </c>
    </row>
    <row r="192" spans="1:11" ht="14.55" customHeight="1" x14ac:dyDescent="0.3">
      <c r="A192" s="151" t="s">
        <v>142</v>
      </c>
      <c r="B192" s="177">
        <v>0.08</v>
      </c>
      <c r="C192" s="151">
        <v>0</v>
      </c>
      <c r="D192" s="191"/>
      <c r="E192" s="362"/>
      <c r="F192" s="363"/>
      <c r="G192" s="153" t="s">
        <v>214</v>
      </c>
      <c r="J192" s="330"/>
      <c r="K192" s="301"/>
    </row>
    <row r="193" spans="1:11" x14ac:dyDescent="0.3">
      <c r="A193" s="151" t="s">
        <v>139</v>
      </c>
      <c r="B193" s="177">
        <v>0.21</v>
      </c>
      <c r="C193" s="151">
        <v>0</v>
      </c>
      <c r="D193" s="191"/>
      <c r="E193" s="362"/>
      <c r="F193" s="363"/>
      <c r="G193" s="153" t="s">
        <v>186</v>
      </c>
      <c r="J193" s="198">
        <f>J103/J190</f>
        <v>0</v>
      </c>
      <c r="K193" s="198">
        <f>K103/K190</f>
        <v>0</v>
      </c>
    </row>
    <row r="194" spans="1:11" ht="87" customHeight="1" x14ac:dyDescent="0.3">
      <c r="A194" s="151" t="s">
        <v>213</v>
      </c>
      <c r="B194" s="177" t="s">
        <v>147</v>
      </c>
      <c r="C194" s="151">
        <v>0</v>
      </c>
      <c r="D194" s="191"/>
      <c r="E194" s="362"/>
      <c r="F194" s="363"/>
      <c r="G194" s="153" t="s">
        <v>215</v>
      </c>
      <c r="J194" s="198">
        <f>(J44+J55)/J190</f>
        <v>0</v>
      </c>
      <c r="K194" s="198">
        <f>(K44+K55)/K190</f>
        <v>0</v>
      </c>
    </row>
    <row r="195" spans="1:11" ht="14.55" customHeight="1" x14ac:dyDescent="0.3">
      <c r="A195" s="153" t="s">
        <v>141</v>
      </c>
      <c r="B195" s="339">
        <v>0.21</v>
      </c>
      <c r="C195" s="153">
        <v>0</v>
      </c>
      <c r="D195" s="299"/>
      <c r="E195" s="202"/>
      <c r="F195" s="364"/>
      <c r="G195" s="153"/>
      <c r="J195" s="198"/>
      <c r="K195" s="198"/>
    </row>
    <row r="196" spans="1:11" x14ac:dyDescent="0.3">
      <c r="D196" s="153"/>
      <c r="G196" s="153"/>
      <c r="J196" s="153"/>
      <c r="K196" s="153"/>
    </row>
    <row r="197" spans="1:11" x14ac:dyDescent="0.3">
      <c r="D197" s="153"/>
      <c r="G197" s="153"/>
      <c r="J197" s="153"/>
      <c r="K197" s="153"/>
    </row>
    <row r="198" spans="1:11" ht="36.6" x14ac:dyDescent="0.3">
      <c r="A198" s="504" t="s">
        <v>295</v>
      </c>
      <c r="B198" s="504"/>
      <c r="C198" s="504"/>
      <c r="D198" s="504"/>
      <c r="E198" s="504"/>
      <c r="F198" s="504"/>
      <c r="G198" s="504"/>
      <c r="H198" s="504"/>
      <c r="I198" s="504"/>
      <c r="J198" s="504"/>
      <c r="K198" s="504"/>
    </row>
    <row r="199" spans="1:11" ht="43.2" x14ac:dyDescent="0.3">
      <c r="A199" s="365" t="s">
        <v>146</v>
      </c>
      <c r="B199" s="151"/>
      <c r="C199" s="358">
        <v>2015</v>
      </c>
      <c r="D199" s="191"/>
      <c r="E199" s="279">
        <v>2030</v>
      </c>
      <c r="F199" s="280">
        <v>2050</v>
      </c>
      <c r="G199" s="153" t="s">
        <v>323</v>
      </c>
      <c r="J199" s="281">
        <v>2030</v>
      </c>
      <c r="K199" s="282">
        <v>2050</v>
      </c>
    </row>
    <row r="200" spans="1:11" x14ac:dyDescent="0.3">
      <c r="A200" s="365" t="s">
        <v>1</v>
      </c>
      <c r="B200" s="151"/>
      <c r="C200" s="177">
        <v>0.41061452513966479</v>
      </c>
      <c r="D200" s="191"/>
      <c r="E200" s="177">
        <v>0.41061452513966479</v>
      </c>
      <c r="F200" s="177">
        <v>0.41061452513966479</v>
      </c>
      <c r="G200" s="161"/>
      <c r="J200" s="361">
        <f>J190*E200</f>
        <v>1630.2335017206694</v>
      </c>
      <c r="K200" s="361">
        <f>K190*F200</f>
        <v>1966.986479128492</v>
      </c>
    </row>
    <row r="201" spans="1:11" x14ac:dyDescent="0.3">
      <c r="A201" s="151" t="s">
        <v>57</v>
      </c>
      <c r="B201" s="151"/>
      <c r="C201" s="177">
        <v>0.27932960893854752</v>
      </c>
      <c r="D201" s="191"/>
      <c r="E201" s="177">
        <v>0.27932960893854752</v>
      </c>
      <c r="F201" s="177">
        <v>0.27932960893854752</v>
      </c>
      <c r="G201" s="153"/>
      <c r="J201" s="361">
        <f>J190*E201</f>
        <v>1109.0023821229045</v>
      </c>
      <c r="K201" s="361">
        <f>K190*F201</f>
        <v>1338.0860402234641</v>
      </c>
    </row>
    <row r="202" spans="1:11" x14ac:dyDescent="0.3">
      <c r="A202" s="151" t="s">
        <v>321</v>
      </c>
      <c r="B202" s="151"/>
      <c r="C202" s="366">
        <v>0.14245810055865921</v>
      </c>
      <c r="D202" s="191"/>
      <c r="E202" s="366">
        <v>0.14245810055865921</v>
      </c>
      <c r="F202" s="366">
        <v>0.14245810055865921</v>
      </c>
      <c r="G202" s="153"/>
      <c r="J202" s="361">
        <f>J190*E202</f>
        <v>565.59121488268124</v>
      </c>
      <c r="K202" s="361">
        <f>K190*F202</f>
        <v>682.42388051396654</v>
      </c>
    </row>
    <row r="203" spans="1:11" x14ac:dyDescent="0.3">
      <c r="A203" s="151" t="s">
        <v>322</v>
      </c>
      <c r="B203" s="151"/>
      <c r="C203" s="177">
        <v>0.16759776536312848</v>
      </c>
      <c r="D203" s="367"/>
      <c r="E203" s="177">
        <v>0.16759776536312848</v>
      </c>
      <c r="F203" s="177">
        <v>0.16759776536312848</v>
      </c>
      <c r="G203" s="153"/>
      <c r="J203" s="361">
        <f>J190*E203</f>
        <v>665.40142927374256</v>
      </c>
      <c r="K203" s="361">
        <f>K190*F203</f>
        <v>802.85162413407829</v>
      </c>
    </row>
    <row r="204" spans="1:11" x14ac:dyDescent="0.3">
      <c r="C204" s="340"/>
      <c r="D204" s="309"/>
      <c r="J204" s="368"/>
      <c r="K204" s="368"/>
    </row>
    <row r="205" spans="1:11" x14ac:dyDescent="0.3">
      <c r="D205" s="309"/>
    </row>
    <row r="206" spans="1:11" x14ac:dyDescent="0.3">
      <c r="A206" s="223"/>
      <c r="D206" s="309"/>
    </row>
    <row r="207" spans="1:11" x14ac:dyDescent="0.3">
      <c r="D207" s="309"/>
    </row>
    <row r="208" spans="1:11" ht="36.6" x14ac:dyDescent="0.3">
      <c r="A208" s="511" t="s">
        <v>292</v>
      </c>
      <c r="B208" s="511"/>
      <c r="C208" s="511"/>
      <c r="D208" s="511"/>
      <c r="E208" s="511"/>
      <c r="F208" s="511"/>
      <c r="G208" s="511"/>
      <c r="H208" s="511"/>
      <c r="I208" s="511"/>
      <c r="J208" s="511"/>
      <c r="K208" s="511"/>
    </row>
    <row r="209" spans="1:11" ht="36.6" x14ac:dyDescent="0.3">
      <c r="A209" s="504" t="s">
        <v>288</v>
      </c>
      <c r="B209" s="504"/>
      <c r="C209" s="504"/>
      <c r="D209" s="504"/>
      <c r="E209" s="504"/>
      <c r="F209" s="504"/>
      <c r="G209" s="504"/>
      <c r="H209" s="504"/>
      <c r="I209" s="504"/>
      <c r="J209" s="504"/>
      <c r="K209" s="504"/>
    </row>
    <row r="210" spans="1:11" x14ac:dyDescent="0.3">
      <c r="D210" s="309"/>
      <c r="E210" s="505" t="s">
        <v>282</v>
      </c>
      <c r="F210" s="506"/>
      <c r="G210" s="148" t="s">
        <v>283</v>
      </c>
      <c r="J210" s="153"/>
      <c r="K210" s="153"/>
    </row>
    <row r="211" spans="1:11" x14ac:dyDescent="0.3">
      <c r="A211" s="151" t="s">
        <v>226</v>
      </c>
      <c r="B211" s="336">
        <v>0</v>
      </c>
      <c r="C211" s="173">
        <v>2015</v>
      </c>
      <c r="D211" s="453"/>
      <c r="E211" s="173">
        <v>2030</v>
      </c>
      <c r="F211" s="174">
        <v>2050</v>
      </c>
      <c r="G211" s="149" t="s">
        <v>132</v>
      </c>
      <c r="J211" s="153"/>
      <c r="K211" s="153"/>
    </row>
    <row r="212" spans="1:11" x14ac:dyDescent="0.3">
      <c r="A212" s="151" t="s">
        <v>137</v>
      </c>
      <c r="B212" s="369">
        <v>1</v>
      </c>
      <c r="C212" s="341">
        <v>42000</v>
      </c>
      <c r="D212" s="370"/>
      <c r="E212" s="341">
        <f>SUM(E213:E215)</f>
        <v>40269.599999999999</v>
      </c>
      <c r="F212" s="341">
        <f>SUM(F213:F215)</f>
        <v>32915.4</v>
      </c>
      <c r="H212" s="297" t="s">
        <v>304</v>
      </c>
      <c r="J212" s="153"/>
      <c r="K212" s="153"/>
    </row>
    <row r="213" spans="1:11" x14ac:dyDescent="0.3">
      <c r="A213" s="151" t="s">
        <v>222</v>
      </c>
      <c r="B213" s="369">
        <f>C213/C$212</f>
        <v>0.5</v>
      </c>
      <c r="C213" s="371">
        <v>21000</v>
      </c>
      <c r="D213" s="370"/>
      <c r="E213" s="372">
        <v>21000</v>
      </c>
      <c r="F213" s="372">
        <v>21000</v>
      </c>
      <c r="G213" s="152" t="s">
        <v>260</v>
      </c>
      <c r="J213" s="153"/>
      <c r="K213" s="153"/>
    </row>
    <row r="214" spans="1:11" ht="28.8" x14ac:dyDescent="0.3">
      <c r="A214" s="151" t="s">
        <v>227</v>
      </c>
      <c r="B214" s="369">
        <f t="shared" ref="B214:B215" si="3">C214/C$212</f>
        <v>0.36</v>
      </c>
      <c r="C214" s="371">
        <v>15120</v>
      </c>
      <c r="D214" s="370"/>
      <c r="E214" s="372">
        <v>15120</v>
      </c>
      <c r="F214" s="372">
        <f>C214*0.64</f>
        <v>9676.8000000000011</v>
      </c>
      <c r="G214" s="152" t="s">
        <v>259</v>
      </c>
      <c r="J214" s="153"/>
      <c r="K214" s="153"/>
    </row>
    <row r="215" spans="1:11" ht="28.8" x14ac:dyDescent="0.3">
      <c r="A215" s="151" t="s">
        <v>228</v>
      </c>
      <c r="B215" s="369">
        <f t="shared" si="3"/>
        <v>0.13</v>
      </c>
      <c r="C215" s="373">
        <v>5460</v>
      </c>
      <c r="D215" s="370"/>
      <c r="E215" s="372">
        <f>C215*(1-0.24)</f>
        <v>4149.6000000000004</v>
      </c>
      <c r="F215" s="372">
        <f>C215*(1-0.59)</f>
        <v>2238.6000000000004</v>
      </c>
      <c r="G215" s="152" t="s">
        <v>261</v>
      </c>
      <c r="J215" s="153"/>
      <c r="K215" s="153"/>
    </row>
    <row r="216" spans="1:11" x14ac:dyDescent="0.3">
      <c r="B216" s="374"/>
      <c r="C216" s="375"/>
      <c r="D216" s="376"/>
      <c r="E216" s="377"/>
      <c r="F216" s="377"/>
      <c r="J216" s="153"/>
      <c r="K216" s="153"/>
    </row>
    <row r="217" spans="1:11" x14ac:dyDescent="0.3">
      <c r="A217" s="153" t="s">
        <v>229</v>
      </c>
      <c r="B217" s="152"/>
      <c r="C217" s="279">
        <v>2015</v>
      </c>
      <c r="D217" s="378"/>
      <c r="E217" s="279">
        <v>2030</v>
      </c>
      <c r="F217" s="280">
        <v>2050</v>
      </c>
      <c r="J217" s="153"/>
      <c r="K217" s="153"/>
    </row>
    <row r="218" spans="1:11" x14ac:dyDescent="0.3">
      <c r="A218" s="286" t="s">
        <v>229</v>
      </c>
      <c r="B218" s="379">
        <v>1.3095238095238096E-2</v>
      </c>
      <c r="C218" s="372">
        <v>550</v>
      </c>
      <c r="D218" s="380"/>
      <c r="E218" s="359">
        <v>2013.8701808248989</v>
      </c>
      <c r="F218" s="359">
        <v>3925.3118501279605</v>
      </c>
    </row>
    <row r="219" spans="1:11" x14ac:dyDescent="0.3">
      <c r="A219" s="146"/>
      <c r="B219" s="146"/>
      <c r="C219" s="146"/>
      <c r="D219" s="381"/>
      <c r="E219" s="377"/>
      <c r="F219" s="377"/>
    </row>
    <row r="220" spans="1:11" ht="28.8" x14ac:dyDescent="0.3">
      <c r="A220" s="308" t="s">
        <v>230</v>
      </c>
      <c r="C220" s="279">
        <v>2015</v>
      </c>
      <c r="D220" s="309"/>
      <c r="E220" s="279">
        <v>2030</v>
      </c>
      <c r="F220" s="280">
        <v>2050</v>
      </c>
      <c r="J220" s="512"/>
      <c r="K220" s="512"/>
    </row>
    <row r="221" spans="1:11" ht="43.2" x14ac:dyDescent="0.3">
      <c r="A221" s="162" t="s">
        <v>231</v>
      </c>
      <c r="B221" s="382">
        <v>0.72376357056694818</v>
      </c>
      <c r="C221" s="383">
        <v>30000</v>
      </c>
      <c r="D221" s="384">
        <v>0</v>
      </c>
      <c r="E221" s="385">
        <v>27693.75158191055</v>
      </c>
      <c r="F221" s="385">
        <v>25568.979482136296</v>
      </c>
    </row>
    <row r="222" spans="1:11" x14ac:dyDescent="0.3">
      <c r="A222" s="163" t="s">
        <v>232</v>
      </c>
      <c r="B222" s="386">
        <v>4.8250904704463205E-3</v>
      </c>
      <c r="C222" s="387">
        <v>200</v>
      </c>
      <c r="D222" s="388">
        <v>0</v>
      </c>
      <c r="E222" s="385">
        <v>184.62501054607031</v>
      </c>
      <c r="F222" s="385">
        <v>170.45986321424195</v>
      </c>
      <c r="J222" s="368"/>
      <c r="K222" s="368"/>
    </row>
    <row r="223" spans="1:11" x14ac:dyDescent="0.3">
      <c r="A223" s="164" t="s">
        <v>217</v>
      </c>
      <c r="B223" s="389">
        <v>7.2376357056694818E-2</v>
      </c>
      <c r="C223" s="383">
        <v>3000</v>
      </c>
      <c r="D223" s="384">
        <v>0</v>
      </c>
      <c r="E223" s="385">
        <v>2769.3751581910551</v>
      </c>
      <c r="F223" s="385">
        <v>2556.8979482136297</v>
      </c>
      <c r="J223" s="368"/>
      <c r="K223" s="368"/>
    </row>
    <row r="224" spans="1:11" x14ac:dyDescent="0.3">
      <c r="A224" s="164" t="s">
        <v>138</v>
      </c>
      <c r="B224" s="389">
        <v>5.3799758745476475E-2</v>
      </c>
      <c r="C224" s="383">
        <v>2230</v>
      </c>
      <c r="D224" s="384">
        <v>0</v>
      </c>
      <c r="E224" s="385">
        <v>2058.568867588684</v>
      </c>
      <c r="F224" s="385">
        <v>1900.6274748387978</v>
      </c>
      <c r="J224" s="368"/>
      <c r="K224" s="368"/>
    </row>
    <row r="225" spans="1:11" x14ac:dyDescent="0.3">
      <c r="A225" s="164" t="s">
        <v>233</v>
      </c>
      <c r="B225" s="389">
        <v>1.4475271411338963E-2</v>
      </c>
      <c r="C225" s="383">
        <v>600</v>
      </c>
      <c r="D225" s="384">
        <v>0</v>
      </c>
      <c r="E225" s="385">
        <v>553.875031638211</v>
      </c>
      <c r="F225" s="385">
        <v>511.37958964272588</v>
      </c>
      <c r="J225" s="368"/>
      <c r="K225" s="368"/>
    </row>
    <row r="226" spans="1:11" x14ac:dyDescent="0.3">
      <c r="A226" s="164" t="s">
        <v>234</v>
      </c>
      <c r="B226" s="389">
        <v>1.2062726176115801E-3</v>
      </c>
      <c r="C226" s="383">
        <v>50</v>
      </c>
      <c r="D226" s="384">
        <v>0</v>
      </c>
      <c r="E226" s="385">
        <v>46.156252636517578</v>
      </c>
      <c r="F226" s="385">
        <v>42.614965803560487</v>
      </c>
      <c r="J226" s="368"/>
      <c r="K226" s="368"/>
    </row>
    <row r="227" spans="1:11" x14ac:dyDescent="0.3">
      <c r="A227" s="164" t="s">
        <v>63</v>
      </c>
      <c r="B227" s="389">
        <v>3.8600723763570566E-3</v>
      </c>
      <c r="C227" s="383">
        <v>160</v>
      </c>
      <c r="D227" s="384">
        <v>0</v>
      </c>
      <c r="E227" s="385">
        <v>147.70000843685625</v>
      </c>
      <c r="F227" s="385">
        <v>136.36789057139356</v>
      </c>
      <c r="J227" s="368"/>
      <c r="K227" s="368"/>
    </row>
    <row r="228" spans="1:11" x14ac:dyDescent="0.3">
      <c r="A228" s="164" t="s">
        <v>235</v>
      </c>
      <c r="B228" s="389">
        <v>7.2376357056694817E-4</v>
      </c>
      <c r="C228" s="383">
        <v>30</v>
      </c>
      <c r="D228" s="384">
        <v>0</v>
      </c>
      <c r="E228" s="385">
        <v>27.693751581910551</v>
      </c>
      <c r="F228" s="385">
        <v>25.568979482136292</v>
      </c>
      <c r="J228" s="368"/>
      <c r="K228" s="368"/>
    </row>
    <row r="229" spans="1:11" x14ac:dyDescent="0.3">
      <c r="A229" s="164"/>
      <c r="B229" s="389"/>
      <c r="C229" s="383"/>
      <c r="D229" s="384"/>
      <c r="E229" s="385"/>
      <c r="F229" s="385"/>
    </row>
    <row r="230" spans="1:11" x14ac:dyDescent="0.3">
      <c r="A230" s="164" t="s">
        <v>236</v>
      </c>
      <c r="B230" s="389">
        <v>8.2026537997587454E-2</v>
      </c>
      <c r="C230" s="383">
        <v>3400</v>
      </c>
      <c r="D230" s="384">
        <v>0</v>
      </c>
      <c r="E230" s="385">
        <v>3138.6251792831954</v>
      </c>
      <c r="F230" s="385">
        <v>2897.8176746421132</v>
      </c>
      <c r="J230" s="368"/>
      <c r="K230" s="368"/>
    </row>
    <row r="231" spans="1:11" x14ac:dyDescent="0.3">
      <c r="A231" s="164" t="s">
        <v>62</v>
      </c>
      <c r="B231" s="389">
        <v>4.1013268998793727E-2</v>
      </c>
      <c r="C231" s="383">
        <v>1700</v>
      </c>
      <c r="D231" s="384">
        <v>0</v>
      </c>
      <c r="E231" s="385">
        <v>1569.3125896415977</v>
      </c>
      <c r="F231" s="385">
        <v>1448.9088373210566</v>
      </c>
      <c r="J231" s="368"/>
      <c r="K231" s="368"/>
    </row>
    <row r="232" spans="1:11" x14ac:dyDescent="0.3">
      <c r="A232" s="164"/>
      <c r="B232" s="389"/>
      <c r="C232" s="383"/>
      <c r="D232" s="384"/>
      <c r="E232" s="390"/>
      <c r="F232" s="391"/>
      <c r="J232" s="368"/>
      <c r="K232" s="368"/>
    </row>
    <row r="233" spans="1:11" ht="36.6" x14ac:dyDescent="0.3">
      <c r="A233" s="504" t="s">
        <v>289</v>
      </c>
      <c r="B233" s="504"/>
      <c r="C233" s="504"/>
      <c r="D233" s="504"/>
      <c r="E233" s="504"/>
      <c r="F233" s="504"/>
      <c r="G233" s="504"/>
      <c r="H233" s="504"/>
      <c r="I233" s="504"/>
      <c r="J233" s="504"/>
      <c r="K233" s="504"/>
    </row>
    <row r="234" spans="1:11" x14ac:dyDescent="0.3">
      <c r="A234" s="115" t="s">
        <v>148</v>
      </c>
      <c r="B234" s="392"/>
      <c r="C234" s="115"/>
      <c r="D234" s="393"/>
      <c r="E234" s="159"/>
      <c r="F234" s="394"/>
      <c r="J234" s="368"/>
      <c r="K234" s="368"/>
    </row>
    <row r="235" spans="1:11" x14ac:dyDescent="0.3">
      <c r="A235" s="116" t="s">
        <v>170</v>
      </c>
      <c r="B235" s="395"/>
      <c r="C235" s="116"/>
      <c r="D235" s="396"/>
      <c r="E235" s="159"/>
      <c r="F235" s="394"/>
      <c r="J235" s="368"/>
      <c r="K235" s="368"/>
    </row>
    <row r="236" spans="1:11" x14ac:dyDescent="0.3">
      <c r="A236" s="117" t="s">
        <v>171</v>
      </c>
      <c r="B236" s="397"/>
      <c r="C236" s="398"/>
      <c r="D236" s="399"/>
      <c r="E236" s="159"/>
      <c r="F236" s="394"/>
      <c r="J236" s="368"/>
      <c r="K236" s="368"/>
    </row>
    <row r="237" spans="1:11" x14ac:dyDescent="0.3">
      <c r="A237" s="118"/>
      <c r="B237" s="400"/>
      <c r="C237" s="401"/>
      <c r="D237" s="402"/>
      <c r="E237" s="159"/>
      <c r="F237" s="394"/>
      <c r="J237" s="368"/>
      <c r="K237" s="368"/>
    </row>
    <row r="238" spans="1:11" x14ac:dyDescent="0.3">
      <c r="A238" s="118"/>
      <c r="B238" s="400"/>
      <c r="C238" s="401"/>
      <c r="D238" s="402"/>
      <c r="F238" s="394"/>
      <c r="J238" s="403"/>
      <c r="K238" s="403"/>
    </row>
    <row r="239" spans="1:11" x14ac:dyDescent="0.3">
      <c r="A239" s="118"/>
      <c r="B239" s="400"/>
      <c r="C239" s="401"/>
      <c r="D239" s="402"/>
      <c r="E239" s="152"/>
      <c r="F239" s="152"/>
      <c r="J239" s="403"/>
      <c r="K239" s="403"/>
    </row>
    <row r="240" spans="1:11" x14ac:dyDescent="0.3">
      <c r="A240" s="223" t="s">
        <v>237</v>
      </c>
      <c r="B240" s="128">
        <v>0</v>
      </c>
      <c r="C240" s="516">
        <v>2015</v>
      </c>
      <c r="D240" s="517">
        <v>0</v>
      </c>
      <c r="E240" s="173">
        <v>2030</v>
      </c>
      <c r="F240" s="174">
        <v>2050</v>
      </c>
      <c r="J240" s="403"/>
      <c r="K240" s="403"/>
    </row>
    <row r="241" spans="1:11" x14ac:dyDescent="0.3">
      <c r="A241" s="120" t="s">
        <v>238</v>
      </c>
      <c r="B241" s="165">
        <v>0.05</v>
      </c>
      <c r="C241" s="383">
        <v>1500</v>
      </c>
      <c r="D241" s="384">
        <v>0</v>
      </c>
      <c r="E241" s="315">
        <v>2769.3751581910551</v>
      </c>
      <c r="F241" s="315">
        <v>2556.8979482136297</v>
      </c>
      <c r="J241" s="403"/>
      <c r="K241" s="403"/>
    </row>
    <row r="242" spans="1:11" ht="28.8" x14ac:dyDescent="0.3">
      <c r="A242" s="119" t="s">
        <v>239</v>
      </c>
      <c r="B242" s="404">
        <v>0.33333333333333331</v>
      </c>
      <c r="C242" s="405">
        <v>10000</v>
      </c>
      <c r="D242" s="406">
        <v>0</v>
      </c>
      <c r="E242" s="315">
        <v>12459.885275974786</v>
      </c>
      <c r="F242" s="315">
        <v>11503.668151076383</v>
      </c>
      <c r="G242" s="509" t="s">
        <v>246</v>
      </c>
      <c r="H242" s="510"/>
      <c r="J242" s="403"/>
      <c r="K242" s="403"/>
    </row>
    <row r="243" spans="1:11" x14ac:dyDescent="0.3">
      <c r="A243" s="119" t="s">
        <v>240</v>
      </c>
      <c r="B243" s="404">
        <v>0.38333333333333336</v>
      </c>
      <c r="C243" s="405">
        <v>11500</v>
      </c>
      <c r="D243" s="406">
        <v>0</v>
      </c>
      <c r="E243" s="315">
        <v>10613.976346200745</v>
      </c>
      <c r="F243" s="315">
        <v>9799.4210175835869</v>
      </c>
      <c r="J243" s="403"/>
      <c r="K243" s="403"/>
    </row>
    <row r="244" spans="1:11" x14ac:dyDescent="0.3">
      <c r="A244" s="119" t="s">
        <v>241</v>
      </c>
      <c r="B244" s="404">
        <v>0.23333333333333334</v>
      </c>
      <c r="C244" s="405">
        <v>7000</v>
      </c>
      <c r="D244" s="406">
        <v>0.23333333333333334</v>
      </c>
      <c r="E244" s="315">
        <v>1845.9089297740436</v>
      </c>
      <c r="F244" s="315">
        <v>1704.2471334927986</v>
      </c>
      <c r="I244" s="170"/>
      <c r="J244" s="403"/>
      <c r="K244" s="403"/>
    </row>
    <row r="245" spans="1:11" x14ac:dyDescent="0.3">
      <c r="A245" s="122" t="s">
        <v>225</v>
      </c>
      <c r="B245" s="407"/>
      <c r="C245" s="408"/>
      <c r="D245" s="409"/>
      <c r="E245" s="315"/>
      <c r="F245" s="315"/>
      <c r="J245" s="403"/>
      <c r="K245" s="403"/>
    </row>
    <row r="246" spans="1:11" x14ac:dyDescent="0.3">
      <c r="A246" s="123" t="s">
        <v>223</v>
      </c>
      <c r="B246" s="407"/>
      <c r="C246" s="408"/>
      <c r="D246" s="409"/>
      <c r="E246" s="315"/>
      <c r="F246" s="315"/>
      <c r="J246" s="368"/>
      <c r="K246" s="368"/>
    </row>
    <row r="247" spans="1:11" x14ac:dyDescent="0.3">
      <c r="A247" s="123" t="s">
        <v>224</v>
      </c>
      <c r="B247" s="407"/>
      <c r="C247" s="408"/>
      <c r="D247" s="409"/>
      <c r="E247" s="315"/>
      <c r="F247" s="315"/>
      <c r="J247" s="368"/>
      <c r="K247" s="368"/>
    </row>
    <row r="248" spans="1:11" x14ac:dyDescent="0.3">
      <c r="A248" s="123">
        <v>0</v>
      </c>
      <c r="B248" s="407"/>
      <c r="C248" s="408"/>
      <c r="D248" s="409"/>
      <c r="E248" s="315"/>
      <c r="F248" s="315"/>
      <c r="J248" s="368"/>
      <c r="K248" s="368"/>
    </row>
    <row r="249" spans="1:11" x14ac:dyDescent="0.3">
      <c r="A249" s="166" t="s">
        <v>143</v>
      </c>
      <c r="B249" s="410"/>
      <c r="C249" s="408"/>
      <c r="D249" s="409"/>
      <c r="E249" s="411"/>
      <c r="F249" s="411"/>
      <c r="J249" s="403"/>
      <c r="K249" s="403"/>
    </row>
    <row r="250" spans="1:11" ht="28.8" x14ac:dyDescent="0.3">
      <c r="A250" s="125" t="s">
        <v>242</v>
      </c>
      <c r="B250" s="412">
        <v>0.37948717948717947</v>
      </c>
      <c r="C250" s="413">
        <v>3700</v>
      </c>
      <c r="D250" s="414">
        <v>0</v>
      </c>
      <c r="E250" s="248">
        <v>6831.1253902046028</v>
      </c>
      <c r="F250" s="248">
        <v>6307.0149389269518</v>
      </c>
      <c r="J250" s="368"/>
      <c r="K250" s="368"/>
    </row>
    <row r="251" spans="1:11" x14ac:dyDescent="0.3">
      <c r="A251" s="122" t="s">
        <v>118</v>
      </c>
      <c r="B251" s="415"/>
      <c r="C251" s="408"/>
      <c r="D251" s="409"/>
      <c r="E251" s="411"/>
      <c r="F251" s="315"/>
      <c r="J251" s="368"/>
      <c r="K251" s="368"/>
    </row>
    <row r="252" spans="1:11" x14ac:dyDescent="0.3">
      <c r="A252" s="123" t="s">
        <v>155</v>
      </c>
      <c r="B252" s="407"/>
      <c r="C252" s="408"/>
      <c r="D252" s="409"/>
      <c r="E252" s="416"/>
      <c r="F252" s="315"/>
      <c r="J252" s="368"/>
      <c r="K252" s="368"/>
    </row>
    <row r="253" spans="1:11" x14ac:dyDescent="0.3">
      <c r="A253" s="123" t="s">
        <v>218</v>
      </c>
      <c r="B253" s="415"/>
      <c r="C253" s="408"/>
      <c r="D253" s="409"/>
      <c r="E253" s="417"/>
      <c r="F253" s="315"/>
      <c r="J253" s="368"/>
      <c r="K253" s="368"/>
    </row>
    <row r="254" spans="1:11" x14ac:dyDescent="0.3">
      <c r="A254" s="167" t="s">
        <v>159</v>
      </c>
      <c r="B254" s="415"/>
      <c r="C254" s="408"/>
      <c r="D254" s="409"/>
      <c r="E254" s="417"/>
      <c r="F254" s="315"/>
      <c r="J254" s="368"/>
      <c r="K254" s="368"/>
    </row>
    <row r="255" spans="1:11" x14ac:dyDescent="0.3">
      <c r="A255" s="123" t="s">
        <v>216</v>
      </c>
      <c r="B255" s="415"/>
      <c r="C255" s="408"/>
      <c r="D255" s="409"/>
      <c r="E255" s="417"/>
      <c r="F255" s="315"/>
      <c r="J255" s="368"/>
      <c r="K255" s="368"/>
    </row>
    <row r="256" spans="1:11" x14ac:dyDescent="0.3">
      <c r="A256" s="167" t="s">
        <v>131</v>
      </c>
      <c r="B256" s="415"/>
      <c r="C256" s="408"/>
      <c r="D256" s="409"/>
      <c r="E256" s="411"/>
      <c r="F256" s="411"/>
    </row>
    <row r="257" spans="1:11" x14ac:dyDescent="0.3">
      <c r="A257" s="167" t="s">
        <v>159</v>
      </c>
      <c r="B257" s="418"/>
      <c r="C257" s="408"/>
      <c r="D257" s="409"/>
      <c r="E257" s="411"/>
      <c r="F257" s="315"/>
      <c r="J257" s="368"/>
      <c r="K257" s="368"/>
    </row>
    <row r="258" spans="1:11" x14ac:dyDescent="0.3">
      <c r="A258" s="123" t="s">
        <v>149</v>
      </c>
      <c r="B258" s="415"/>
      <c r="C258" s="408"/>
      <c r="D258" s="409"/>
      <c r="E258" s="411"/>
      <c r="F258" s="419"/>
    </row>
    <row r="259" spans="1:11" x14ac:dyDescent="0.3">
      <c r="A259" s="123" t="s">
        <v>150</v>
      </c>
      <c r="B259" s="418"/>
      <c r="C259" s="408"/>
      <c r="D259" s="409"/>
      <c r="E259" s="411"/>
      <c r="F259" s="419"/>
    </row>
    <row r="260" spans="1:11" x14ac:dyDescent="0.3">
      <c r="A260" s="123" t="s">
        <v>151</v>
      </c>
      <c r="B260" s="418"/>
      <c r="C260" s="408"/>
      <c r="D260" s="409"/>
      <c r="E260" s="411"/>
      <c r="F260" s="419"/>
    </row>
    <row r="261" spans="1:11" x14ac:dyDescent="0.3">
      <c r="A261" s="123" t="s">
        <v>159</v>
      </c>
      <c r="B261" s="418"/>
      <c r="C261" s="408"/>
      <c r="D261" s="409"/>
      <c r="E261" s="411"/>
      <c r="F261" s="419"/>
    </row>
    <row r="262" spans="1:11" x14ac:dyDescent="0.3">
      <c r="A262" s="123" t="s">
        <v>118</v>
      </c>
      <c r="B262" s="418"/>
      <c r="C262" s="408"/>
      <c r="D262" s="409"/>
      <c r="E262" s="411"/>
      <c r="F262" s="419"/>
    </row>
    <row r="263" spans="1:11" x14ac:dyDescent="0.3">
      <c r="A263" s="123" t="s">
        <v>156</v>
      </c>
      <c r="B263" s="418"/>
      <c r="C263" s="408"/>
      <c r="D263" s="409"/>
      <c r="E263" s="411"/>
      <c r="F263" s="419"/>
    </row>
    <row r="264" spans="1:11" x14ac:dyDescent="0.3">
      <c r="A264" s="123" t="s">
        <v>23</v>
      </c>
      <c r="B264" s="418"/>
      <c r="C264" s="408"/>
      <c r="D264" s="409"/>
      <c r="E264" s="411"/>
      <c r="F264" s="419"/>
    </row>
    <row r="265" spans="1:11" x14ac:dyDescent="0.3">
      <c r="A265" s="123" t="s">
        <v>219</v>
      </c>
      <c r="B265" s="418"/>
      <c r="C265" s="408"/>
      <c r="D265" s="409"/>
      <c r="E265" s="411"/>
      <c r="F265" s="419"/>
    </row>
    <row r="266" spans="1:11" x14ac:dyDescent="0.3">
      <c r="A266" s="123" t="s">
        <v>220</v>
      </c>
      <c r="B266" s="418"/>
      <c r="C266" s="408"/>
      <c r="D266" s="409"/>
      <c r="E266" s="411"/>
      <c r="F266" s="419"/>
    </row>
    <row r="267" spans="1:11" x14ac:dyDescent="0.3">
      <c r="A267" s="123" t="s">
        <v>156</v>
      </c>
      <c r="B267" s="418"/>
      <c r="C267" s="408"/>
      <c r="D267" s="409"/>
      <c r="E267" s="411"/>
      <c r="F267" s="419"/>
    </row>
    <row r="268" spans="1:11" x14ac:dyDescent="0.3">
      <c r="A268" s="123" t="s">
        <v>115</v>
      </c>
      <c r="B268" s="418"/>
      <c r="C268" s="408"/>
      <c r="D268" s="409"/>
      <c r="E268" s="411"/>
      <c r="F268" s="419"/>
    </row>
    <row r="269" spans="1:11" ht="14.55" customHeight="1" x14ac:dyDescent="0.3">
      <c r="A269" s="125" t="s">
        <v>243</v>
      </c>
      <c r="B269" s="420">
        <v>9.0256410256410263E-2</v>
      </c>
      <c r="C269" s="413">
        <v>880</v>
      </c>
      <c r="D269" s="421">
        <v>0</v>
      </c>
      <c r="E269" s="413">
        <v>1624.3998582011573</v>
      </c>
      <c r="F269" s="413">
        <v>1499.7374774736618</v>
      </c>
    </row>
    <row r="270" spans="1:11" x14ac:dyDescent="0.3">
      <c r="A270" s="123" t="s">
        <v>157</v>
      </c>
      <c r="B270" s="418"/>
      <c r="C270" s="408"/>
      <c r="D270" s="409"/>
      <c r="E270" s="411"/>
      <c r="F270" s="419"/>
    </row>
    <row r="271" spans="1:11" x14ac:dyDescent="0.3">
      <c r="A271" s="124" t="s">
        <v>25</v>
      </c>
      <c r="B271" s="422">
        <v>0.5641025641025641</v>
      </c>
      <c r="C271" s="405">
        <v>5500</v>
      </c>
      <c r="D271" s="423">
        <v>0</v>
      </c>
      <c r="E271" s="405">
        <v>544.54313428334206</v>
      </c>
      <c r="F271" s="405">
        <v>502.7529043803749</v>
      </c>
    </row>
    <row r="272" spans="1:11" x14ac:dyDescent="0.3">
      <c r="A272" s="123" t="s">
        <v>219</v>
      </c>
      <c r="B272" s="418"/>
      <c r="C272" s="408"/>
      <c r="D272" s="409"/>
      <c r="E272" s="411"/>
      <c r="F272" s="419"/>
    </row>
    <row r="273" spans="1:11" x14ac:dyDescent="0.3">
      <c r="A273" s="123" t="s">
        <v>220</v>
      </c>
      <c r="B273" s="418"/>
      <c r="C273" s="408"/>
      <c r="D273" s="409"/>
      <c r="E273" s="411"/>
      <c r="F273" s="419"/>
    </row>
    <row r="274" spans="1:11" x14ac:dyDescent="0.3">
      <c r="A274" s="123" t="s">
        <v>156</v>
      </c>
      <c r="B274" s="418"/>
      <c r="C274" s="408"/>
      <c r="D274" s="409"/>
      <c r="E274" s="411"/>
      <c r="F274" s="419"/>
    </row>
    <row r="275" spans="1:11" x14ac:dyDescent="0.3">
      <c r="A275" s="123" t="s">
        <v>169</v>
      </c>
      <c r="B275" s="418"/>
      <c r="C275" s="408"/>
      <c r="D275" s="409"/>
      <c r="E275" s="411"/>
      <c r="F275" s="419"/>
    </row>
    <row r="276" spans="1:11" x14ac:dyDescent="0.3">
      <c r="A276" s="124" t="s">
        <v>28</v>
      </c>
      <c r="B276" s="424" t="s">
        <v>221</v>
      </c>
      <c r="C276" s="405">
        <v>0</v>
      </c>
      <c r="D276" s="423">
        <v>0</v>
      </c>
      <c r="E276" s="405">
        <v>0</v>
      </c>
      <c r="F276" s="405">
        <v>0</v>
      </c>
    </row>
    <row r="277" spans="1:11" x14ac:dyDescent="0.3">
      <c r="A277" s="123" t="s">
        <v>112</v>
      </c>
      <c r="B277" s="418"/>
      <c r="C277" s="408"/>
      <c r="D277" s="409"/>
      <c r="E277" s="411"/>
      <c r="F277" s="419"/>
    </row>
    <row r="278" spans="1:11" x14ac:dyDescent="0.3">
      <c r="A278" s="127" t="s">
        <v>244</v>
      </c>
      <c r="B278" s="425">
        <v>0.80588235294117649</v>
      </c>
      <c r="C278" s="426">
        <v>1370</v>
      </c>
      <c r="D278" s="427">
        <v>0</v>
      </c>
      <c r="E278" s="405">
        <v>1569.0225903079358</v>
      </c>
      <c r="F278" s="405">
        <v>1448.6100634688778</v>
      </c>
    </row>
    <row r="279" spans="1:11" x14ac:dyDescent="0.3">
      <c r="A279" s="118"/>
      <c r="B279" s="428"/>
      <c r="C279" s="429"/>
      <c r="D279" s="430"/>
      <c r="E279" s="431"/>
      <c r="F279" s="432"/>
    </row>
    <row r="280" spans="1:11" ht="36.6" x14ac:dyDescent="0.3">
      <c r="A280" s="504" t="s">
        <v>313</v>
      </c>
      <c r="B280" s="504"/>
      <c r="C280" s="504"/>
      <c r="D280" s="504"/>
      <c r="E280" s="504"/>
      <c r="F280" s="504"/>
      <c r="G280" s="504"/>
      <c r="H280" s="504"/>
      <c r="I280" s="504"/>
      <c r="J280" s="504"/>
      <c r="K280" s="504"/>
    </row>
    <row r="281" spans="1:11" ht="28.8" x14ac:dyDescent="0.3">
      <c r="A281" s="302" t="s">
        <v>316</v>
      </c>
      <c r="B281" s="433" t="s">
        <v>312</v>
      </c>
      <c r="C281" s="434" t="s">
        <v>314</v>
      </c>
      <c r="D281" s="430"/>
      <c r="F281" s="328"/>
    </row>
    <row r="282" spans="1:11" ht="29.4" thickBot="1" x14ac:dyDescent="0.35">
      <c r="A282" s="133" t="s">
        <v>309</v>
      </c>
      <c r="B282" s="136">
        <f>C93</f>
        <v>35927</v>
      </c>
      <c r="C282" s="136">
        <v>38900</v>
      </c>
      <c r="D282" s="430"/>
      <c r="F282" s="328"/>
    </row>
    <row r="283" spans="1:11" ht="14.55" customHeight="1" thickBot="1" x14ac:dyDescent="0.35">
      <c r="A283" s="135" t="s">
        <v>305</v>
      </c>
      <c r="B283" s="136">
        <f>C145</f>
        <v>35669</v>
      </c>
      <c r="C283" s="136">
        <v>35669</v>
      </c>
      <c r="D283" s="435"/>
      <c r="F283" s="328"/>
    </row>
    <row r="284" spans="1:11" ht="15" thickBot="1" x14ac:dyDescent="0.35">
      <c r="A284" s="133" t="s">
        <v>306</v>
      </c>
      <c r="B284" s="136">
        <f>C212</f>
        <v>42000</v>
      </c>
      <c r="C284" s="136">
        <v>42000</v>
      </c>
      <c r="D284" s="430"/>
      <c r="F284" s="328"/>
    </row>
    <row r="285" spans="1:11" ht="15" thickBot="1" x14ac:dyDescent="0.35">
      <c r="A285" s="138" t="s">
        <v>315</v>
      </c>
      <c r="B285" s="139">
        <f>SUM(B282:B284)</f>
        <v>113596</v>
      </c>
      <c r="C285" s="139">
        <f>SUM(C282:C284)</f>
        <v>116569</v>
      </c>
      <c r="D285" s="430"/>
      <c r="F285" s="328"/>
    </row>
    <row r="286" spans="1:11" ht="15" thickBot="1" x14ac:dyDescent="0.35">
      <c r="A286" s="134" t="s">
        <v>307</v>
      </c>
      <c r="B286" s="168" t="s">
        <v>310</v>
      </c>
      <c r="C286" s="137">
        <v>178100</v>
      </c>
      <c r="D286" s="430"/>
      <c r="F286" s="328"/>
    </row>
    <row r="287" spans="1:11" ht="15" thickBot="1" x14ac:dyDescent="0.35">
      <c r="A287" s="133" t="s">
        <v>308</v>
      </c>
      <c r="B287" s="168" t="s">
        <v>311</v>
      </c>
      <c r="C287" s="137">
        <v>4200</v>
      </c>
      <c r="D287" s="430"/>
      <c r="F287" s="328"/>
    </row>
    <row r="288" spans="1:11" x14ac:dyDescent="0.3">
      <c r="A288" s="302" t="s">
        <v>119</v>
      </c>
      <c r="B288" s="128"/>
      <c r="C288" s="436">
        <f>SUM(C285:C287)</f>
        <v>298869</v>
      </c>
      <c r="D288" s="430"/>
      <c r="F288" s="328"/>
    </row>
    <row r="289" spans="4:4" ht="14.55" customHeight="1" x14ac:dyDescent="0.3"/>
    <row r="292" spans="4:4" x14ac:dyDescent="0.3">
      <c r="D292" s="153"/>
    </row>
    <row r="293" spans="4:4" x14ac:dyDescent="0.3">
      <c r="D293" s="153"/>
    </row>
    <row r="294" spans="4:4" x14ac:dyDescent="0.3">
      <c r="D294" s="153"/>
    </row>
    <row r="295" spans="4:4" x14ac:dyDescent="0.3">
      <c r="D295" s="153"/>
    </row>
    <row r="296" spans="4:4" x14ac:dyDescent="0.3">
      <c r="D296" s="153"/>
    </row>
    <row r="297" spans="4:4" x14ac:dyDescent="0.3">
      <c r="D297" s="153"/>
    </row>
    <row r="298" spans="4:4" x14ac:dyDescent="0.3">
      <c r="D298" s="153"/>
    </row>
    <row r="299" spans="4:4" x14ac:dyDescent="0.3">
      <c r="D299" s="153"/>
    </row>
    <row r="300" spans="4:4" x14ac:dyDescent="0.3">
      <c r="D300" s="153"/>
    </row>
    <row r="301" spans="4:4" x14ac:dyDescent="0.3">
      <c r="D301" s="153"/>
    </row>
  </sheetData>
  <mergeCells count="49">
    <mergeCell ref="A280:K280"/>
    <mergeCell ref="E78:F78"/>
    <mergeCell ref="E134:F134"/>
    <mergeCell ref="J134:K134"/>
    <mergeCell ref="A1:K1"/>
    <mergeCell ref="E6:F6"/>
    <mergeCell ref="J6:K6"/>
    <mergeCell ref="A9:A11"/>
    <mergeCell ref="A12:A14"/>
    <mergeCell ref="E99:F99"/>
    <mergeCell ref="J99:K99"/>
    <mergeCell ref="A29:A30"/>
    <mergeCell ref="E40:F40"/>
    <mergeCell ref="J40:K40"/>
    <mergeCell ref="B51:B53"/>
    <mergeCell ref="A58:A60"/>
    <mergeCell ref="A132:K132"/>
    <mergeCell ref="A36:K36"/>
    <mergeCell ref="A21:A23"/>
    <mergeCell ref="A24:A26"/>
    <mergeCell ref="A27:A28"/>
    <mergeCell ref="J78:K78"/>
    <mergeCell ref="A31:A33"/>
    <mergeCell ref="A95:K95"/>
    <mergeCell ref="B110:B112"/>
    <mergeCell ref="A117:A119"/>
    <mergeCell ref="A3:K3"/>
    <mergeCell ref="A75:K75"/>
    <mergeCell ref="A131:K131"/>
    <mergeCell ref="A4:K4"/>
    <mergeCell ref="A76:K76"/>
    <mergeCell ref="A15:A17"/>
    <mergeCell ref="A18:A20"/>
    <mergeCell ref="A146:K146"/>
    <mergeCell ref="E188:F188"/>
    <mergeCell ref="J188:K188"/>
    <mergeCell ref="G242:H242"/>
    <mergeCell ref="A208:K208"/>
    <mergeCell ref="A209:K209"/>
    <mergeCell ref="A233:K233"/>
    <mergeCell ref="E210:F210"/>
    <mergeCell ref="J220:K220"/>
    <mergeCell ref="E150:F150"/>
    <mergeCell ref="J150:K150"/>
    <mergeCell ref="B163:B165"/>
    <mergeCell ref="C240:D240"/>
    <mergeCell ref="A186:K186"/>
    <mergeCell ref="A187:K187"/>
    <mergeCell ref="A198:K19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E12"/>
  <sheetViews>
    <sheetView zoomScale="115" zoomScaleNormal="115" workbookViewId="0">
      <selection activeCell="F6" sqref="F6:I12"/>
    </sheetView>
  </sheetViews>
  <sheetFormatPr baseColWidth="10" defaultColWidth="11.44140625" defaultRowHeight="14.4" x14ac:dyDescent="0.3"/>
  <cols>
    <col min="1" max="1" width="13.77734375" bestFit="1" customWidth="1"/>
    <col min="2" max="2" width="13" bestFit="1" customWidth="1"/>
    <col min="6" max="6" width="13.77734375" bestFit="1" customWidth="1"/>
    <col min="7" max="7" width="9.21875" bestFit="1" customWidth="1"/>
  </cols>
  <sheetData>
    <row r="1" spans="1:5" x14ac:dyDescent="0.3">
      <c r="A1" s="536" t="s">
        <v>245</v>
      </c>
      <c r="B1" s="536"/>
      <c r="C1" s="536"/>
      <c r="D1" s="536"/>
    </row>
    <row r="2" spans="1:5" x14ac:dyDescent="0.3">
      <c r="A2" t="s">
        <v>131</v>
      </c>
      <c r="B2" t="s">
        <v>265</v>
      </c>
      <c r="C2">
        <v>0.81</v>
      </c>
      <c r="D2" t="s">
        <v>264</v>
      </c>
      <c r="E2" t="s">
        <v>266</v>
      </c>
    </row>
    <row r="3" spans="1:5" x14ac:dyDescent="0.3">
      <c r="A3" t="s">
        <v>26</v>
      </c>
      <c r="B3" t="s">
        <v>268</v>
      </c>
      <c r="C3">
        <v>18</v>
      </c>
      <c r="D3" t="s">
        <v>267</v>
      </c>
      <c r="E3" t="s">
        <v>269</v>
      </c>
    </row>
    <row r="4" spans="1:5" x14ac:dyDescent="0.3">
      <c r="B4" t="s">
        <v>265</v>
      </c>
      <c r="C4">
        <v>5</v>
      </c>
      <c r="D4" t="s">
        <v>264</v>
      </c>
      <c r="E4" t="s">
        <v>270</v>
      </c>
    </row>
    <row r="6" spans="1:5" x14ac:dyDescent="0.3">
      <c r="A6" s="536" t="s">
        <v>249</v>
      </c>
      <c r="B6" s="536"/>
      <c r="C6" s="536"/>
      <c r="D6" s="536"/>
    </row>
    <row r="7" spans="1:5" x14ac:dyDescent="0.3">
      <c r="B7" t="s">
        <v>262</v>
      </c>
      <c r="C7">
        <v>2030</v>
      </c>
      <c r="D7">
        <v>2050</v>
      </c>
    </row>
    <row r="8" spans="1:5" x14ac:dyDescent="0.3">
      <c r="A8" t="s">
        <v>131</v>
      </c>
      <c r="B8" t="s">
        <v>263</v>
      </c>
      <c r="C8" s="459">
        <f>'AME 2023'!J49</f>
        <v>246.69000000000003</v>
      </c>
      <c r="D8" s="459">
        <f>'AME 2023'!K49</f>
        <v>394.70399999999995</v>
      </c>
    </row>
    <row r="9" spans="1:5" x14ac:dyDescent="0.3">
      <c r="B9" t="s">
        <v>264</v>
      </c>
      <c r="C9" s="63">
        <f>C8*$C2</f>
        <v>199.81890000000004</v>
      </c>
      <c r="D9" s="63">
        <f>D8*$C2</f>
        <v>319.71024</v>
      </c>
    </row>
    <row r="10" spans="1:5" x14ac:dyDescent="0.3">
      <c r="A10" t="s">
        <v>26</v>
      </c>
      <c r="B10" t="s">
        <v>263</v>
      </c>
      <c r="C10" s="459">
        <f>'AME 2023'!J190</f>
        <v>3970.2285279999978</v>
      </c>
      <c r="D10" s="459">
        <f>'AME 2023'!K190</f>
        <v>4790.3480240000008</v>
      </c>
    </row>
    <row r="11" spans="1:5" x14ac:dyDescent="0.3">
      <c r="B11" t="s">
        <v>264</v>
      </c>
      <c r="C11" s="63">
        <f>C10*$C4</f>
        <v>19851.142639999991</v>
      </c>
      <c r="D11" s="63">
        <f>D10*$C4</f>
        <v>23951.740120000002</v>
      </c>
    </row>
    <row r="12" spans="1:5" x14ac:dyDescent="0.3">
      <c r="A12" s="52" t="s">
        <v>119</v>
      </c>
      <c r="B12" s="52" t="s">
        <v>264</v>
      </c>
      <c r="C12" s="460">
        <f>C11+C9</f>
        <v>20050.961539999989</v>
      </c>
      <c r="D12" s="460">
        <f>D11+D9</f>
        <v>24271.450360000003</v>
      </c>
    </row>
  </sheetData>
  <mergeCells count="2">
    <mergeCell ref="A6:D6"/>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59999389629810485"/>
  </sheetPr>
  <dimension ref="B2:J35"/>
  <sheetViews>
    <sheetView topLeftCell="A12" zoomScale="64" workbookViewId="0">
      <selection activeCell="G27" sqref="G27"/>
    </sheetView>
  </sheetViews>
  <sheetFormatPr baseColWidth="10" defaultColWidth="11.44140625" defaultRowHeight="14.4" x14ac:dyDescent="0.3"/>
  <cols>
    <col min="1" max="1" width="3.6640625" style="147" customWidth="1"/>
    <col min="2" max="2" width="19.21875" style="147" bestFit="1" customWidth="1"/>
    <col min="3" max="8" width="22.77734375" style="147" customWidth="1"/>
    <col min="9" max="9" width="11.44140625" style="147"/>
    <col min="10" max="10" width="11.44140625" style="438"/>
    <col min="11" max="16384" width="11.44140625" style="147"/>
  </cols>
  <sheetData>
    <row r="2" spans="2:10" s="153" customFormat="1" ht="29.25" customHeight="1" x14ac:dyDescent="0.3">
      <c r="B2" s="445">
        <v>2015</v>
      </c>
      <c r="C2" s="455" t="s">
        <v>296</v>
      </c>
      <c r="D2" s="455" t="s">
        <v>286</v>
      </c>
      <c r="E2" s="455" t="s">
        <v>287</v>
      </c>
      <c r="F2" s="455" t="s">
        <v>287</v>
      </c>
      <c r="G2" s="455" t="s">
        <v>293</v>
      </c>
      <c r="H2" s="455" t="s">
        <v>292</v>
      </c>
      <c r="J2" s="463"/>
    </row>
    <row r="3" spans="2:10" x14ac:dyDescent="0.3">
      <c r="B3" s="449" t="s">
        <v>106</v>
      </c>
      <c r="C3" s="472">
        <f>'AME 2023'!$C$46-'AME 2023'!$C$48</f>
        <v>676.12525000000005</v>
      </c>
      <c r="D3" s="472">
        <f>'AME 2023'!$C$105-'AME 2023'!$C$107</f>
        <v>3787.0752000000002</v>
      </c>
      <c r="E3" s="474">
        <f>'AME 2023'!$C$157-'AME 2023'!$C$160</f>
        <v>831.87225000000012</v>
      </c>
      <c r="F3" s="456">
        <f>'AME 2023'!$C$158</f>
        <v>4371.5</v>
      </c>
      <c r="G3" s="456"/>
      <c r="H3" s="438"/>
      <c r="J3" s="438">
        <f>SUM(C3:H3)</f>
        <v>9666.5727000000006</v>
      </c>
    </row>
    <row r="4" spans="2:10" x14ac:dyDescent="0.3">
      <c r="B4" s="450" t="s">
        <v>149</v>
      </c>
      <c r="C4" s="457">
        <f>'AME 2023'!$C$51</f>
        <v>1037</v>
      </c>
      <c r="D4" s="457"/>
      <c r="E4" s="438"/>
      <c r="F4" s="457"/>
      <c r="G4" s="457"/>
      <c r="H4" s="438"/>
      <c r="J4" s="438">
        <f>SUM(C4:H4)</f>
        <v>1037</v>
      </c>
    </row>
    <row r="5" spans="2:10" x14ac:dyDescent="0.3">
      <c r="B5" s="458"/>
      <c r="C5" s="461"/>
      <c r="D5" s="461"/>
      <c r="E5" s="462"/>
      <c r="F5" s="461"/>
      <c r="G5" s="461"/>
      <c r="H5" s="462"/>
    </row>
    <row r="6" spans="2:10" x14ac:dyDescent="0.3">
      <c r="B6" s="450" t="s">
        <v>131</v>
      </c>
      <c r="C6" s="457">
        <f>'AME 2023'!$C$49</f>
        <v>126</v>
      </c>
      <c r="D6" s="457">
        <f>'AME 2023'!$C$108</f>
        <v>0</v>
      </c>
      <c r="E6" s="438">
        <f>'AME 2023'!$C$164</f>
        <v>0</v>
      </c>
      <c r="F6" s="457"/>
      <c r="G6" s="457"/>
      <c r="H6" s="438"/>
      <c r="J6" s="438">
        <f>SUM(C6:H6)</f>
        <v>126</v>
      </c>
    </row>
    <row r="7" spans="2:10" x14ac:dyDescent="0.3">
      <c r="B7" s="450" t="s">
        <v>150</v>
      </c>
      <c r="C7" s="457">
        <f>'AME 2023'!$C$52</f>
        <v>651</v>
      </c>
      <c r="D7" s="457"/>
      <c r="E7" s="438"/>
      <c r="F7" s="457"/>
      <c r="G7" s="457"/>
      <c r="H7" s="438"/>
      <c r="J7" s="438">
        <f>SUM(C7:H7)</f>
        <v>651</v>
      </c>
    </row>
    <row r="8" spans="2:10" x14ac:dyDescent="0.3">
      <c r="B8" s="458"/>
      <c r="C8" s="461"/>
      <c r="D8" s="461"/>
      <c r="E8" s="462"/>
      <c r="F8" s="461"/>
      <c r="G8" s="461"/>
      <c r="H8" s="462"/>
    </row>
    <row r="9" spans="2:10" x14ac:dyDescent="0.3">
      <c r="B9" s="450" t="s">
        <v>25</v>
      </c>
      <c r="C9" s="457">
        <f>'AME 2023'!$C$64+'AME 2023'!$C$65+'AME 2023'!$C$66+'AME 2023'!$C$67+'AME 2023'!$C$68</f>
        <v>6473.0714043999997</v>
      </c>
      <c r="D9" s="457">
        <f>'AME 2023'!$C$123+'AME 2023'!$C$124+'AME 2023'!$C$125+'AME 2023'!$C$127</f>
        <v>2095.1684198400003</v>
      </c>
      <c r="E9" s="438">
        <f>'AME 2023'!$C$177</f>
        <v>1272.8100000000002</v>
      </c>
      <c r="F9" s="457">
        <f>'AME 2023'!$C$178+'AME 2023'!$C$179</f>
        <v>6226.8411999999998</v>
      </c>
      <c r="G9" s="457"/>
      <c r="H9" s="438">
        <f>'AME 2023'!C271</f>
        <v>5500</v>
      </c>
      <c r="J9" s="438">
        <f>SUM(C9:H9)</f>
        <v>21567.891024239998</v>
      </c>
    </row>
    <row r="10" spans="2:10" x14ac:dyDescent="0.3">
      <c r="B10" s="458"/>
      <c r="C10" s="461"/>
      <c r="D10" s="461"/>
      <c r="E10" s="462"/>
      <c r="F10" s="461"/>
      <c r="G10" s="461"/>
      <c r="H10" s="462"/>
    </row>
    <row r="11" spans="2:10" x14ac:dyDescent="0.3">
      <c r="B11" s="450" t="s">
        <v>23</v>
      </c>
      <c r="C11" s="473">
        <f>'AME 2023'!$C$57+'AME 2023'!$C$58+'AME 2023'!$C$59+'AME 2023'!$C$60-'AME 2023'!$C$63</f>
        <v>11157.028345599998</v>
      </c>
      <c r="D11" s="473">
        <f>'AME 2023'!$C$116+'AME 2023'!$C$117+'AME 2023'!$C$118+'AME 2023'!$C$119-'AME 2023'!$C$122</f>
        <v>1589.1483801600002</v>
      </c>
      <c r="E11" s="474">
        <f>+'AME 2023'!$C$169-'AME 2023'!$C$176</f>
        <v>3710.5110196800006</v>
      </c>
      <c r="F11" s="457"/>
      <c r="G11" s="457">
        <f>'AME 2023'!C190</f>
        <v>250</v>
      </c>
      <c r="H11" s="438">
        <f>'AME 2023'!C269</f>
        <v>880</v>
      </c>
      <c r="J11" s="438">
        <f>SUM(C11:H11)</f>
        <v>17586.687745439998</v>
      </c>
    </row>
    <row r="14" spans="2:10" ht="28.8" x14ac:dyDescent="0.3">
      <c r="B14" s="445">
        <v>2030</v>
      </c>
      <c r="C14" s="455" t="s">
        <v>296</v>
      </c>
      <c r="D14" s="455" t="s">
        <v>286</v>
      </c>
      <c r="E14" s="455" t="s">
        <v>287</v>
      </c>
      <c r="F14" s="455" t="s">
        <v>287</v>
      </c>
      <c r="G14" s="455" t="s">
        <v>293</v>
      </c>
      <c r="H14" s="455" t="s">
        <v>292</v>
      </c>
      <c r="I14" s="153"/>
      <c r="J14" s="463"/>
    </row>
    <row r="15" spans="2:10" x14ac:dyDescent="0.3">
      <c r="B15" s="449" t="s">
        <v>106</v>
      </c>
      <c r="C15" s="472">
        <f>'AME 2023'!$J$46-'AME 2023'!$J$48</f>
        <v>357.45381000000003</v>
      </c>
      <c r="D15" s="472">
        <f>'AME 2023'!$J$105-'AME 2023'!$J$107</f>
        <v>3418.6749353999994</v>
      </c>
      <c r="E15" s="474">
        <f>'AME 2023'!$J$157-'AME 2023'!$J$160</f>
        <v>2787.9980518691586</v>
      </c>
      <c r="F15" s="456">
        <f>'AME 2023'!$J$158</f>
        <v>3794.4619999999995</v>
      </c>
      <c r="G15" s="456"/>
      <c r="H15" s="438"/>
      <c r="I15" s="438"/>
      <c r="J15" s="438">
        <f>SUM(C15:H15)</f>
        <v>10358.588797269158</v>
      </c>
    </row>
    <row r="16" spans="2:10" x14ac:dyDescent="0.3">
      <c r="B16" s="450" t="s">
        <v>149</v>
      </c>
      <c r="C16" s="457">
        <f>'AME 2023'!$J$51</f>
        <v>324.19610364653244</v>
      </c>
      <c r="D16" s="457"/>
      <c r="E16" s="438"/>
      <c r="F16" s="457"/>
      <c r="G16" s="457"/>
      <c r="H16" s="438"/>
      <c r="I16" s="438"/>
      <c r="J16" s="438">
        <f>SUM(C16:H16)</f>
        <v>324.19610364653244</v>
      </c>
    </row>
    <row r="17" spans="2:10" x14ac:dyDescent="0.3">
      <c r="B17" s="458"/>
      <c r="C17" s="461"/>
      <c r="D17" s="461"/>
      <c r="E17" s="462"/>
      <c r="F17" s="461"/>
      <c r="G17" s="461"/>
      <c r="H17" s="462"/>
      <c r="I17" s="438"/>
    </row>
    <row r="18" spans="2:10" x14ac:dyDescent="0.3">
      <c r="B18" s="450" t="s">
        <v>131</v>
      </c>
      <c r="C18" s="457">
        <f>'AME 2023'!$J$49</f>
        <v>246.69000000000003</v>
      </c>
      <c r="D18" s="457">
        <f>'AME 2023'!$J$108</f>
        <v>0</v>
      </c>
      <c r="E18" s="438">
        <f>'AME 2023'!$J$164</f>
        <v>0</v>
      </c>
      <c r="F18" s="457"/>
      <c r="G18" s="457"/>
      <c r="H18" s="438"/>
      <c r="I18" s="438"/>
      <c r="J18" s="438">
        <f>SUM(C18:H18)</f>
        <v>246.69000000000003</v>
      </c>
    </row>
    <row r="19" spans="2:10" x14ac:dyDescent="0.3">
      <c r="B19" s="450" t="s">
        <v>150</v>
      </c>
      <c r="C19" s="457">
        <f>'AME 2023'!$J$52</f>
        <v>203.52137268456374</v>
      </c>
      <c r="D19" s="457"/>
      <c r="E19" s="438"/>
      <c r="F19" s="457"/>
      <c r="G19" s="457"/>
      <c r="H19" s="438"/>
      <c r="I19" s="438"/>
      <c r="J19" s="438">
        <f>SUM(C19:H19)</f>
        <v>203.52137268456374</v>
      </c>
    </row>
    <row r="20" spans="2:10" x14ac:dyDescent="0.3">
      <c r="B20" s="458"/>
      <c r="C20" s="461"/>
      <c r="D20" s="461"/>
      <c r="E20" s="462"/>
      <c r="F20" s="461"/>
      <c r="G20" s="461"/>
      <c r="H20" s="462"/>
      <c r="I20" s="438"/>
    </row>
    <row r="21" spans="2:10" x14ac:dyDescent="0.3">
      <c r="B21" s="450" t="s">
        <v>25</v>
      </c>
      <c r="C21" s="457">
        <f>'AME 2023'!$J$64+'AME 2023'!$J$65+'AME 2023'!$J$66+'AME 2023'!$J$67+'AME 2023'!$J$68</f>
        <v>3588.25454142739</v>
      </c>
      <c r="D21" s="457">
        <f>'AME 2023'!$J$123+'AME 2023'!$J$124+'AME 2023'!$J$125+'AME 2023'!$J$127+'AME 2023'!$J$128</f>
        <v>4156.3809501641272</v>
      </c>
      <c r="E21" s="438">
        <f>'AME 2023'!$J$177</f>
        <v>986.42775000000006</v>
      </c>
      <c r="F21" s="457">
        <f>'AME 2023'!$J$178</f>
        <v>1897.2309999999998</v>
      </c>
      <c r="G21" s="457"/>
      <c r="H21" s="438">
        <f>'AME 2023'!E271</f>
        <v>544.54313428334206</v>
      </c>
      <c r="I21" s="438"/>
      <c r="J21" s="438">
        <f>SUM(C21:H21)</f>
        <v>11172.837375874858</v>
      </c>
    </row>
    <row r="22" spans="2:10" x14ac:dyDescent="0.3">
      <c r="B22" s="458"/>
      <c r="C22" s="461"/>
      <c r="D22" s="461"/>
      <c r="E22" s="462"/>
      <c r="F22" s="461"/>
      <c r="G22" s="461"/>
      <c r="H22" s="462"/>
      <c r="I22" s="438"/>
    </row>
    <row r="23" spans="2:10" x14ac:dyDescent="0.3">
      <c r="B23" s="450" t="s">
        <v>23</v>
      </c>
      <c r="C23" s="473">
        <f>'AME 2023'!$J$57+'AME 2023'!$J$58+'AME 2023'!$J$59+'AME 2023'!$J$60-'AME 2023'!$J$63</f>
        <v>10782.83046207261</v>
      </c>
      <c r="D23" s="473">
        <f>'AME 2023'!$J$116+'AME 2023'!$J$117+'AME 2023'!$J$118+'AME 2023'!$J$119-'AME 2023'!$J$122</f>
        <v>1769.1612256458716</v>
      </c>
      <c r="E23" s="474">
        <f>+'AME 2023'!$J$169-'AME 2023'!$J$176</f>
        <v>1728.2748574181676</v>
      </c>
      <c r="F23" s="457"/>
      <c r="G23" s="457">
        <f>'AME 2023'!J190</f>
        <v>3970.2285279999978</v>
      </c>
      <c r="H23" s="438">
        <f>'AME 2023'!E269</f>
        <v>1624.3998582011573</v>
      </c>
      <c r="I23" s="438"/>
      <c r="J23" s="438">
        <f>SUM(C23:H23)</f>
        <v>19874.894931337803</v>
      </c>
    </row>
    <row r="26" spans="2:10" ht="28.8" x14ac:dyDescent="0.3">
      <c r="B26" s="445">
        <v>2050</v>
      </c>
      <c r="C26" s="455" t="s">
        <v>296</v>
      </c>
      <c r="D26" s="455" t="s">
        <v>286</v>
      </c>
      <c r="E26" s="455" t="s">
        <v>287</v>
      </c>
      <c r="F26" s="455" t="s">
        <v>287</v>
      </c>
      <c r="G26" s="455" t="s">
        <v>293</v>
      </c>
      <c r="H26" s="455" t="s">
        <v>292</v>
      </c>
      <c r="I26" s="153"/>
      <c r="J26" s="463"/>
    </row>
    <row r="27" spans="2:10" x14ac:dyDescent="0.3">
      <c r="B27" s="449" t="s">
        <v>106</v>
      </c>
      <c r="C27" s="472">
        <f>'AME 2023'!$K$46-'AME 2023'!$K$48</f>
        <v>571.92609599999992</v>
      </c>
      <c r="D27" s="472">
        <f>'AME 2023'!$K$105-'AME 2023'!$K$107</f>
        <v>2658.9693941999994</v>
      </c>
      <c r="E27" s="474">
        <f>'AME 2023'!$K$157-'AME 2023'!$K$160</f>
        <v>2841.2220375000002</v>
      </c>
      <c r="F27" s="456">
        <f>'AME 2023'!$K$158</f>
        <v>3029.4495000000002</v>
      </c>
      <c r="G27" s="456"/>
      <c r="H27" s="438"/>
      <c r="I27" s="438"/>
      <c r="J27" s="438">
        <f>SUM(C27:H27)</f>
        <v>9101.5670277000008</v>
      </c>
    </row>
    <row r="28" spans="2:10" x14ac:dyDescent="0.3">
      <c r="B28" s="450" t="s">
        <v>149</v>
      </c>
      <c r="C28" s="457">
        <f>'AME 2023'!$K$51</f>
        <v>211.65543505592839</v>
      </c>
      <c r="D28" s="457"/>
      <c r="E28" s="438"/>
      <c r="F28" s="457"/>
      <c r="G28" s="457"/>
      <c r="H28" s="438"/>
      <c r="I28" s="438"/>
      <c r="J28" s="438">
        <f>SUM(C28:H28)</f>
        <v>211.65543505592839</v>
      </c>
    </row>
    <row r="29" spans="2:10" x14ac:dyDescent="0.3">
      <c r="B29" s="458"/>
      <c r="C29" s="461"/>
      <c r="D29" s="461"/>
      <c r="E29" s="462"/>
      <c r="F29" s="461"/>
      <c r="G29" s="461"/>
      <c r="H29" s="462"/>
      <c r="I29" s="438"/>
    </row>
    <row r="30" spans="2:10" x14ac:dyDescent="0.3">
      <c r="B30" s="450" t="s">
        <v>131</v>
      </c>
      <c r="C30" s="457">
        <f>'AME 2023'!$K$49</f>
        <v>394.70399999999995</v>
      </c>
      <c r="D30" s="457">
        <f>'AME 2023'!$K$108</f>
        <v>0</v>
      </c>
      <c r="E30" s="438">
        <f>'AME 2023'!$K$164</f>
        <v>0</v>
      </c>
      <c r="F30" s="457"/>
      <c r="G30" s="457"/>
      <c r="H30" s="438"/>
      <c r="I30" s="438"/>
      <c r="J30" s="438">
        <f>SUM(C30:H30)</f>
        <v>394.70399999999995</v>
      </c>
    </row>
    <row r="31" spans="2:10" x14ac:dyDescent="0.3">
      <c r="B31" s="450" t="s">
        <v>150</v>
      </c>
      <c r="C31" s="457">
        <f>'AME 2023'!$K$52</f>
        <v>132.87144476510065</v>
      </c>
      <c r="D31" s="457"/>
      <c r="E31" s="438"/>
      <c r="F31" s="457"/>
      <c r="G31" s="457"/>
      <c r="H31" s="438"/>
      <c r="I31" s="438"/>
      <c r="J31" s="438">
        <f>SUM(C31:H31)</f>
        <v>132.87144476510065</v>
      </c>
    </row>
    <row r="32" spans="2:10" x14ac:dyDescent="0.3">
      <c r="B32" s="458"/>
      <c r="C32" s="461"/>
      <c r="D32" s="461"/>
      <c r="E32" s="462"/>
      <c r="F32" s="461"/>
      <c r="G32" s="461"/>
      <c r="H32" s="462"/>
      <c r="I32" s="438"/>
    </row>
    <row r="33" spans="2:10" x14ac:dyDescent="0.3">
      <c r="B33" s="450" t="s">
        <v>25</v>
      </c>
      <c r="C33" s="457">
        <f>'AME 2023'!$K$64+'AME 2023'!$K$65+'AME 2023'!$K$66+'AME 2023'!$K$67+'AME 2023'!$K$68</f>
        <v>2220.4944003309297</v>
      </c>
      <c r="D33" s="457">
        <f>'AME 2023'!$K$123+'AME 2023'!$K$124+'AME 2023'!$K$125+'AME 2023'!$K$127+'AME 2023'!$K$128</f>
        <v>2832.2970422725439</v>
      </c>
      <c r="E33" s="438">
        <f>'AME 2023'!$K$177</f>
        <v>840.05460000000005</v>
      </c>
      <c r="F33" s="457">
        <f>'AME 2023'!$K$178</f>
        <v>605.88990000000001</v>
      </c>
      <c r="G33" s="457"/>
      <c r="H33" s="438">
        <f>'AME 2023'!F271</f>
        <v>502.7529043803749</v>
      </c>
      <c r="I33" s="438"/>
      <c r="J33" s="438">
        <f>SUM(C33:H33)</f>
        <v>7001.4888469838488</v>
      </c>
    </row>
    <row r="34" spans="2:10" x14ac:dyDescent="0.3">
      <c r="B34" s="458"/>
      <c r="C34" s="461"/>
      <c r="D34" s="461"/>
      <c r="E34" s="462"/>
      <c r="F34" s="461"/>
      <c r="G34" s="461"/>
      <c r="H34" s="462"/>
      <c r="I34" s="438"/>
    </row>
    <row r="35" spans="2:10" x14ac:dyDescent="0.3">
      <c r="B35" s="450" t="s">
        <v>23</v>
      </c>
      <c r="C35" s="473">
        <f>'AME 2023'!$K$57+'AME 2023'!$K$58+'AME 2023'!$K$59+'AME 2023'!$K$60-'AME 2023'!$K$63</f>
        <v>8110.0437195690683</v>
      </c>
      <c r="D35" s="473">
        <f>'AME 2023'!$K$116+'AME 2023'!$K$117+'AME 2023'!$K$118+'AME 2023'!$K$119-'AME 2023'!$K$122</f>
        <v>1425.7365633574557</v>
      </c>
      <c r="E35" s="474">
        <f>+'AME 2023'!$K$169-'AME 2023'!$K$176</f>
        <v>1429.7745663994101</v>
      </c>
      <c r="F35" s="457"/>
      <c r="G35" s="457">
        <f>'AME 2023'!K190</f>
        <v>4790.3480240000008</v>
      </c>
      <c r="H35" s="438">
        <f>'AME 2023'!F269</f>
        <v>1499.7374774736618</v>
      </c>
      <c r="I35" s="438"/>
      <c r="J35" s="438">
        <f>SUM(C35:H35)</f>
        <v>17255.640350799596</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0"/>
  <sheetViews>
    <sheetView tabSelected="1" topLeftCell="A46" zoomScale="69" workbookViewId="0">
      <selection activeCell="K73" sqref="K73"/>
    </sheetView>
  </sheetViews>
  <sheetFormatPr baseColWidth="10" defaultColWidth="11.44140625" defaultRowHeight="14.4" x14ac:dyDescent="0.3"/>
  <cols>
    <col min="1" max="1" width="3.6640625" style="147" customWidth="1"/>
    <col min="2" max="2" width="13.77734375" style="147" bestFit="1" customWidth="1"/>
    <col min="3" max="3" width="11.77734375" style="147" customWidth="1"/>
    <col min="4" max="7" width="11.44140625" style="147"/>
    <col min="8" max="8" width="13.77734375" style="147" bestFit="1" customWidth="1"/>
    <col min="9" max="11" width="11.44140625" style="147"/>
    <col min="12" max="12" width="24.21875" style="147" bestFit="1" customWidth="1"/>
    <col min="13" max="16384" width="11.44140625" style="147"/>
  </cols>
  <sheetData>
    <row r="2" spans="2:12" x14ac:dyDescent="0.3">
      <c r="B2" s="448" t="s">
        <v>326</v>
      </c>
      <c r="C2" s="446">
        <v>2015</v>
      </c>
      <c r="D2" s="446">
        <v>2030</v>
      </c>
      <c r="E2" s="446">
        <v>2050</v>
      </c>
      <c r="H2" s="452" t="s">
        <v>332</v>
      </c>
      <c r="I2" s="446" t="s">
        <v>327</v>
      </c>
      <c r="J2" s="446" t="s">
        <v>326</v>
      </c>
      <c r="K2" s="446" t="s">
        <v>328</v>
      </c>
      <c r="L2" s="147" t="s">
        <v>331</v>
      </c>
    </row>
    <row r="3" spans="2:12" x14ac:dyDescent="0.3">
      <c r="B3" s="449" t="s">
        <v>106</v>
      </c>
      <c r="C3" s="447">
        <f>SUM(TraitementAME!J3:J4)</f>
        <v>10703.572700000001</v>
      </c>
      <c r="D3" s="447">
        <f>SUM(TraitementAME!J15:J16)</f>
        <v>10682.784900915691</v>
      </c>
      <c r="E3" s="447">
        <f>SUM(TraitementAME!J27:J28)</f>
        <v>9313.2224627559299</v>
      </c>
      <c r="H3" s="449" t="s">
        <v>106</v>
      </c>
      <c r="I3" s="451">
        <f>C10</f>
        <v>8200</v>
      </c>
      <c r="J3" s="451">
        <f>C3</f>
        <v>10703.572700000001</v>
      </c>
      <c r="K3" s="451">
        <f>C17</f>
        <v>8880.6975000000002</v>
      </c>
      <c r="L3" s="475">
        <f>(J3-K3)/K3</f>
        <v>0.20526261591502248</v>
      </c>
    </row>
    <row r="4" spans="2:12" x14ac:dyDescent="0.3">
      <c r="B4" s="450" t="s">
        <v>131</v>
      </c>
      <c r="C4" s="447">
        <f>SUM(TraitementAME!J6:J7)</f>
        <v>777</v>
      </c>
      <c r="D4" s="447">
        <f>SUM(TraitementAME!J18:J19)</f>
        <v>450.2113726845638</v>
      </c>
      <c r="E4" s="447">
        <f>SUM(TraitementAME!J30:J31)</f>
        <v>527.57544476510066</v>
      </c>
      <c r="H4" s="450" t="s">
        <v>131</v>
      </c>
      <c r="I4" s="451">
        <f t="shared" ref="I4:I6" si="0">C11</f>
        <v>1049.9999999999998</v>
      </c>
      <c r="J4" s="451">
        <f t="shared" ref="J4:J6" si="1">C4</f>
        <v>777</v>
      </c>
      <c r="K4" s="451">
        <f t="shared" ref="K4:K6" si="2">C18</f>
        <v>890.69500000000005</v>
      </c>
      <c r="L4" s="475">
        <f>(J4-K4)/K4</f>
        <v>-0.12764751121315382</v>
      </c>
    </row>
    <row r="5" spans="2:12" x14ac:dyDescent="0.3">
      <c r="B5" s="450" t="s">
        <v>23</v>
      </c>
      <c r="C5" s="447">
        <f>TraitementAME!J11</f>
        <v>17586.687745439998</v>
      </c>
      <c r="D5" s="447">
        <f>TraitementAME!J23</f>
        <v>19874.894931337803</v>
      </c>
      <c r="E5" s="447">
        <f>TraitementAME!J35</f>
        <v>17255.640350799596</v>
      </c>
      <c r="H5" s="450" t="s">
        <v>23</v>
      </c>
      <c r="I5" s="451">
        <f t="shared" si="0"/>
        <v>13000</v>
      </c>
      <c r="J5" s="451">
        <f t="shared" si="1"/>
        <v>17586.687745439998</v>
      </c>
      <c r="K5" s="451">
        <f t="shared" si="2"/>
        <v>14413</v>
      </c>
      <c r="L5" s="475">
        <f t="shared" ref="L5:L6" si="3">(J5-K5)/K5</f>
        <v>0.22019619409144511</v>
      </c>
    </row>
    <row r="6" spans="2:12" x14ac:dyDescent="0.3">
      <c r="B6" s="450" t="s">
        <v>25</v>
      </c>
      <c r="C6" s="447">
        <f>TraitementAME!J9</f>
        <v>21567.891024239998</v>
      </c>
      <c r="D6" s="447">
        <f>TraitementAME!J21</f>
        <v>11172.837375874858</v>
      </c>
      <c r="E6" s="447">
        <f>TraitementAME!J33</f>
        <v>7001.4888469838488</v>
      </c>
      <c r="H6" s="450" t="s">
        <v>25</v>
      </c>
      <c r="I6" s="451">
        <f t="shared" si="0"/>
        <v>18600</v>
      </c>
      <c r="J6" s="451">
        <f t="shared" si="1"/>
        <v>21567.891024239998</v>
      </c>
      <c r="K6" s="451">
        <f t="shared" si="2"/>
        <v>17825.5</v>
      </c>
      <c r="L6" s="475">
        <f t="shared" si="3"/>
        <v>0.20994592153039174</v>
      </c>
    </row>
    <row r="9" spans="2:12" x14ac:dyDescent="0.3">
      <c r="B9" s="448" t="s">
        <v>327</v>
      </c>
      <c r="C9" s="446">
        <v>2015</v>
      </c>
      <c r="D9" s="446">
        <v>2030</v>
      </c>
      <c r="E9" s="446">
        <v>2050</v>
      </c>
    </row>
    <row r="10" spans="2:12" x14ac:dyDescent="0.3">
      <c r="B10" s="449" t="s">
        <v>106</v>
      </c>
      <c r="C10" s="447">
        <v>8200</v>
      </c>
      <c r="D10" s="447">
        <v>9933.3333333333339</v>
      </c>
      <c r="E10" s="447">
        <v>10666.666666666668</v>
      </c>
    </row>
    <row r="11" spans="2:12" x14ac:dyDescent="0.3">
      <c r="B11" s="450" t="s">
        <v>131</v>
      </c>
      <c r="C11" s="447">
        <v>1049.9999999999998</v>
      </c>
      <c r="D11" s="447">
        <v>2133.333333333333</v>
      </c>
      <c r="E11" s="447">
        <v>2866.6666666666652</v>
      </c>
    </row>
    <row r="12" spans="2:12" x14ac:dyDescent="0.3">
      <c r="B12" s="450" t="s">
        <v>23</v>
      </c>
      <c r="C12" s="447">
        <v>13000</v>
      </c>
      <c r="D12" s="447">
        <v>11063.713650349491</v>
      </c>
      <c r="E12" s="447">
        <v>11571.399273149173</v>
      </c>
    </row>
    <row r="13" spans="2:12" x14ac:dyDescent="0.3">
      <c r="B13" s="450" t="s">
        <v>25</v>
      </c>
      <c r="C13" s="447">
        <v>18600</v>
      </c>
      <c r="D13" s="447">
        <v>14531.116381443127</v>
      </c>
      <c r="E13" s="447">
        <v>15279.356412837611</v>
      </c>
    </row>
    <row r="16" spans="2:12" x14ac:dyDescent="0.3">
      <c r="B16" s="448" t="s">
        <v>328</v>
      </c>
      <c r="C16" s="446">
        <v>2015</v>
      </c>
      <c r="D16" s="446">
        <v>2030</v>
      </c>
      <c r="E16" s="446">
        <v>2050</v>
      </c>
    </row>
    <row r="17" spans="2:5" x14ac:dyDescent="0.3">
      <c r="B17" s="449" t="s">
        <v>106</v>
      </c>
      <c r="C17" s="447">
        <v>8880.6975000000002</v>
      </c>
      <c r="D17" s="454">
        <f>$C17*D3/$C3</f>
        <v>8863.449973353263</v>
      </c>
      <c r="E17" s="454">
        <f>$C17*E3/$C3</f>
        <v>7727.1312822437712</v>
      </c>
    </row>
    <row r="18" spans="2:5" x14ac:dyDescent="0.3">
      <c r="B18" s="450" t="s">
        <v>131</v>
      </c>
      <c r="C18" s="447">
        <v>890.69500000000005</v>
      </c>
      <c r="D18" s="454">
        <f t="shared" ref="D18" si="4">$C18*D4/$C4</f>
        <v>516.08882701837524</v>
      </c>
      <c r="E18" s="454">
        <f>$C18*E4/$C4</f>
        <v>604.77324424073538</v>
      </c>
    </row>
    <row r="19" spans="2:5" x14ac:dyDescent="0.3">
      <c r="B19" s="450" t="s">
        <v>23</v>
      </c>
      <c r="C19" s="447">
        <v>14413</v>
      </c>
      <c r="D19" s="454">
        <f t="shared" ref="D19:E19" si="5">$C19*D5/$C5</f>
        <v>16288.278088046813</v>
      </c>
      <c r="E19" s="454">
        <f t="shared" si="5"/>
        <v>14141.69330666377</v>
      </c>
    </row>
    <row r="20" spans="2:5" x14ac:dyDescent="0.3">
      <c r="B20" s="450" t="s">
        <v>25</v>
      </c>
      <c r="C20" s="447">
        <v>17825.5</v>
      </c>
      <c r="D20" s="454">
        <f t="shared" ref="D20:E20" si="6">$C20*D6/$C6</f>
        <v>9234.1625993854104</v>
      </c>
      <c r="E20" s="454">
        <f t="shared" si="6"/>
        <v>5786.6130398026917</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4b2812b-d92f-445a-bd20-d5f1ba71be26">
      <Terms xmlns="http://schemas.microsoft.com/office/infopath/2007/PartnerControls"/>
    </lcf76f155ced4ddcb4097134ff3c332f>
    <TaxCatchAll xmlns="3331daee-1646-4c3a-8c45-78356b5a9d7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0340E8DBE75274CB88F44145B93306F" ma:contentTypeVersion="11" ma:contentTypeDescription="Crée un document." ma:contentTypeScope="" ma:versionID="ffd0afa93905f9e386bbd2602c220208">
  <xsd:schema xmlns:xsd="http://www.w3.org/2001/XMLSchema" xmlns:xs="http://www.w3.org/2001/XMLSchema" xmlns:p="http://schemas.microsoft.com/office/2006/metadata/properties" xmlns:ns2="aa63012a-dca0-4847-9039-1b3f0d0527af" xmlns:ns3="f4b2812b-d92f-445a-bd20-d5f1ba71be26" xmlns:ns4="3331daee-1646-4c3a-8c45-78356b5a9d77" targetNamespace="http://schemas.microsoft.com/office/2006/metadata/properties" ma:root="true" ma:fieldsID="19378daaf57caa2b2bdbf7105bb4d3d6" ns2:_="" ns3:_="" ns4:_="">
    <xsd:import namespace="aa63012a-dca0-4847-9039-1b3f0d0527af"/>
    <xsd:import namespace="f4b2812b-d92f-445a-bd20-d5f1ba71be26"/>
    <xsd:import namespace="3331daee-1646-4c3a-8c45-78356b5a9d7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63012a-dca0-4847-9039-1b3f0d0527af"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4b2812b-d92f-445a-bd20-d5f1ba71be2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57ba0aaa-12d9-48be-b932-d2fd993dfb2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331daee-1646-4c3a-8c45-78356b5a9d77" elementFormDefault="qualified">
    <xsd:import namespace="http://schemas.microsoft.com/office/2006/documentManagement/types"/>
    <xsd:import namespace="http://schemas.microsoft.com/office/infopath/2007/PartnerControls"/>
    <xsd:element name="TaxCatchAll" ma:index="14" nillable="true" ma:displayName="Colonne Attraper tout de Taxonomie" ma:hidden="true" ma:list="{4fb7d4b7-bce7-4382-a1e1-d57b09bb3572}" ma:internalName="TaxCatchAll" ma:showField="CatchAllData" ma:web="3331daee-1646-4c3a-8c45-78356b5a9d7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4F2A3B-D6F3-4F30-8AF5-F45608104A18}">
  <ds:schemaRefs>
    <ds:schemaRef ds:uri="http://purl.org/dc/elements/1.1/"/>
    <ds:schemaRef ds:uri="http://schemas.microsoft.com/office/2006/metadata/properties"/>
    <ds:schemaRef ds:uri="http://schemas.openxmlformats.org/package/2006/metadata/core-properties"/>
    <ds:schemaRef ds:uri="f4b2812b-d92f-445a-bd20-d5f1ba71be26"/>
    <ds:schemaRef ds:uri="http://purl.org/dc/terms/"/>
    <ds:schemaRef ds:uri="3331daee-1646-4c3a-8c45-78356b5a9d77"/>
    <ds:schemaRef ds:uri="http://schemas.microsoft.com/office/2006/documentManagement/types"/>
    <ds:schemaRef ds:uri="aa63012a-dca0-4847-9039-1b3f0d0527af"/>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D3A79E54-DDEC-46BA-A52F-CF4565AF7FEE}">
  <ds:schemaRefs>
    <ds:schemaRef ds:uri="http://schemas.microsoft.com/sharepoint/v3/contenttype/forms"/>
  </ds:schemaRefs>
</ds:datastoreItem>
</file>

<file path=customXml/itemProps3.xml><?xml version="1.0" encoding="utf-8"?>
<ds:datastoreItem xmlns:ds="http://schemas.openxmlformats.org/officeDocument/2006/customXml" ds:itemID="{4C7F4D3F-7218-4A17-B7F2-167B31D1D6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63012a-dca0-4847-9039-1b3f0d0527af"/>
    <ds:schemaRef ds:uri="f4b2812b-d92f-445a-bd20-d5f1ba71be26"/>
    <ds:schemaRef ds:uri="3331daee-1646-4c3a-8c45-78356b5a9d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Prov prévention</vt:lpstr>
      <vt:lpstr>2015</vt:lpstr>
      <vt:lpstr>AME 2023</vt:lpstr>
      <vt:lpstr>Production énergétique</vt:lpstr>
      <vt:lpstr>TraitementAME</vt:lpstr>
      <vt:lpstr>Citepa</vt:lpstr>
    </vt:vector>
  </TitlesOfParts>
  <Company>ADEME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PINEAU</dc:creator>
  <cp:lastModifiedBy>CHAIGNEAU Yanis</cp:lastModifiedBy>
  <cp:lastPrinted>2021-08-11T14:52:57Z</cp:lastPrinted>
  <dcterms:created xsi:type="dcterms:W3CDTF">2021-04-21T15:30:28Z</dcterms:created>
  <dcterms:modified xsi:type="dcterms:W3CDTF">2023-03-02T15:22:37Z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0x01010040340E8DBE75274CB88F44145B93306F</vt:lpwstr>
  </property>
  <property fmtid="{D5CDD505-2E9C-101B-9397-08002B2CF9AE}" pid="3" name="MediaServiceImageTags">
    <vt:lpwstr/>
  </property>
</Properties>
</file>