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2 AME\Pour RESANA\007_Production d'énergie\"/>
    </mc:Choice>
  </mc:AlternateContent>
  <bookViews>
    <workbookView xWindow="0" yWindow="0" windowWidth="23040" windowHeight="8616" tabRatio="500" firstSheet="1" activeTab="5"/>
  </bookViews>
  <sheets>
    <sheet name="Chaleur" sheetId="1" r:id="rId1"/>
    <sheet name="élec" sheetId="2" r:id="rId2"/>
    <sheet name="Co-génération" sheetId="3" r:id="rId3"/>
    <sheet name="production de combustibles" sheetId="4" r:id="rId4"/>
    <sheet name="Biocombustibles" sheetId="5" r:id="rId5"/>
    <sheet name="Hydrogène" sheetId="6" r:id="rId6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9" i="5" l="1"/>
  <c r="J39" i="5"/>
  <c r="K39" i="5"/>
  <c r="L39" i="5"/>
  <c r="M39" i="5"/>
  <c r="H39" i="5"/>
  <c r="I38" i="5"/>
  <c r="J38" i="5"/>
  <c r="K38" i="5"/>
  <c r="L38" i="5"/>
  <c r="M38" i="5"/>
  <c r="H38" i="5"/>
  <c r="G10" i="6" l="1"/>
  <c r="G9" i="6"/>
  <c r="G8" i="6"/>
  <c r="G7" i="6"/>
  <c r="G6" i="6"/>
  <c r="D33" i="5"/>
  <c r="C33" i="5"/>
  <c r="D31" i="5"/>
  <c r="E31" i="5" s="1"/>
  <c r="E14" i="4"/>
  <c r="F14" i="4" s="1"/>
  <c r="E13" i="4"/>
  <c r="F13" i="4" s="1"/>
  <c r="T115" i="2"/>
  <c r="S115" i="2"/>
  <c r="R115" i="2"/>
  <c r="Q115" i="2"/>
  <c r="J115" i="2"/>
  <c r="I115" i="2"/>
  <c r="H115" i="2"/>
  <c r="G115" i="2"/>
  <c r="T114" i="2"/>
  <c r="S114" i="2"/>
  <c r="R114" i="2"/>
  <c r="Q114" i="2"/>
  <c r="J114" i="2"/>
  <c r="I114" i="2"/>
  <c r="H114" i="2"/>
  <c r="G114" i="2"/>
  <c r="T113" i="2"/>
  <c r="S113" i="2"/>
  <c r="R113" i="2"/>
  <c r="Q113" i="2"/>
  <c r="J113" i="2"/>
  <c r="I113" i="2"/>
  <c r="H113" i="2"/>
  <c r="G113" i="2"/>
  <c r="T112" i="2"/>
  <c r="S112" i="2"/>
  <c r="R112" i="2"/>
  <c r="Q112" i="2"/>
  <c r="J112" i="2"/>
  <c r="I112" i="2"/>
  <c r="H112" i="2"/>
  <c r="G112" i="2"/>
  <c r="T111" i="2"/>
  <c r="S111" i="2"/>
  <c r="R111" i="2"/>
  <c r="Q111" i="2"/>
  <c r="J111" i="2"/>
  <c r="I111" i="2"/>
  <c r="H111" i="2"/>
  <c r="G111" i="2"/>
  <c r="T110" i="2"/>
  <c r="S110" i="2"/>
  <c r="R110" i="2"/>
  <c r="Q110" i="2"/>
  <c r="J110" i="2"/>
  <c r="I110" i="2"/>
  <c r="H110" i="2"/>
  <c r="G110" i="2"/>
  <c r="T109" i="2"/>
  <c r="S109" i="2"/>
  <c r="R109" i="2"/>
  <c r="Q109" i="2"/>
  <c r="J109" i="2"/>
  <c r="I109" i="2"/>
  <c r="H109" i="2"/>
  <c r="G109" i="2"/>
  <c r="T108" i="2"/>
  <c r="S108" i="2"/>
  <c r="R108" i="2"/>
  <c r="Q108" i="2"/>
  <c r="J108" i="2"/>
  <c r="I108" i="2"/>
  <c r="H108" i="2"/>
  <c r="G108" i="2"/>
  <c r="T107" i="2"/>
  <c r="S107" i="2"/>
  <c r="R107" i="2"/>
  <c r="Q107" i="2"/>
  <c r="J107" i="2"/>
  <c r="I107" i="2"/>
  <c r="H107" i="2"/>
  <c r="G107" i="2"/>
  <c r="T106" i="2"/>
  <c r="S106" i="2"/>
  <c r="R106" i="2"/>
  <c r="Q106" i="2"/>
  <c r="J106" i="2"/>
  <c r="I106" i="2"/>
  <c r="H106" i="2"/>
  <c r="G106" i="2"/>
  <c r="T105" i="2"/>
  <c r="S105" i="2"/>
  <c r="R105" i="2"/>
  <c r="Q105" i="2"/>
  <c r="J105" i="2"/>
  <c r="I105" i="2"/>
  <c r="H105" i="2"/>
  <c r="G105" i="2"/>
  <c r="T104" i="2"/>
  <c r="S104" i="2"/>
  <c r="R104" i="2"/>
  <c r="Q104" i="2"/>
  <c r="J104" i="2"/>
  <c r="I104" i="2"/>
  <c r="H104" i="2"/>
  <c r="G104" i="2"/>
  <c r="T103" i="2"/>
  <c r="S103" i="2"/>
  <c r="R103" i="2"/>
  <c r="Q103" i="2"/>
  <c r="J103" i="2"/>
  <c r="I103" i="2"/>
  <c r="H103" i="2"/>
  <c r="G103" i="2"/>
  <c r="T102" i="2"/>
  <c r="S102" i="2"/>
  <c r="R102" i="2"/>
  <c r="Q102" i="2"/>
  <c r="J102" i="2"/>
  <c r="I102" i="2"/>
  <c r="H102" i="2"/>
  <c r="G102" i="2"/>
  <c r="T101" i="2"/>
  <c r="S101" i="2"/>
  <c r="R101" i="2"/>
  <c r="Q101" i="2"/>
  <c r="J101" i="2"/>
  <c r="I101" i="2"/>
  <c r="H101" i="2"/>
  <c r="G101" i="2"/>
  <c r="T100" i="2"/>
  <c r="S100" i="2"/>
  <c r="R100" i="2"/>
  <c r="Q100" i="2"/>
  <c r="J100" i="2"/>
  <c r="I100" i="2"/>
  <c r="H100" i="2"/>
  <c r="G100" i="2"/>
  <c r="T99" i="2"/>
  <c r="S99" i="2"/>
  <c r="R99" i="2"/>
  <c r="Q99" i="2"/>
  <c r="J99" i="2"/>
  <c r="I99" i="2"/>
  <c r="H99" i="2"/>
  <c r="G99" i="2"/>
  <c r="T98" i="2"/>
  <c r="S98" i="2"/>
  <c r="R98" i="2"/>
  <c r="Q98" i="2"/>
  <c r="J98" i="2"/>
  <c r="I98" i="2"/>
  <c r="H98" i="2"/>
  <c r="G98" i="2"/>
  <c r="T97" i="2"/>
  <c r="S97" i="2"/>
  <c r="R97" i="2"/>
  <c r="Q97" i="2"/>
  <c r="J97" i="2"/>
  <c r="I97" i="2"/>
  <c r="H97" i="2"/>
  <c r="G97" i="2"/>
  <c r="T96" i="2"/>
  <c r="S96" i="2"/>
  <c r="R96" i="2"/>
  <c r="Q96" i="2"/>
  <c r="J96" i="2"/>
  <c r="I96" i="2"/>
  <c r="H96" i="2"/>
  <c r="G96" i="2"/>
  <c r="T95" i="2"/>
  <c r="S95" i="2"/>
  <c r="R95" i="2"/>
  <c r="Q95" i="2"/>
  <c r="J95" i="2"/>
  <c r="I95" i="2"/>
  <c r="H95" i="2"/>
  <c r="G95" i="2"/>
  <c r="T94" i="2"/>
  <c r="S94" i="2"/>
  <c r="R94" i="2"/>
  <c r="Q94" i="2"/>
  <c r="J94" i="2"/>
  <c r="I94" i="2"/>
  <c r="H94" i="2"/>
  <c r="G94" i="2"/>
  <c r="T93" i="2"/>
  <c r="S93" i="2"/>
  <c r="R93" i="2"/>
  <c r="Q93" i="2"/>
  <c r="J93" i="2"/>
  <c r="I93" i="2"/>
  <c r="H93" i="2"/>
  <c r="G93" i="2"/>
  <c r="AI27" i="2"/>
  <c r="G5" i="2" s="1"/>
  <c r="H5" i="2" s="1"/>
  <c r="I5" i="2" s="1"/>
  <c r="J5" i="2" s="1"/>
  <c r="K5" i="2" s="1"/>
  <c r="L5" i="2" s="1"/>
  <c r="AH27" i="2"/>
  <c r="F5" i="2" s="1"/>
  <c r="AG27" i="2"/>
  <c r="AC27" i="2"/>
  <c r="Y27" i="2"/>
  <c r="X27" i="2"/>
  <c r="W27" i="2"/>
  <c r="V27" i="2"/>
  <c r="T27" i="2"/>
  <c r="S27" i="2"/>
  <c r="AC26" i="2"/>
  <c r="Y26" i="2"/>
  <c r="X26" i="2"/>
  <c r="W26" i="2"/>
  <c r="V26" i="2"/>
  <c r="T26" i="2"/>
  <c r="S26" i="2"/>
  <c r="AC25" i="2"/>
  <c r="Y25" i="2"/>
  <c r="X25" i="2"/>
  <c r="W25" i="2"/>
  <c r="V25" i="2"/>
  <c r="T25" i="2"/>
  <c r="S25" i="2"/>
  <c r="D25" i="2"/>
  <c r="E25" i="2" s="1"/>
  <c r="F25" i="2" s="1"/>
  <c r="G25" i="2" s="1"/>
  <c r="H25" i="2" s="1"/>
  <c r="I25" i="2" s="1"/>
  <c r="J25" i="2" s="1"/>
  <c r="K25" i="2" s="1"/>
  <c r="L25" i="2" s="1"/>
  <c r="AC24" i="2"/>
  <c r="Y24" i="2"/>
  <c r="X24" i="2"/>
  <c r="W24" i="2"/>
  <c r="V24" i="2"/>
  <c r="T24" i="2"/>
  <c r="S24" i="2"/>
  <c r="D24" i="2"/>
  <c r="E24" i="2" s="1"/>
  <c r="F24" i="2" s="1"/>
  <c r="G24" i="2" s="1"/>
  <c r="H24" i="2" s="1"/>
  <c r="I24" i="2" s="1"/>
  <c r="J24" i="2" s="1"/>
  <c r="K24" i="2" s="1"/>
  <c r="L24" i="2" s="1"/>
  <c r="AC23" i="2"/>
  <c r="Y23" i="2"/>
  <c r="X23" i="2"/>
  <c r="W23" i="2"/>
  <c r="V23" i="2"/>
  <c r="T23" i="2"/>
  <c r="S23" i="2"/>
  <c r="D23" i="2"/>
  <c r="E23" i="2" s="1"/>
  <c r="F23" i="2" s="1"/>
  <c r="G23" i="2" s="1"/>
  <c r="H23" i="2" s="1"/>
  <c r="I23" i="2" s="1"/>
  <c r="J23" i="2" s="1"/>
  <c r="K23" i="2" s="1"/>
  <c r="L23" i="2" s="1"/>
  <c r="AC22" i="2"/>
  <c r="Y22" i="2"/>
  <c r="X22" i="2"/>
  <c r="W22" i="2"/>
  <c r="V22" i="2"/>
  <c r="T22" i="2"/>
  <c r="S22" i="2"/>
  <c r="D22" i="2"/>
  <c r="E22" i="2" s="1"/>
  <c r="F22" i="2" s="1"/>
  <c r="G22" i="2" s="1"/>
  <c r="H22" i="2" s="1"/>
  <c r="I22" i="2" s="1"/>
  <c r="J22" i="2" s="1"/>
  <c r="K22" i="2" s="1"/>
  <c r="L22" i="2" s="1"/>
  <c r="AC21" i="2"/>
  <c r="Y21" i="2"/>
  <c r="X21" i="2"/>
  <c r="W21" i="2"/>
  <c r="V21" i="2"/>
  <c r="T21" i="2"/>
  <c r="S21" i="2"/>
  <c r="D21" i="2"/>
  <c r="E21" i="2" s="1"/>
  <c r="F21" i="2" s="1"/>
  <c r="G21" i="2" s="1"/>
  <c r="H21" i="2" s="1"/>
  <c r="I21" i="2" s="1"/>
  <c r="J21" i="2" s="1"/>
  <c r="K21" i="2" s="1"/>
  <c r="L21" i="2" s="1"/>
  <c r="AC20" i="2"/>
  <c r="Y20" i="2"/>
  <c r="X20" i="2"/>
  <c r="W20" i="2"/>
  <c r="V20" i="2"/>
  <c r="T20" i="2"/>
  <c r="S20" i="2"/>
  <c r="AC19" i="2"/>
  <c r="Y19" i="2"/>
  <c r="X19" i="2"/>
  <c r="W19" i="2"/>
  <c r="V19" i="2"/>
  <c r="T19" i="2"/>
  <c r="S19" i="2"/>
  <c r="D15" i="2"/>
  <c r="E15" i="2" s="1"/>
  <c r="F15" i="2" s="1"/>
  <c r="G15" i="2" s="1"/>
  <c r="H15" i="2" s="1"/>
  <c r="I15" i="2" s="1"/>
  <c r="J15" i="2" s="1"/>
  <c r="K15" i="2" s="1"/>
  <c r="L15" i="2" s="1"/>
  <c r="Z14" i="2"/>
  <c r="Z19" i="2" s="1"/>
  <c r="U14" i="2"/>
  <c r="U27" i="2" s="1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E10" i="2"/>
  <c r="F10" i="2" s="1"/>
  <c r="G10" i="2" s="1"/>
  <c r="H10" i="2" s="1"/>
  <c r="I10" i="2" s="1"/>
  <c r="J10" i="2" s="1"/>
  <c r="K10" i="2" s="1"/>
  <c r="L10" i="2" s="1"/>
  <c r="E5" i="2"/>
  <c r="G72" i="1"/>
  <c r="F72" i="1"/>
  <c r="E72" i="1"/>
  <c r="D71" i="1"/>
  <c r="C71" i="1"/>
  <c r="D70" i="1"/>
  <c r="C70" i="1"/>
  <c r="D69" i="1"/>
  <c r="C69" i="1"/>
  <c r="C68" i="1"/>
  <c r="D67" i="1"/>
  <c r="C67" i="1"/>
  <c r="D66" i="1"/>
  <c r="C66" i="1"/>
  <c r="C65" i="1"/>
  <c r="G64" i="1"/>
  <c r="F64" i="1"/>
  <c r="E64" i="1"/>
  <c r="G50" i="1"/>
  <c r="F50" i="1"/>
  <c r="E5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P25" i="1"/>
  <c r="O25" i="1"/>
  <c r="P24" i="1"/>
  <c r="O24" i="1"/>
  <c r="P23" i="1"/>
  <c r="O23" i="1"/>
  <c r="P22" i="1"/>
  <c r="D55" i="1" s="1"/>
  <c r="O22" i="1"/>
  <c r="C55" i="1" s="1"/>
  <c r="P21" i="1"/>
  <c r="O21" i="1"/>
  <c r="P20" i="1"/>
  <c r="O20" i="1"/>
  <c r="C53" i="1" s="1"/>
  <c r="P19" i="1"/>
  <c r="O19" i="1"/>
  <c r="P18" i="1"/>
  <c r="O18" i="1"/>
  <c r="P17" i="1"/>
  <c r="O17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L8" i="1"/>
  <c r="G8" i="1"/>
  <c r="O8" i="1" s="1"/>
  <c r="F8" i="1"/>
  <c r="N8" i="1" s="1"/>
  <c r="E8" i="1"/>
  <c r="M8" i="1" s="1"/>
  <c r="D8" i="1"/>
  <c r="C8" i="1"/>
  <c r="K8" i="1" s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D72" i="1" l="1"/>
  <c r="C50" i="1"/>
  <c r="C64" i="1"/>
  <c r="D53" i="1"/>
  <c r="D50" i="1" s="1"/>
  <c r="U21" i="2"/>
  <c r="Z26" i="2"/>
  <c r="U24" i="2"/>
  <c r="U20" i="2"/>
  <c r="Z22" i="2"/>
  <c r="U25" i="2"/>
  <c r="U19" i="2"/>
  <c r="Z20" i="2"/>
  <c r="U23" i="2"/>
  <c r="U22" i="2"/>
  <c r="Z24" i="2"/>
  <c r="U26" i="2"/>
  <c r="E33" i="5"/>
  <c r="D64" i="1"/>
  <c r="AA14" i="2"/>
  <c r="Z21" i="2"/>
  <c r="Z23" i="2"/>
  <c r="Z25" i="2"/>
  <c r="Z27" i="2"/>
  <c r="AA19" i="2" l="1"/>
  <c r="AA25" i="2"/>
  <c r="AA23" i="2"/>
  <c r="AA21" i="2"/>
  <c r="AB14" i="2"/>
  <c r="AA27" i="2"/>
  <c r="AA26" i="2"/>
  <c r="AA24" i="2"/>
  <c r="AA22" i="2"/>
  <c r="AA20" i="2"/>
  <c r="AB25" i="2" l="1"/>
  <c r="AB23" i="2"/>
  <c r="AB21" i="2"/>
  <c r="AB24" i="2"/>
  <c r="AB22" i="2"/>
  <c r="AB27" i="2"/>
  <c r="AB20" i="2"/>
  <c r="AB19" i="2"/>
  <c r="AB26" i="2"/>
</calcChain>
</file>

<file path=xl/sharedStrings.xml><?xml version="1.0" encoding="utf-8"?>
<sst xmlns="http://schemas.openxmlformats.org/spreadsheetml/2006/main" count="285" uniqueCount="178">
  <si>
    <t>Historique SDES total chaleur vendue</t>
  </si>
  <si>
    <t>2015</t>
  </si>
  <si>
    <t>2016</t>
  </si>
  <si>
    <t>2017</t>
  </si>
  <si>
    <t>2018</t>
  </si>
  <si>
    <t>Pétrole</t>
  </si>
  <si>
    <t>nd</t>
  </si>
  <si>
    <t>Gaz naturel</t>
  </si>
  <si>
    <t>Charbon</t>
  </si>
  <si>
    <t>Autre thermique</t>
  </si>
  <si>
    <t>Autre thermique correspond à des déchets et de la biomasse</t>
  </si>
  <si>
    <t>dont déchets</t>
  </si>
  <si>
    <t>dont biomasse</t>
  </si>
  <si>
    <t>Géothermie</t>
  </si>
  <si>
    <t>Pompes à chaleur</t>
  </si>
  <si>
    <t>Autres</t>
  </si>
  <si>
    <t>Correspond à de la récupération de chaleur industrielle</t>
  </si>
  <si>
    <t>Production de chaleur (commercialisée)</t>
  </si>
  <si>
    <t>Pertes de transport et de distribution</t>
  </si>
  <si>
    <t>Chaleur vendue hors réseaux (nette des pertes de distribution)</t>
  </si>
  <si>
    <t>Production totale</t>
  </si>
  <si>
    <t>Produits charbonniers</t>
  </si>
  <si>
    <t>Produits pétroliers</t>
  </si>
  <si>
    <t>Déchets</t>
  </si>
  <si>
    <t>Bois et résidus agricoles</t>
  </si>
  <si>
    <t>Résidus de papeterie, liqueur noire</t>
  </si>
  <si>
    <t>Biogaz</t>
  </si>
  <si>
    <t>Autres combustibles</t>
  </si>
  <si>
    <t>Chaleur livrée par les réseaux de chaleur</t>
  </si>
  <si>
    <t xml:space="preserve">Gaz </t>
  </si>
  <si>
    <t>Fioul</t>
  </si>
  <si>
    <t>Autre fossiles</t>
  </si>
  <si>
    <t>Biomasse</t>
  </si>
  <si>
    <t>UVE</t>
  </si>
  <si>
    <t>Biogaz et récupération de chaleur</t>
  </si>
  <si>
    <t>Production hors réseaux maintenue constante en valeur sur la période dans les deux scénarios. Le bouclage des besoins en chaleur vendue se fait sur les réseaux.</t>
  </si>
  <si>
    <t>AME</t>
  </si>
  <si>
    <t>2030 et au-delà</t>
  </si>
  <si>
    <t>Gaz</t>
  </si>
  <si>
    <t>Autres ENR thermiques</t>
  </si>
  <si>
    <t>On va considérer que les autres combustibles sont des ENR thermiques</t>
  </si>
  <si>
    <t>Le gaz inclut le biogaz à hauteur de la part globale dans le mix gaz</t>
  </si>
  <si>
    <t>Run2 : Prise en compte du Fonds chaleur jusqu'en 2028</t>
  </si>
  <si>
    <t>https://reseaux-chaleur.cerema.fr/sites/reseaux-chaleur-v2/files/inline-files/FEDENE_Rapport-de-lenquete-annuel-des-reseaux-de-chaleur-et-de-froid-edition-2022.pdf</t>
  </si>
  <si>
    <t>AME 2023</t>
  </si>
  <si>
    <t>ANNEE 2020 AJUSTEE COVID</t>
  </si>
  <si>
    <t>Eolien terrestre</t>
  </si>
  <si>
    <t>Reprise AME 21</t>
  </si>
  <si>
    <t>AME 2021 (avec EPR)</t>
  </si>
  <si>
    <t>commentaire</t>
  </si>
  <si>
    <t>Eolien Offshore</t>
  </si>
  <si>
    <t>Prise en compte des AO existants</t>
  </si>
  <si>
    <t>AME 2018</t>
  </si>
  <si>
    <t>PV</t>
  </si>
  <si>
    <t>RTE N2</t>
  </si>
  <si>
    <t>Ajusté des nouveaux projets actés via AO</t>
  </si>
  <si>
    <t>Hydraulique</t>
  </si>
  <si>
    <t>Gardé constant 2020</t>
  </si>
  <si>
    <t>mesures PV LEC ?</t>
  </si>
  <si>
    <t>Biomasse élec</t>
  </si>
  <si>
    <t>Nucléaire</t>
  </si>
  <si>
    <t>fermeture Fessenheim et mise en route EPR en 2023. Pas de NNF</t>
  </si>
  <si>
    <t>Gardé constant 2019</t>
  </si>
  <si>
    <t>fermeture Fessenheim (mesure LEC pas prise en compte) et mise en route EPR en 2023</t>
  </si>
  <si>
    <t>Mesure LEC 2022 puis garde gaz sidérurgique uniquement</t>
  </si>
  <si>
    <t>ré-ajustement : pas de politique de sortie du fuel. 1,9TWH issu du BP RTE valeur 2021/2022</t>
  </si>
  <si>
    <t>absorption le différentiel prod/conso (mais ne baisse pas en dessous de 10TWh)</t>
  </si>
  <si>
    <t>Déchets (part non renouvelable)</t>
  </si>
  <si>
    <t>absorption des changements charbon/fuel</t>
  </si>
  <si>
    <t>H2</t>
  </si>
  <si>
    <t>TOTAL (TWh) hyp GT</t>
  </si>
  <si>
    <t xml:space="preserve">gardé identique à AME 2018 (-8% en 2020 / 2019) </t>
  </si>
  <si>
    <t>Flexibilités</t>
  </si>
  <si>
    <t>TOTAL (issu modèles, recalé au périmètre RTE)</t>
  </si>
  <si>
    <t>Exportation nette d’électricité (TWh)</t>
  </si>
  <si>
    <t>Eolien en mer</t>
  </si>
  <si>
    <t>Demande totale</t>
  </si>
  <si>
    <t>AO attribués</t>
  </si>
  <si>
    <t>Date de mise en service</t>
  </si>
  <si>
    <t>Capacité (MW)</t>
  </si>
  <si>
    <t>Production (TWh)</t>
  </si>
  <si>
    <t>Hyp 4000h/an</t>
  </si>
  <si>
    <t>Consommation France (1)</t>
  </si>
  <si>
    <t>St Nazaire</t>
  </si>
  <si>
    <t>Fin 2022</t>
  </si>
  <si>
    <t>3750h en AME21</t>
  </si>
  <si>
    <t>dont power-to-gas pour usage final</t>
  </si>
  <si>
    <t>St Brieuc</t>
  </si>
  <si>
    <t>Fin 2023</t>
  </si>
  <si>
    <t>Solde exportateur</t>
  </si>
  <si>
    <t>Ne baisse pas en dessous de 5 % de la conso nationale (sauf en 2050, arrive à zéro) et n’augmente pas au dessus de 20 %</t>
  </si>
  <si>
    <t>Fécamp</t>
  </si>
  <si>
    <t>Courant 2023</t>
  </si>
  <si>
    <t>Pompage</t>
  </si>
  <si>
    <t>Constant</t>
  </si>
  <si>
    <t>Courseulles sur mer</t>
  </si>
  <si>
    <t>Courant 2024</t>
  </si>
  <si>
    <t>Batteries stationnaires (soutirage)</t>
  </si>
  <si>
    <t>Pas de développement</t>
  </si>
  <si>
    <t>Dieppe Le Tréport</t>
  </si>
  <si>
    <t>Début 2024</t>
  </si>
  <si>
    <t>Vehicle-to-grid (soutirage)</t>
  </si>
  <si>
    <t>Yeu-Noirmoutier</t>
  </si>
  <si>
    <t>Début 2025</t>
  </si>
  <si>
    <t>Power-to-gas pour le système électrique</t>
  </si>
  <si>
    <t>Dunkerque</t>
  </si>
  <si>
    <t>Début 2027</t>
  </si>
  <si>
    <t>Energie écrêtée</t>
  </si>
  <si>
    <t>Production éolien offshore</t>
  </si>
  <si>
    <t>AMS 18</t>
  </si>
  <si>
    <t>combustible gazeux décarbonné (dont H2)</t>
  </si>
  <si>
    <t>Total production</t>
  </si>
  <si>
    <t>NO3 Ref – TWh</t>
  </si>
  <si>
    <t>Offre totale</t>
  </si>
  <si>
    <t>Energies renouvelables</t>
  </si>
  <si>
    <t>dont STEP</t>
  </si>
  <si>
    <t>Eolien</t>
  </si>
  <si>
    <t>dont éolien terrestre</t>
  </si>
  <si>
    <t>dont éolien en mer</t>
  </si>
  <si>
    <t>Solaire</t>
  </si>
  <si>
    <t>Bioénergies (2)</t>
  </si>
  <si>
    <t>Energies marines</t>
  </si>
  <si>
    <t>Nucléaire existant</t>
  </si>
  <si>
    <t>EPR2</t>
  </si>
  <si>
    <t>SMR</t>
  </si>
  <si>
    <t>Thermique (3)</t>
  </si>
  <si>
    <t>Méthane</t>
  </si>
  <si>
    <t>Hydrogène</t>
  </si>
  <si>
    <t>Flexibilités (4)</t>
  </si>
  <si>
    <t>Effacements (industriels et tertiaires)</t>
  </si>
  <si>
    <t>Vehicle-to-grid (injection)</t>
  </si>
  <si>
    <t>Batteries stationnaires (injection)</t>
  </si>
  <si>
    <t xml:space="preserve">Biomasse chaleur hors réseaux </t>
  </si>
  <si>
    <t>AME : 75 % (ADEME TEND)</t>
  </si>
  <si>
    <t>Biomasse chaleur RCU</t>
  </si>
  <si>
    <t>AME : constant</t>
  </si>
  <si>
    <t>Méthanisation : négligé (&lt;2TWh d’électricité)</t>
  </si>
  <si>
    <t>Biomasse consommée pour la production d’électricité</t>
  </si>
  <si>
    <t>AME et AMS : 100 % co-génération</t>
  </si>
  <si>
    <t>1. Production de combustibles fossiles</t>
  </si>
  <si>
    <t>AME 2021</t>
  </si>
  <si>
    <t>Production de charbon</t>
  </si>
  <si>
    <t>Mtep</t>
  </si>
  <si>
    <t>Production de pétrole brut</t>
  </si>
  <si>
    <t>Niveau 2020 maintenu constant jusqu’à 2035 puis baisse jusqu’à 0 en 2040</t>
  </si>
  <si>
    <t>Production de gaz naturel</t>
  </si>
  <si>
    <t>AMS18</t>
  </si>
  <si>
    <t>Traduction objectif 0 fossile en 2040</t>
  </si>
  <si>
    <t>2. Raffinage</t>
  </si>
  <si>
    <t>Taux d’incorporation  AME23</t>
  </si>
  <si>
    <t>Taux d’incorporation des biocarburants AMS 2018 (pour mémoire)</t>
  </si>
  <si>
    <t xml:space="preserve"> Taux d’incorporation des biocarburants AME21 (pour mémoire)</t>
  </si>
  <si>
    <t>Taux de bio (taux d'incorporation en énergie) dans les biocarburants</t>
  </si>
  <si>
    <t>Taux de bio</t>
  </si>
  <si>
    <t>Taux de bio (taux d'incorporation en énergie)</t>
  </si>
  <si>
    <t>Taux d’incorporation des biocarburants dans l’essence</t>
  </si>
  <si>
    <t>Taux d’incorporation dans l’essence</t>
  </si>
  <si>
    <t>Taux d’incorporation des biocarburants dans le diesel</t>
  </si>
  <si>
    <t>Taux d’incorporation dans le diesel</t>
  </si>
  <si>
    <t>Taux d’incorporation dans les carburants aviation</t>
  </si>
  <si>
    <t>s</t>
  </si>
  <si>
    <t>Taux d’incorporation du gaz renouvelable dans le gaz</t>
  </si>
  <si>
    <t>Commentaire : Ajusté sur la LF pour 2022; puis gardé constant par hypothèse</t>
  </si>
  <si>
    <t xml:space="preserve">Taux de bio (taux d'incorporation en énergie) dans le biométhane </t>
  </si>
  <si>
    <t>Commentaire : A ajuster en fonction des AAP envisagé - ok on ne modifie pas</t>
  </si>
  <si>
    <t>Injections 2021 = 4,3TWh (2,2 en 2020), sur une conso de 474TWh (445) dont 39hors réseaux</t>
  </si>
  <si>
    <t>https://www.grtgaz.com/sites/default/files/2022-02/Bilan-gaz-et-gaz-renouvelables-2021-presentation-03022022_1.pdf</t>
  </si>
  <si>
    <t>19TWh de métha en projet, l'injection représente 15%</t>
  </si>
  <si>
    <t>Taux d'incorporation en énergie de carburants aériens durables</t>
  </si>
  <si>
    <t>dont biocarburants avancés</t>
  </si>
  <si>
    <t>dont RFNBO</t>
  </si>
  <si>
    <t>réformage de gaz naturel</t>
  </si>
  <si>
    <t>pyrogazéification</t>
  </si>
  <si>
    <t>électrolyse</t>
  </si>
  <si>
    <t>Total</t>
  </si>
  <si>
    <t>Observé (CEA)</t>
  </si>
  <si>
    <t>AME 23</t>
  </si>
  <si>
    <t>Commentaire : même hypothèse que run 1 ; prise en compte du taux inscrit dans la loi de finance à date ; feuille de route non intégré en AME (taux d'incorpooration à 5% intégré en AMS uniquement)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</si>
</sst>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\ %"/>
    <numFmt numFmtId="165" formatCode="0.0"/>
    <numFmt numFmtId="166" formatCode="0.0\ %"/>
    <numFmt numFmtId="167" formatCode="0.0%"/>
    <numFmt numFmtId="168" formatCode="0.00\ %"/>
  </numFmts>
  <fonts count="21" x14ac:knownFonts="1"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1"/>
      <name val="Calibri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i/>
      <sz val="11"/>
      <color rgb="FFFF0000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CE181E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sz val="11"/>
      <color rgb="FFA6A6A6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C55A11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B4C7DC"/>
        <bgColor rgb="FF99CCFF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B4C7DC"/>
      </patternFill>
    </fill>
    <fill>
      <patternFill patternType="solid">
        <fgColor rgb="FFFFFFFF"/>
        <bgColor rgb="FFF2F2F2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20" fillId="0" borderId="0" applyBorder="0" applyProtection="0"/>
    <xf numFmtId="164" fontId="20" fillId="0" borderId="0" applyBorder="0" applyProtection="0"/>
    <xf numFmtId="164" fontId="20" fillId="0" borderId="0" applyBorder="0" applyProtection="0"/>
    <xf numFmtId="0" fontId="12" fillId="0" borderId="0"/>
  </cellStyleXfs>
  <cellXfs count="71">
    <xf numFmtId="0" fontId="0" fillId="0" borderId="0" xfId="0"/>
    <xf numFmtId="0" fontId="0" fillId="2" borderId="0" xfId="0" applyFont="1" applyFill="1"/>
    <xf numFmtId="0" fontId="1" fillId="3" borderId="0" xfId="0" applyFont="1" applyFill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164" fontId="20" fillId="0" borderId="0" xfId="1" applyBorder="1" applyProtection="1"/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165" fontId="5" fillId="0" borderId="0" xfId="0" applyNumberFormat="1" applyFont="1" applyAlignment="1">
      <alignment horizontal="right"/>
    </xf>
    <xf numFmtId="164" fontId="4" fillId="0" borderId="0" xfId="1" applyFont="1" applyBorder="1" applyProtection="1"/>
    <xf numFmtId="0" fontId="0" fillId="4" borderId="0" xfId="0" applyFont="1" applyFill="1"/>
    <xf numFmtId="2" fontId="0" fillId="4" borderId="0" xfId="0" applyNumberFormat="1" applyFill="1"/>
    <xf numFmtId="1" fontId="0" fillId="2" borderId="0" xfId="0" applyNumberFormat="1" applyFont="1" applyFill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6" fillId="0" borderId="0" xfId="0" applyFont="1"/>
    <xf numFmtId="166" fontId="20" fillId="0" borderId="0" xfId="1" applyNumberFormat="1" applyBorder="1" applyProtection="1"/>
    <xf numFmtId="0" fontId="0" fillId="0" borderId="1" xfId="0" applyFont="1" applyBorder="1"/>
    <xf numFmtId="0" fontId="0" fillId="5" borderId="0" xfId="0" applyFont="1" applyFill="1"/>
    <xf numFmtId="165" fontId="0" fillId="0" borderId="1" xfId="0" applyNumberFormat="1" applyBorder="1"/>
    <xf numFmtId="165" fontId="7" fillId="0" borderId="1" xfId="0" applyNumberFormat="1" applyFont="1" applyBorder="1"/>
    <xf numFmtId="0" fontId="8" fillId="0" borderId="0" xfId="0" applyFont="1"/>
    <xf numFmtId="0" fontId="8" fillId="5" borderId="0" xfId="0" applyFont="1" applyFill="1"/>
    <xf numFmtId="1" fontId="0" fillId="5" borderId="0" xfId="0" applyNumberFormat="1" applyFill="1"/>
    <xf numFmtId="165" fontId="0" fillId="5" borderId="0" xfId="0" applyNumberFormat="1" applyFill="1"/>
    <xf numFmtId="0" fontId="9" fillId="0" borderId="1" xfId="0" applyFont="1" applyBorder="1"/>
    <xf numFmtId="165" fontId="9" fillId="0" borderId="1" xfId="0" applyNumberFormat="1" applyFont="1" applyBorder="1"/>
    <xf numFmtId="0" fontId="9" fillId="2" borderId="0" xfId="0" applyFont="1" applyFill="1"/>
    <xf numFmtId="0" fontId="10" fillId="6" borderId="0" xfId="0" applyFont="1" applyFill="1"/>
    <xf numFmtId="165" fontId="10" fillId="6" borderId="0" xfId="0" applyNumberFormat="1" applyFont="1" applyFill="1"/>
    <xf numFmtId="1" fontId="10" fillId="6" borderId="0" xfId="0" applyNumberFormat="1" applyFont="1" applyFill="1"/>
    <xf numFmtId="1" fontId="0" fillId="0" borderId="1" xfId="0" applyNumberFormat="1" applyBorder="1"/>
    <xf numFmtId="0" fontId="8" fillId="7" borderId="2" xfId="0" applyFont="1" applyFill="1" applyBorder="1" applyProtection="1">
      <protection locked="0"/>
    </xf>
    <xf numFmtId="165" fontId="11" fillId="7" borderId="3" xfId="0" applyNumberFormat="1" applyFont="1" applyFill="1" applyBorder="1" applyProtection="1">
      <protection locked="0"/>
    </xf>
    <xf numFmtId="0" fontId="0" fillId="8" borderId="0" xfId="0" applyFont="1" applyFill="1"/>
    <xf numFmtId="0" fontId="12" fillId="0" borderId="4" xfId="0" applyFont="1" applyBorder="1"/>
    <xf numFmtId="165" fontId="13" fillId="0" borderId="0" xfId="0" applyNumberFormat="1" applyFont="1"/>
    <xf numFmtId="0" fontId="14" fillId="0" borderId="4" xfId="0" applyFont="1" applyBorder="1" applyAlignment="1">
      <alignment horizontal="right"/>
    </xf>
    <xf numFmtId="165" fontId="2" fillId="0" borderId="0" xfId="0" applyNumberFormat="1" applyFont="1"/>
    <xf numFmtId="167" fontId="12" fillId="0" borderId="0" xfId="1" applyNumberFormat="1" applyFont="1" applyBorder="1" applyProtection="1"/>
    <xf numFmtId="0" fontId="9" fillId="0" borderId="0" xfId="0" applyFont="1"/>
    <xf numFmtId="0" fontId="0" fillId="0" borderId="4" xfId="0" applyFont="1" applyBorder="1"/>
    <xf numFmtId="0" fontId="12" fillId="0" borderId="5" xfId="0" applyFont="1" applyBorder="1" applyProtection="1">
      <protection locked="0"/>
    </xf>
    <xf numFmtId="165" fontId="13" fillId="0" borderId="6" xfId="0" applyNumberFormat="1" applyFont="1" applyBorder="1"/>
    <xf numFmtId="167" fontId="0" fillId="0" borderId="1" xfId="0" applyNumberFormat="1" applyBorder="1"/>
    <xf numFmtId="168" fontId="0" fillId="0" borderId="0" xfId="0" applyNumberFormat="1"/>
    <xf numFmtId="165" fontId="11" fillId="7" borderId="7" xfId="0" applyNumberFormat="1" applyFont="1" applyFill="1" applyBorder="1" applyProtection="1">
      <protection locked="0"/>
    </xf>
    <xf numFmtId="165" fontId="11" fillId="6" borderId="8" xfId="0" applyNumberFormat="1" applyFont="1" applyFill="1" applyBorder="1" applyProtection="1">
      <protection locked="0"/>
    </xf>
    <xf numFmtId="0" fontId="8" fillId="6" borderId="9" xfId="0" applyFont="1" applyFill="1" applyBorder="1" applyProtection="1">
      <protection locked="0"/>
    </xf>
    <xf numFmtId="0" fontId="12" fillId="0" borderId="4" xfId="0" applyFont="1" applyBorder="1" applyProtection="1">
      <protection locked="0"/>
    </xf>
    <xf numFmtId="0" fontId="14" fillId="0" borderId="4" xfId="0" applyFont="1" applyBorder="1" applyAlignment="1" applyProtection="1">
      <alignment horizontal="right"/>
      <protection locked="0"/>
    </xf>
    <xf numFmtId="165" fontId="11" fillId="6" borderId="10" xfId="0" applyNumberFormat="1" applyFont="1" applyFill="1" applyBorder="1" applyProtection="1">
      <protection locked="0"/>
    </xf>
    <xf numFmtId="0" fontId="15" fillId="5" borderId="0" xfId="0" applyFont="1" applyFill="1"/>
    <xf numFmtId="0" fontId="15" fillId="5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167" fontId="16" fillId="0" borderId="11" xfId="1" applyNumberFormat="1" applyFont="1" applyBorder="1" applyAlignment="1" applyProtection="1">
      <alignment horizontal="center"/>
    </xf>
    <xf numFmtId="167" fontId="16" fillId="5" borderId="11" xfId="1" applyNumberFormat="1" applyFont="1" applyFill="1" applyBorder="1" applyAlignment="1" applyProtection="1">
      <alignment horizontal="center"/>
    </xf>
    <xf numFmtId="168" fontId="16" fillId="0" borderId="11" xfId="0" applyNumberFormat="1" applyFont="1" applyBorder="1"/>
    <xf numFmtId="0" fontId="18" fillId="0" borderId="0" xfId="0" applyFont="1"/>
    <xf numFmtId="167" fontId="17" fillId="0" borderId="11" xfId="1" applyNumberFormat="1" applyFont="1" applyBorder="1" applyAlignment="1" applyProtection="1">
      <alignment horizontal="center"/>
    </xf>
    <xf numFmtId="0" fontId="19" fillId="0" borderId="0" xfId="0" applyFont="1"/>
    <xf numFmtId="0" fontId="0" fillId="0" borderId="1" xfId="0" applyFont="1" applyBorder="1" applyAlignment="1">
      <alignment wrapText="1"/>
    </xf>
    <xf numFmtId="168" fontId="0" fillId="0" borderId="1" xfId="0" applyNumberFormat="1" applyBorder="1"/>
    <xf numFmtId="0" fontId="0" fillId="0" borderId="1" xfId="0" applyFont="1" applyBorder="1" applyAlignment="1">
      <alignment horizontal="center" vertical="center"/>
    </xf>
  </cellXfs>
  <cellStyles count="5">
    <cellStyle name="Excel Built-in Explanatory Text" xfId="4"/>
    <cellStyle name="Normal" xfId="0" builtinId="0"/>
    <cellStyle name="Pourcentage" xfId="1" builtinId="5"/>
    <cellStyle name="Pourcentage 11 2" xfId="2"/>
    <cellStyle name="Pourcentage 1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A6A6A6"/>
      <rgbColor rgb="FF993366"/>
      <rgbColor rgb="FFFFF2CC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70920</xdr:colOff>
      <xdr:row>28</xdr:row>
      <xdr:rowOff>122400</xdr:rowOff>
    </xdr:from>
    <xdr:to>
      <xdr:col>6</xdr:col>
      <xdr:colOff>51120</xdr:colOff>
      <xdr:row>66</xdr:row>
      <xdr:rowOff>108720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685440" y="4656240"/>
          <a:ext cx="4192920" cy="613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5"/>
  <sheetViews>
    <sheetView topLeftCell="A23" zoomScale="55" zoomScaleNormal="55" workbookViewId="0">
      <selection activeCell="J81" sqref="J81"/>
    </sheetView>
  </sheetViews>
  <sheetFormatPr baseColWidth="10" defaultColWidth="9.109375" defaultRowHeight="13.2" x14ac:dyDescent="0.25"/>
  <cols>
    <col min="1" max="1" width="9.109375" customWidth="1"/>
    <col min="2" max="2" width="35" customWidth="1"/>
    <col min="3" max="3" width="9.88671875" customWidth="1"/>
    <col min="4" max="6" width="9.109375" customWidth="1"/>
    <col min="7" max="7" width="9.5546875" customWidth="1"/>
    <col min="8" max="9" width="9.109375" customWidth="1"/>
    <col min="10" max="10" width="17.5546875" customWidth="1"/>
    <col min="11" max="1025" width="9.109375" customWidth="1"/>
  </cols>
  <sheetData>
    <row r="1" spans="2:17" x14ac:dyDescent="0.25">
      <c r="B1" s="1" t="s">
        <v>0</v>
      </c>
    </row>
    <row r="2" spans="2:17" x14ac:dyDescent="0.25">
      <c r="C2" s="2" t="s">
        <v>1</v>
      </c>
      <c r="D2" s="2" t="s">
        <v>2</v>
      </c>
      <c r="E2" s="2" t="s">
        <v>3</v>
      </c>
      <c r="F2" s="2" t="s">
        <v>4</v>
      </c>
      <c r="G2" s="2">
        <v>2019</v>
      </c>
      <c r="H2" s="2">
        <v>2020</v>
      </c>
      <c r="K2" s="2" t="s">
        <v>1</v>
      </c>
      <c r="L2" s="2" t="s">
        <v>2</v>
      </c>
      <c r="M2" s="2" t="s">
        <v>3</v>
      </c>
      <c r="N2" s="2" t="s">
        <v>4</v>
      </c>
      <c r="O2" s="2">
        <v>2019</v>
      </c>
      <c r="P2" s="2">
        <v>2020</v>
      </c>
    </row>
    <row r="3" spans="2:17" ht="14.4" x14ac:dyDescent="0.3">
      <c r="B3" t="s">
        <v>5</v>
      </c>
      <c r="C3" s="3">
        <v>2.6521352777777798</v>
      </c>
      <c r="D3" s="3">
        <v>2.4284880555555599</v>
      </c>
      <c r="E3" s="3">
        <v>2.8132736111111099</v>
      </c>
      <c r="F3" s="3">
        <v>0.39488472222222198</v>
      </c>
      <c r="G3" s="3">
        <v>0.24106694444444399</v>
      </c>
      <c r="H3" s="4" t="s">
        <v>6</v>
      </c>
      <c r="J3" t="s">
        <v>5</v>
      </c>
      <c r="K3" s="5">
        <f t="shared" ref="K3:K13" si="0">C3/C$12</f>
        <v>6.3764029506402947E-2</v>
      </c>
      <c r="L3" s="5">
        <f t="shared" ref="L3:L13" si="1">D3/D$12</f>
        <v>5.2190063767932462E-2</v>
      </c>
      <c r="M3" s="5">
        <f t="shared" ref="M3:M13" si="2">E3/E$12</f>
        <v>5.9117311011171486E-2</v>
      </c>
      <c r="N3" s="5">
        <f t="shared" ref="N3:N13" si="3">F3/F$12</f>
        <v>8.8317567379510072E-3</v>
      </c>
      <c r="O3" s="5">
        <f t="shared" ref="O3:O13" si="4">G3/G$12</f>
        <v>5.1292508372051257E-3</v>
      </c>
      <c r="P3" s="4"/>
    </row>
    <row r="4" spans="2:17" ht="14.4" x14ac:dyDescent="0.3">
      <c r="B4" t="s">
        <v>7</v>
      </c>
      <c r="C4" s="3">
        <v>16.1861755555556</v>
      </c>
      <c r="D4" s="3">
        <v>17.914412500000001</v>
      </c>
      <c r="E4" s="3">
        <v>17.486174999999999</v>
      </c>
      <c r="F4" s="3">
        <v>17.4975744444444</v>
      </c>
      <c r="G4" s="3">
        <v>18.014859444444401</v>
      </c>
      <c r="H4" s="4" t="s">
        <v>6</v>
      </c>
      <c r="J4" t="s">
        <v>7</v>
      </c>
      <c r="K4" s="5">
        <f t="shared" si="0"/>
        <v>0.38915653525225041</v>
      </c>
      <c r="L4" s="5">
        <f t="shared" si="1"/>
        <v>0.38499441189393002</v>
      </c>
      <c r="M4" s="5">
        <f t="shared" si="2"/>
        <v>0.3674493806034369</v>
      </c>
      <c r="N4" s="5">
        <f t="shared" si="3"/>
        <v>0.39134033884085484</v>
      </c>
      <c r="O4" s="5">
        <f t="shared" si="4"/>
        <v>0.38330735514360048</v>
      </c>
      <c r="P4" s="4"/>
    </row>
    <row r="5" spans="2:17" ht="14.4" x14ac:dyDescent="0.3">
      <c r="B5" t="s">
        <v>8</v>
      </c>
      <c r="C5" s="3">
        <v>2.4450086111111098</v>
      </c>
      <c r="D5" s="3">
        <v>2.4979874999999998</v>
      </c>
      <c r="E5" s="3">
        <v>2.4242702777777798</v>
      </c>
      <c r="F5" s="3">
        <v>1.8187588888888899</v>
      </c>
      <c r="G5" s="3">
        <v>1.4287252777777799</v>
      </c>
      <c r="H5" s="4" t="s">
        <v>6</v>
      </c>
      <c r="J5" t="s">
        <v>8</v>
      </c>
      <c r="K5" s="5">
        <f t="shared" si="0"/>
        <v>5.8784181383435878E-2</v>
      </c>
      <c r="L5" s="5">
        <f t="shared" si="1"/>
        <v>5.3683659929170902E-2</v>
      </c>
      <c r="M5" s="5">
        <f t="shared" si="2"/>
        <v>5.0942908439654024E-2</v>
      </c>
      <c r="N5" s="5">
        <f t="shared" si="3"/>
        <v>4.0677279134170595E-2</v>
      </c>
      <c r="O5" s="5">
        <f t="shared" si="4"/>
        <v>3.0399399403623635E-2</v>
      </c>
      <c r="P5" s="4"/>
    </row>
    <row r="6" spans="2:17" ht="14.4" x14ac:dyDescent="0.3">
      <c r="B6" t="s">
        <v>9</v>
      </c>
      <c r="C6" s="3">
        <v>18.137435277777801</v>
      </c>
      <c r="D6" s="3">
        <v>21.075134722222199</v>
      </c>
      <c r="E6" s="3">
        <v>22.147185277777801</v>
      </c>
      <c r="F6" s="3">
        <v>22.154687777777799</v>
      </c>
      <c r="G6" s="3">
        <v>23.781785833333299</v>
      </c>
      <c r="H6" s="4" t="s">
        <v>6</v>
      </c>
      <c r="J6" t="s">
        <v>9</v>
      </c>
      <c r="K6" s="5">
        <f t="shared" si="0"/>
        <v>0.43606974648432734</v>
      </c>
      <c r="L6" s="5">
        <f t="shared" si="1"/>
        <v>0.45292074735731797</v>
      </c>
      <c r="M6" s="5">
        <f t="shared" si="2"/>
        <v>0.46539449092949203</v>
      </c>
      <c r="N6" s="5">
        <f t="shared" si="3"/>
        <v>0.49549856463800906</v>
      </c>
      <c r="O6" s="5">
        <f t="shared" si="4"/>
        <v>0.50601190958377051</v>
      </c>
      <c r="P6" s="4"/>
      <c r="Q6" s="6" t="s">
        <v>10</v>
      </c>
    </row>
    <row r="7" spans="2:17" s="6" customFormat="1" ht="14.4" x14ac:dyDescent="0.3">
      <c r="B7" s="7" t="s">
        <v>11</v>
      </c>
      <c r="C7" s="8">
        <v>7.6</v>
      </c>
      <c r="D7" s="8">
        <v>8.1999999999999993</v>
      </c>
      <c r="E7" s="8">
        <v>8.3000000000000007</v>
      </c>
      <c r="F7" s="8">
        <v>8.3000000000000007</v>
      </c>
      <c r="G7" s="8">
        <v>8.8000000000000007</v>
      </c>
      <c r="H7" s="9"/>
      <c r="J7" s="7" t="s">
        <v>11</v>
      </c>
      <c r="K7" s="10">
        <f t="shared" si="0"/>
        <v>0.18272319225537906</v>
      </c>
      <c r="L7" s="10">
        <f t="shared" si="1"/>
        <v>0.17622426510108694</v>
      </c>
      <c r="M7" s="10">
        <f t="shared" si="2"/>
        <v>0.174413778828619</v>
      </c>
      <c r="N7" s="10">
        <f t="shared" si="3"/>
        <v>0.18563286143985502</v>
      </c>
      <c r="O7" s="10">
        <f t="shared" si="4"/>
        <v>0.18724013560393976</v>
      </c>
      <c r="P7" s="9"/>
    </row>
    <row r="8" spans="2:17" ht="14.4" x14ac:dyDescent="0.3">
      <c r="B8" s="7" t="s">
        <v>12</v>
      </c>
      <c r="C8" s="8">
        <f>C6-C7</f>
        <v>10.537435277777801</v>
      </c>
      <c r="D8" s="8">
        <f>D6-D7</f>
        <v>12.875134722222199</v>
      </c>
      <c r="E8" s="8">
        <f>E6-E7</f>
        <v>13.8471852777778</v>
      </c>
      <c r="F8" s="8">
        <f>F6-F7</f>
        <v>13.854687777777798</v>
      </c>
      <c r="G8" s="8">
        <f>G6-G7</f>
        <v>14.981785833333298</v>
      </c>
      <c r="H8" s="4"/>
      <c r="J8" s="7" t="s">
        <v>12</v>
      </c>
      <c r="K8" s="10">
        <f t="shared" si="0"/>
        <v>0.25334655422894831</v>
      </c>
      <c r="L8" s="10">
        <f t="shared" si="1"/>
        <v>0.276696482256231</v>
      </c>
      <c r="M8" s="10">
        <f t="shared" si="2"/>
        <v>0.29098071210087301</v>
      </c>
      <c r="N8" s="10">
        <f t="shared" si="3"/>
        <v>0.30986570319815404</v>
      </c>
      <c r="O8" s="10">
        <f t="shared" si="4"/>
        <v>0.3187717739798307</v>
      </c>
      <c r="P8" s="4"/>
      <c r="Q8" s="6"/>
    </row>
    <row r="9" spans="2:17" x14ac:dyDescent="0.25">
      <c r="B9" t="s">
        <v>13</v>
      </c>
      <c r="C9" s="3">
        <v>1.0713311111111099</v>
      </c>
      <c r="D9" s="3">
        <v>1.22145944444444</v>
      </c>
      <c r="E9" s="3">
        <v>1.5591955555555601</v>
      </c>
      <c r="F9" s="3">
        <v>1.6626466666666699</v>
      </c>
      <c r="G9" s="3">
        <v>1.8002433333333301</v>
      </c>
      <c r="H9" s="3">
        <v>1.8002433333333301</v>
      </c>
      <c r="J9" t="s">
        <v>13</v>
      </c>
      <c r="K9" s="5">
        <f t="shared" si="0"/>
        <v>2.5757505340095292E-2</v>
      </c>
      <c r="L9" s="5">
        <f t="shared" si="1"/>
        <v>2.6250096700976024E-2</v>
      </c>
      <c r="M9" s="5">
        <f t="shared" si="2"/>
        <v>3.2764480575570257E-2</v>
      </c>
      <c r="N9" s="5">
        <f t="shared" si="3"/>
        <v>3.7185766059851896E-2</v>
      </c>
      <c r="O9" s="5">
        <f t="shared" si="4"/>
        <v>3.8304296119706961E-2</v>
      </c>
      <c r="P9" s="3"/>
    </row>
    <row r="10" spans="2:17" x14ac:dyDescent="0.25">
      <c r="B10" t="s">
        <v>14</v>
      </c>
      <c r="C10" s="3">
        <v>0.140433888888889</v>
      </c>
      <c r="D10" s="3">
        <v>0.14124583333333299</v>
      </c>
      <c r="E10" s="3">
        <v>0.14364444444444399</v>
      </c>
      <c r="F10" s="3">
        <v>0.26906305555555599</v>
      </c>
      <c r="G10" s="3">
        <v>0.364128333333333</v>
      </c>
      <c r="H10" s="3">
        <v>0.364128333333333</v>
      </c>
      <c r="J10" t="s">
        <v>14</v>
      </c>
      <c r="K10" s="5">
        <f t="shared" si="0"/>
        <v>3.3763853261335537E-3</v>
      </c>
      <c r="L10" s="5">
        <f t="shared" si="1"/>
        <v>3.0354808753362459E-3</v>
      </c>
      <c r="M10" s="5">
        <f t="shared" si="2"/>
        <v>3.0185024534088072E-3</v>
      </c>
      <c r="N10" s="5">
        <f t="shared" si="3"/>
        <v>6.0177042060877749E-3</v>
      </c>
      <c r="O10" s="5">
        <f t="shared" si="4"/>
        <v>7.74766346711021E-3</v>
      </c>
      <c r="P10" s="3"/>
    </row>
    <row r="11" spans="2:17" ht="14.4" x14ac:dyDescent="0.3">
      <c r="B11" t="s">
        <v>15</v>
      </c>
      <c r="C11" s="3">
        <v>0.96044888888888702</v>
      </c>
      <c r="D11" s="3">
        <v>1.2528888888888801</v>
      </c>
      <c r="E11" s="3">
        <v>1.0142391666666599</v>
      </c>
      <c r="F11" s="3">
        <v>0.91429555555555198</v>
      </c>
      <c r="G11" s="3">
        <v>1.3676613888889</v>
      </c>
      <c r="H11" s="4" t="s">
        <v>6</v>
      </c>
      <c r="J11" t="s">
        <v>15</v>
      </c>
      <c r="K11" s="5">
        <f t="shared" si="0"/>
        <v>2.3091616707356488E-2</v>
      </c>
      <c r="L11" s="5">
        <f t="shared" si="1"/>
        <v>2.6925539475336619E-2</v>
      </c>
      <c r="M11" s="5">
        <f t="shared" si="2"/>
        <v>2.1312925987267667E-2</v>
      </c>
      <c r="N11" s="5">
        <f t="shared" si="3"/>
        <v>2.0448590383074582E-2</v>
      </c>
      <c r="O11" s="5">
        <f t="shared" si="4"/>
        <v>2.9100125444980706E-2</v>
      </c>
      <c r="P11" s="4"/>
      <c r="Q11" s="6" t="s">
        <v>16</v>
      </c>
    </row>
    <row r="12" spans="2:17" x14ac:dyDescent="0.25">
      <c r="B12" s="11" t="s">
        <v>17</v>
      </c>
      <c r="C12" s="12">
        <v>41.592968611111097</v>
      </c>
      <c r="D12" s="12">
        <v>46.531616944444401</v>
      </c>
      <c r="E12" s="12">
        <v>47.587983333333298</v>
      </c>
      <c r="F12" s="12">
        <v>44.7119111111111</v>
      </c>
      <c r="G12" s="12">
        <v>46.998470555555599</v>
      </c>
      <c r="H12" s="12">
        <v>44.505668772844302</v>
      </c>
      <c r="J12" s="11" t="s">
        <v>17</v>
      </c>
      <c r="K12" s="5">
        <f t="shared" si="0"/>
        <v>1</v>
      </c>
      <c r="L12" s="5">
        <f t="shared" si="1"/>
        <v>1</v>
      </c>
      <c r="M12" s="5">
        <f t="shared" si="2"/>
        <v>1</v>
      </c>
      <c r="N12" s="5">
        <f t="shared" si="3"/>
        <v>1</v>
      </c>
      <c r="O12" s="5">
        <f t="shared" si="4"/>
        <v>1</v>
      </c>
      <c r="P12" s="3"/>
    </row>
    <row r="13" spans="2:17" x14ac:dyDescent="0.25">
      <c r="B13" s="11" t="s">
        <v>18</v>
      </c>
      <c r="C13" s="12">
        <v>3.0291394444444402</v>
      </c>
      <c r="D13" s="12">
        <v>3.5203347222222199</v>
      </c>
      <c r="E13" s="12">
        <v>3.6217841666666701</v>
      </c>
      <c r="F13" s="12">
        <v>3.2956627777777801</v>
      </c>
      <c r="G13" s="12">
        <v>3.6501080555555601</v>
      </c>
      <c r="H13" s="12">
        <v>3.4565061149277998</v>
      </c>
      <c r="J13" s="11" t="s">
        <v>18</v>
      </c>
      <c r="K13" s="5">
        <f t="shared" si="0"/>
        <v>7.2828161720470214E-2</v>
      </c>
      <c r="L13" s="5">
        <f t="shared" si="1"/>
        <v>7.5654682845542651E-2</v>
      </c>
      <c r="M13" s="5">
        <f t="shared" si="2"/>
        <v>7.61071159771078E-2</v>
      </c>
      <c r="N13" s="5">
        <f t="shared" si="3"/>
        <v>7.3708832744543401E-2</v>
      </c>
      <c r="O13" s="5">
        <f t="shared" si="4"/>
        <v>7.7664400828551805E-2</v>
      </c>
      <c r="P13" s="3"/>
    </row>
    <row r="16" spans="2:17" x14ac:dyDescent="0.25">
      <c r="B16" s="13" t="s">
        <v>19</v>
      </c>
      <c r="G16">
        <v>2019</v>
      </c>
      <c r="H16">
        <v>2020</v>
      </c>
      <c r="O16">
        <v>2019</v>
      </c>
      <c r="P16">
        <v>2020</v>
      </c>
    </row>
    <row r="17" spans="2:16" x14ac:dyDescent="0.25">
      <c r="B17" t="s">
        <v>20</v>
      </c>
      <c r="G17" s="14">
        <v>21.625776732011499</v>
      </c>
      <c r="H17" s="14">
        <v>20.9441178425635</v>
      </c>
      <c r="O17" s="5">
        <f t="shared" ref="O17:O25" si="5">G17/$G$17</f>
        <v>1</v>
      </c>
      <c r="P17" s="5">
        <f t="shared" ref="P17:P25" si="6">H17/$H$17</f>
        <v>1</v>
      </c>
    </row>
    <row r="18" spans="2:16" x14ac:dyDescent="0.25">
      <c r="B18" t="s">
        <v>21</v>
      </c>
      <c r="G18" s="14">
        <v>0.363251656680327</v>
      </c>
      <c r="H18" s="14">
        <v>0.34124880898202897</v>
      </c>
      <c r="O18" s="5">
        <f t="shared" si="5"/>
        <v>1.6797161146245659E-2</v>
      </c>
      <c r="P18" s="5">
        <f t="shared" si="6"/>
        <v>1.6293300655925887E-2</v>
      </c>
    </row>
    <row r="19" spans="2:16" x14ac:dyDescent="0.25">
      <c r="B19" t="s">
        <v>22</v>
      </c>
      <c r="G19" s="14">
        <v>6.9532364918314701E-2</v>
      </c>
      <c r="H19" s="14">
        <v>8.8451944969905397E-2</v>
      </c>
      <c r="O19" s="5">
        <f t="shared" si="5"/>
        <v>3.215253989716337E-3</v>
      </c>
      <c r="P19" s="5">
        <f t="shared" si="6"/>
        <v>4.2232356423315045E-3</v>
      </c>
    </row>
    <row r="20" spans="2:16" x14ac:dyDescent="0.25">
      <c r="B20" t="s">
        <v>7</v>
      </c>
      <c r="G20" s="14">
        <v>7.4076906995809004</v>
      </c>
      <c r="H20" s="14">
        <v>7.7462012148781696</v>
      </c>
      <c r="O20" s="5">
        <f t="shared" si="5"/>
        <v>0.34253986764857725</v>
      </c>
      <c r="P20" s="5">
        <f t="shared" si="6"/>
        <v>0.36985091819603977</v>
      </c>
    </row>
    <row r="21" spans="2:16" x14ac:dyDescent="0.25">
      <c r="B21" t="s">
        <v>23</v>
      </c>
      <c r="G21" s="14">
        <v>6.3897543464507196</v>
      </c>
      <c r="H21" s="14">
        <v>6.0975174046645604</v>
      </c>
      <c r="O21" s="5">
        <f t="shared" si="5"/>
        <v>0.2954693570378123</v>
      </c>
      <c r="P21" s="5">
        <f t="shared" si="6"/>
        <v>0.29113269178962192</v>
      </c>
    </row>
    <row r="22" spans="2:16" x14ac:dyDescent="0.25">
      <c r="B22" t="s">
        <v>24</v>
      </c>
      <c r="G22" s="14">
        <v>4.0036810931000497</v>
      </c>
      <c r="H22" s="14">
        <v>3.7280545151565398</v>
      </c>
      <c r="O22" s="5">
        <f t="shared" si="5"/>
        <v>0.18513467251206803</v>
      </c>
      <c r="P22" s="5">
        <f t="shared" si="6"/>
        <v>0.17800007348985755</v>
      </c>
    </row>
    <row r="23" spans="2:16" x14ac:dyDescent="0.25">
      <c r="B23" t="s">
        <v>25</v>
      </c>
      <c r="G23" s="14">
        <v>1.8694809454858099</v>
      </c>
      <c r="H23" s="14">
        <v>1.5972972687876199</v>
      </c>
      <c r="O23" s="5">
        <f t="shared" si="5"/>
        <v>8.6446880898317785E-2</v>
      </c>
      <c r="P23" s="5">
        <f t="shared" si="6"/>
        <v>7.6264719325706165E-2</v>
      </c>
    </row>
    <row r="24" spans="2:16" x14ac:dyDescent="0.25">
      <c r="B24" t="s">
        <v>26</v>
      </c>
      <c r="G24" s="14">
        <v>0.26041353671539103</v>
      </c>
      <c r="H24" s="14">
        <v>0.23466025004299201</v>
      </c>
      <c r="O24" s="5">
        <f t="shared" si="5"/>
        <v>1.2041811951656496E-2</v>
      </c>
      <c r="P24" s="5">
        <f t="shared" si="6"/>
        <v>1.1204112381668603E-2</v>
      </c>
    </row>
    <row r="25" spans="2:16" x14ac:dyDescent="0.25">
      <c r="B25" t="s">
        <v>27</v>
      </c>
      <c r="G25" s="14">
        <v>1.2619720890799699</v>
      </c>
      <c r="H25" s="14">
        <v>1.1106864350816901</v>
      </c>
      <c r="O25" s="5">
        <f t="shared" si="5"/>
        <v>5.8354994815605354E-2</v>
      </c>
      <c r="P25" s="5">
        <f t="shared" si="6"/>
        <v>5.3030948518848917E-2</v>
      </c>
    </row>
    <row r="27" spans="2:16" x14ac:dyDescent="0.25">
      <c r="G27" s="14"/>
      <c r="H27" s="14"/>
    </row>
    <row r="28" spans="2:16" x14ac:dyDescent="0.25">
      <c r="G28" s="14"/>
      <c r="H28" s="14"/>
    </row>
    <row r="29" spans="2:16" x14ac:dyDescent="0.25">
      <c r="B29" s="13" t="s">
        <v>28</v>
      </c>
      <c r="G29" s="14"/>
      <c r="H29" s="14"/>
    </row>
    <row r="30" spans="2:16" x14ac:dyDescent="0.25">
      <c r="G30" s="15">
        <v>2019</v>
      </c>
      <c r="H30" s="15">
        <v>2020</v>
      </c>
    </row>
    <row r="31" spans="2:16" x14ac:dyDescent="0.25">
      <c r="B31" t="s">
        <v>20</v>
      </c>
      <c r="G31" s="14">
        <v>25.6</v>
      </c>
      <c r="H31" s="14">
        <v>25.4</v>
      </c>
      <c r="O31" s="16">
        <v>1</v>
      </c>
      <c r="P31" s="16">
        <v>1</v>
      </c>
    </row>
    <row r="32" spans="2:16" x14ac:dyDescent="0.25">
      <c r="B32" t="s">
        <v>29</v>
      </c>
      <c r="G32" s="14">
        <f t="shared" ref="G32:G39" si="7">$G$31*O32</f>
        <v>9.0112000000000005</v>
      </c>
      <c r="H32" s="14">
        <f t="shared" ref="H32:H39" si="8">$H$31*P32</f>
        <v>8.9407999999999994</v>
      </c>
      <c r="O32" s="5">
        <v>0.35199999999999998</v>
      </c>
      <c r="P32" s="5">
        <v>0.35199999999999998</v>
      </c>
    </row>
    <row r="33" spans="2:16" x14ac:dyDescent="0.25">
      <c r="B33" t="s">
        <v>30</v>
      </c>
      <c r="G33" s="14">
        <f t="shared" si="7"/>
        <v>0.128</v>
      </c>
      <c r="H33" s="14">
        <f t="shared" si="8"/>
        <v>7.6200000000000004E-2</v>
      </c>
      <c r="O33" s="5">
        <v>5.0000000000000001E-3</v>
      </c>
      <c r="P33" s="5">
        <v>3.0000000000000001E-3</v>
      </c>
    </row>
    <row r="34" spans="2:16" x14ac:dyDescent="0.25">
      <c r="B34" t="s">
        <v>8</v>
      </c>
      <c r="G34" s="14">
        <f t="shared" si="7"/>
        <v>0.94720000000000004</v>
      </c>
      <c r="H34" s="14">
        <f t="shared" si="8"/>
        <v>0.63500000000000001</v>
      </c>
      <c r="O34" s="5">
        <v>3.6999999999999998E-2</v>
      </c>
      <c r="P34" s="5">
        <v>2.5000000000000001E-2</v>
      </c>
    </row>
    <row r="35" spans="2:16" x14ac:dyDescent="0.25">
      <c r="B35" t="s">
        <v>31</v>
      </c>
      <c r="G35" s="14">
        <f t="shared" si="7"/>
        <v>0.33279999999999998</v>
      </c>
      <c r="H35" s="14">
        <f t="shared" si="8"/>
        <v>0.43180000000000002</v>
      </c>
      <c r="O35" s="5">
        <v>1.2999999999999999E-2</v>
      </c>
      <c r="P35" s="5">
        <v>1.7000000000000001E-2</v>
      </c>
    </row>
    <row r="36" spans="2:16" x14ac:dyDescent="0.25">
      <c r="B36" t="s">
        <v>32</v>
      </c>
      <c r="G36" s="14">
        <f t="shared" si="7"/>
        <v>6.0928000000000004</v>
      </c>
      <c r="H36" s="14">
        <f t="shared" si="8"/>
        <v>5.7911999999999999</v>
      </c>
      <c r="O36" s="5">
        <v>0.23799999999999999</v>
      </c>
      <c r="P36" s="5">
        <v>0.22800000000000001</v>
      </c>
    </row>
    <row r="37" spans="2:16" x14ac:dyDescent="0.25">
      <c r="B37" t="s">
        <v>33</v>
      </c>
      <c r="G37" s="14">
        <f t="shared" si="7"/>
        <v>6.3488000000000007</v>
      </c>
      <c r="H37" s="14">
        <f t="shared" si="8"/>
        <v>6.9341999999999997</v>
      </c>
      <c r="O37" s="5">
        <v>0.248</v>
      </c>
      <c r="P37" s="5">
        <v>0.27300000000000002</v>
      </c>
    </row>
    <row r="38" spans="2:16" x14ac:dyDescent="0.25">
      <c r="B38" t="s">
        <v>13</v>
      </c>
      <c r="G38" s="14">
        <f t="shared" si="7"/>
        <v>1.3568</v>
      </c>
      <c r="H38" s="14">
        <f t="shared" si="8"/>
        <v>1.4223999999999999</v>
      </c>
      <c r="O38" s="5">
        <v>5.2999999999999999E-2</v>
      </c>
      <c r="P38" s="5">
        <v>5.6000000000000001E-2</v>
      </c>
    </row>
    <row r="39" spans="2:16" x14ac:dyDescent="0.25">
      <c r="B39" t="s">
        <v>34</v>
      </c>
      <c r="G39" s="14">
        <f t="shared" si="7"/>
        <v>1.4080000000000001</v>
      </c>
      <c r="H39" s="14">
        <f t="shared" si="8"/>
        <v>1.1429999999999998</v>
      </c>
      <c r="O39" s="5">
        <v>5.5E-2</v>
      </c>
      <c r="P39" s="5">
        <v>4.4999999999999998E-2</v>
      </c>
    </row>
    <row r="44" spans="2:16" x14ac:dyDescent="0.25">
      <c r="C44" s="17" t="s">
        <v>35</v>
      </c>
    </row>
    <row r="45" spans="2:16" x14ac:dyDescent="0.25">
      <c r="C45" s="17"/>
    </row>
    <row r="47" spans="2:16" x14ac:dyDescent="0.25">
      <c r="B47" s="17" t="s">
        <v>36</v>
      </c>
    </row>
    <row r="49" spans="2:7" x14ac:dyDescent="0.25">
      <c r="B49" s="13" t="s">
        <v>19</v>
      </c>
      <c r="C49">
        <v>2019</v>
      </c>
      <c r="D49">
        <v>2020</v>
      </c>
      <c r="E49">
        <v>2023</v>
      </c>
      <c r="F49">
        <v>2025</v>
      </c>
      <c r="G49" t="s">
        <v>37</v>
      </c>
    </row>
    <row r="50" spans="2:7" x14ac:dyDescent="0.25">
      <c r="B50" t="s">
        <v>20</v>
      </c>
      <c r="C50" s="18">
        <f>SUM(C51:C56)</f>
        <v>0.99999999999999889</v>
      </c>
      <c r="D50" s="18">
        <f>SUM(D51:D56)</f>
        <v>1.0000000000000002</v>
      </c>
      <c r="E50" s="18">
        <f>SUM(E51:E56)</f>
        <v>1</v>
      </c>
      <c r="F50" s="18">
        <f>SUM(F51:F56)</f>
        <v>0.99500000000000011</v>
      </c>
      <c r="G50" s="18">
        <f>SUM(G51:G56)</f>
        <v>1</v>
      </c>
    </row>
    <row r="51" spans="2:7" x14ac:dyDescent="0.25">
      <c r="B51" t="s">
        <v>21</v>
      </c>
      <c r="C51" s="18">
        <v>1.6797161146245701E-2</v>
      </c>
      <c r="D51" s="18">
        <v>1.6293300655925901E-2</v>
      </c>
      <c r="E51" s="18">
        <v>0.01</v>
      </c>
      <c r="F51" s="18">
        <v>5.0000000000000001E-3</v>
      </c>
      <c r="G51" s="18">
        <v>0</v>
      </c>
    </row>
    <row r="52" spans="2:7" x14ac:dyDescent="0.25">
      <c r="B52" t="s">
        <v>22</v>
      </c>
      <c r="C52" s="18">
        <v>3.2152539897163401E-3</v>
      </c>
      <c r="D52" s="18">
        <v>4.2232356423315002E-3</v>
      </c>
      <c r="E52" s="18">
        <v>4.0000000000000001E-3</v>
      </c>
      <c r="F52" s="18">
        <v>0</v>
      </c>
      <c r="G52" s="18">
        <v>0</v>
      </c>
    </row>
    <row r="53" spans="2:7" x14ac:dyDescent="0.25">
      <c r="B53" t="s">
        <v>38</v>
      </c>
      <c r="C53" s="18">
        <f>O20+O24</f>
        <v>0.35458167960023373</v>
      </c>
      <c r="D53" s="18">
        <f>P20+P24</f>
        <v>0.3810550305777084</v>
      </c>
      <c r="E53" s="18">
        <v>0.38</v>
      </c>
      <c r="F53" s="18">
        <v>0.38</v>
      </c>
      <c r="G53" s="18">
        <v>0.38</v>
      </c>
    </row>
    <row r="54" spans="2:7" x14ac:dyDescent="0.25">
      <c r="B54" t="s">
        <v>23</v>
      </c>
      <c r="C54" s="18">
        <v>0.29546935703781202</v>
      </c>
      <c r="D54" s="18">
        <v>0.29113269178962198</v>
      </c>
      <c r="E54" s="18">
        <v>0.29599999999999999</v>
      </c>
      <c r="F54" s="18">
        <v>0.3</v>
      </c>
      <c r="G54" s="18">
        <v>0.31</v>
      </c>
    </row>
    <row r="55" spans="2:7" ht="11.25" customHeight="1" x14ac:dyDescent="0.25">
      <c r="B55" t="s">
        <v>32</v>
      </c>
      <c r="C55" s="18">
        <f>O22+O23</f>
        <v>0.27158155341038581</v>
      </c>
      <c r="D55" s="18">
        <f>P22+P23</f>
        <v>0.25426479281556369</v>
      </c>
      <c r="E55" s="18">
        <v>0.26</v>
      </c>
      <c r="F55" s="18">
        <v>0.26</v>
      </c>
      <c r="G55" s="18">
        <v>0.26</v>
      </c>
    </row>
    <row r="56" spans="2:7" x14ac:dyDescent="0.25">
      <c r="B56" t="s">
        <v>39</v>
      </c>
      <c r="C56" s="18">
        <v>5.8354994815605202E-2</v>
      </c>
      <c r="D56" s="18">
        <v>5.3030948518848701E-2</v>
      </c>
      <c r="E56" s="18">
        <v>0.05</v>
      </c>
      <c r="F56" s="18">
        <v>0.05</v>
      </c>
      <c r="G56" s="18">
        <v>0.05</v>
      </c>
    </row>
    <row r="58" spans="2:7" x14ac:dyDescent="0.25">
      <c r="B58" s="6" t="s">
        <v>40</v>
      </c>
    </row>
    <row r="59" spans="2:7" x14ac:dyDescent="0.25">
      <c r="B59" s="6" t="s">
        <v>41</v>
      </c>
    </row>
    <row r="62" spans="2:7" x14ac:dyDescent="0.25">
      <c r="B62" s="13" t="s">
        <v>28</v>
      </c>
      <c r="C62">
        <v>2019</v>
      </c>
      <c r="D62">
        <v>2020</v>
      </c>
      <c r="E62">
        <v>2023</v>
      </c>
      <c r="F62">
        <v>2025</v>
      </c>
      <c r="G62" t="s">
        <v>37</v>
      </c>
    </row>
    <row r="64" spans="2:7" x14ac:dyDescent="0.25">
      <c r="B64" t="s">
        <v>20</v>
      </c>
      <c r="C64" s="16">
        <f>SUM(C65:C71)</f>
        <v>1.0010000000000001</v>
      </c>
      <c r="D64" s="16">
        <f>SUM(D65:D71)</f>
        <v>0.99950000000000006</v>
      </c>
      <c r="E64" s="16">
        <f>SUM(E65:E71)</f>
        <v>1</v>
      </c>
      <c r="F64" s="16">
        <f>SUM(F65:F71)</f>
        <v>1</v>
      </c>
      <c r="G64" s="16">
        <f>SUM(G65:G71)</f>
        <v>1</v>
      </c>
    </row>
    <row r="65" spans="2:7" x14ac:dyDescent="0.25">
      <c r="B65" t="s">
        <v>29</v>
      </c>
      <c r="C65" s="16">
        <f>O32+O39/2+O35</f>
        <v>0.39250000000000002</v>
      </c>
      <c r="D65" s="16">
        <v>0.38</v>
      </c>
      <c r="E65" s="16">
        <v>0.37</v>
      </c>
      <c r="F65" s="16">
        <v>0.37</v>
      </c>
      <c r="G65" s="16">
        <v>0.35</v>
      </c>
    </row>
    <row r="66" spans="2:7" x14ac:dyDescent="0.25">
      <c r="B66" t="s">
        <v>30</v>
      </c>
      <c r="C66" s="16">
        <f>O33</f>
        <v>5.0000000000000001E-3</v>
      </c>
      <c r="D66" s="16">
        <f>P33</f>
        <v>3.0000000000000001E-3</v>
      </c>
      <c r="E66" s="5">
        <v>0</v>
      </c>
      <c r="F66" s="5">
        <v>0</v>
      </c>
      <c r="G66" s="5">
        <v>0</v>
      </c>
    </row>
    <row r="67" spans="2:7" x14ac:dyDescent="0.25">
      <c r="B67" t="s">
        <v>8</v>
      </c>
      <c r="C67" s="16">
        <f>O34</f>
        <v>3.6999999999999998E-2</v>
      </c>
      <c r="D67" s="16">
        <f>P34</f>
        <v>2.5000000000000001E-2</v>
      </c>
      <c r="E67" s="5">
        <v>0.02</v>
      </c>
      <c r="F67" s="5">
        <v>0</v>
      </c>
      <c r="G67" s="5">
        <v>0</v>
      </c>
    </row>
    <row r="68" spans="2:7" x14ac:dyDescent="0.25">
      <c r="B68" t="s">
        <v>32</v>
      </c>
      <c r="C68" s="16">
        <f>O36</f>
        <v>0.23799999999999999</v>
      </c>
      <c r="D68" s="16">
        <v>0.24</v>
      </c>
      <c r="E68" s="5">
        <v>0.25</v>
      </c>
      <c r="F68" s="5">
        <v>0.26</v>
      </c>
      <c r="G68" s="5">
        <v>0.27</v>
      </c>
    </row>
    <row r="69" spans="2:7" x14ac:dyDescent="0.25">
      <c r="B69" t="s">
        <v>23</v>
      </c>
      <c r="C69" s="16">
        <f>O37</f>
        <v>0.248</v>
      </c>
      <c r="D69" s="16">
        <f>P37</f>
        <v>0.27300000000000002</v>
      </c>
      <c r="E69" s="5">
        <v>0.28000000000000003</v>
      </c>
      <c r="F69" s="5">
        <v>0.28999999999999998</v>
      </c>
      <c r="G69" s="5">
        <v>0.3</v>
      </c>
    </row>
    <row r="70" spans="2:7" x14ac:dyDescent="0.25">
      <c r="B70" t="s">
        <v>13</v>
      </c>
      <c r="C70" s="16">
        <f>O38</f>
        <v>5.2999999999999999E-2</v>
      </c>
      <c r="D70" s="16">
        <f>P38</f>
        <v>5.6000000000000001E-2</v>
      </c>
      <c r="E70" s="5">
        <v>0.06</v>
      </c>
      <c r="F70" s="5">
        <v>0.06</v>
      </c>
      <c r="G70" s="5">
        <v>0.06</v>
      </c>
    </row>
    <row r="71" spans="2:7" x14ac:dyDescent="0.25">
      <c r="B71" t="s">
        <v>39</v>
      </c>
      <c r="C71" s="5">
        <f>O39/2</f>
        <v>2.75E-2</v>
      </c>
      <c r="D71" s="5">
        <f>P39/2</f>
        <v>2.2499999999999999E-2</v>
      </c>
      <c r="E71" s="5">
        <v>0.02</v>
      </c>
      <c r="F71" s="5">
        <v>0.02</v>
      </c>
      <c r="G71" s="5">
        <v>0.02</v>
      </c>
    </row>
    <row r="72" spans="2:7" x14ac:dyDescent="0.25">
      <c r="D72" s="16">
        <f>D68+D69+D70+D71</f>
        <v>0.59150000000000003</v>
      </c>
      <c r="E72" s="16">
        <f>E68+E69+E70+E71</f>
        <v>0.6100000000000001</v>
      </c>
      <c r="F72" s="16">
        <f>F68+F69+F70+F71</f>
        <v>0.63000000000000012</v>
      </c>
      <c r="G72" s="16">
        <f>G68+G69+G70+G71</f>
        <v>0.65000000000000013</v>
      </c>
    </row>
    <row r="73" spans="2:7" x14ac:dyDescent="0.25">
      <c r="B73" s="6"/>
    </row>
    <row r="74" spans="2:7" x14ac:dyDescent="0.25">
      <c r="B74" s="6" t="s">
        <v>42</v>
      </c>
    </row>
    <row r="75" spans="2:7" x14ac:dyDescent="0.25">
      <c r="B75" t="s">
        <v>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115"/>
  <sheetViews>
    <sheetView topLeftCell="A73" zoomScale="55" zoomScaleNormal="55" workbookViewId="0">
      <selection activeCell="R45" sqref="R45"/>
    </sheetView>
  </sheetViews>
  <sheetFormatPr baseColWidth="10" defaultColWidth="9.109375" defaultRowHeight="13.2" x14ac:dyDescent="0.25"/>
  <cols>
    <col min="1" max="1" width="8.6640625" customWidth="1"/>
    <col min="2" max="2" width="13.6640625" customWidth="1"/>
    <col min="3" max="1025" width="8.6640625" customWidth="1"/>
  </cols>
  <sheetData>
    <row r="3" spans="2:32" x14ac:dyDescent="0.25">
      <c r="B3" s="19" t="s">
        <v>44</v>
      </c>
      <c r="C3" s="19">
        <v>2019</v>
      </c>
      <c r="D3" s="19">
        <v>2020</v>
      </c>
      <c r="E3" s="19">
        <v>2023</v>
      </c>
      <c r="F3" s="19">
        <v>2025</v>
      </c>
      <c r="G3" s="19">
        <v>2028</v>
      </c>
      <c r="H3" s="19">
        <v>2030</v>
      </c>
      <c r="I3" s="19">
        <v>2035</v>
      </c>
      <c r="J3" s="19">
        <v>2040</v>
      </c>
      <c r="K3" s="19">
        <v>2045</v>
      </c>
      <c r="L3" s="19">
        <v>2050</v>
      </c>
      <c r="U3" s="20" t="s">
        <v>45</v>
      </c>
    </row>
    <row r="4" spans="2:32" ht="14.4" x14ac:dyDescent="0.3">
      <c r="B4" s="19" t="s">
        <v>46</v>
      </c>
      <c r="C4" s="19">
        <v>33.9</v>
      </c>
      <c r="D4" s="19">
        <v>39.700000000000003</v>
      </c>
      <c r="E4" s="21">
        <v>48</v>
      </c>
      <c r="F4" s="21">
        <v>54</v>
      </c>
      <c r="G4" s="21">
        <v>63</v>
      </c>
      <c r="H4" s="21">
        <v>69</v>
      </c>
      <c r="I4" s="21">
        <v>89.25</v>
      </c>
      <c r="J4" s="21">
        <v>109.5</v>
      </c>
      <c r="K4" s="21">
        <v>129.75</v>
      </c>
      <c r="L4" s="22">
        <v>150</v>
      </c>
      <c r="M4" t="s">
        <v>47</v>
      </c>
      <c r="R4" t="s">
        <v>48</v>
      </c>
      <c r="S4" s="23">
        <v>2018</v>
      </c>
      <c r="T4" s="23">
        <v>2019</v>
      </c>
      <c r="U4" s="24">
        <v>2020</v>
      </c>
      <c r="V4" s="23">
        <v>2023</v>
      </c>
      <c r="W4" s="23">
        <v>2025</v>
      </c>
      <c r="X4" s="23">
        <v>2028</v>
      </c>
      <c r="Y4" s="23">
        <v>2030</v>
      </c>
      <c r="Z4" s="23">
        <v>2035</v>
      </c>
      <c r="AA4" s="23">
        <v>2040</v>
      </c>
      <c r="AB4" s="23">
        <v>2045</v>
      </c>
      <c r="AC4" s="23">
        <v>2050</v>
      </c>
      <c r="AD4" s="23" t="s">
        <v>49</v>
      </c>
    </row>
    <row r="5" spans="2:32" x14ac:dyDescent="0.25">
      <c r="B5" s="19" t="s">
        <v>50</v>
      </c>
      <c r="C5" s="19">
        <v>0</v>
      </c>
      <c r="D5" s="19">
        <v>0</v>
      </c>
      <c r="E5" s="21">
        <f>AG27</f>
        <v>1.92</v>
      </c>
      <c r="F5" s="21">
        <f>AH27</f>
        <v>9.6880000000000006</v>
      </c>
      <c r="G5" s="21">
        <f>AI27</f>
        <v>14.08</v>
      </c>
      <c r="H5" s="21">
        <f>G5</f>
        <v>14.08</v>
      </c>
      <c r="I5" s="21">
        <f>H5</f>
        <v>14.08</v>
      </c>
      <c r="J5" s="21">
        <f>I5</f>
        <v>14.08</v>
      </c>
      <c r="K5" s="21">
        <f>J5</f>
        <v>14.08</v>
      </c>
      <c r="L5" s="21">
        <f>K5</f>
        <v>14.08</v>
      </c>
      <c r="M5" t="s">
        <v>51</v>
      </c>
      <c r="R5" t="s">
        <v>46</v>
      </c>
      <c r="S5" s="15">
        <v>28.1</v>
      </c>
      <c r="T5" s="15">
        <v>34.1</v>
      </c>
      <c r="U5" s="25">
        <v>39.200000000000003</v>
      </c>
      <c r="V5" s="15">
        <v>48</v>
      </c>
      <c r="W5" s="15">
        <v>54</v>
      </c>
      <c r="X5" s="15">
        <v>63</v>
      </c>
      <c r="Y5" s="15">
        <v>69</v>
      </c>
      <c r="Z5" s="15">
        <v>89.25</v>
      </c>
      <c r="AA5" s="15">
        <v>109.5</v>
      </c>
      <c r="AB5" s="15">
        <v>129.75</v>
      </c>
      <c r="AC5" s="15">
        <v>150</v>
      </c>
      <c r="AD5" t="s">
        <v>52</v>
      </c>
    </row>
    <row r="6" spans="2:32" x14ac:dyDescent="0.25">
      <c r="B6" s="19" t="s">
        <v>53</v>
      </c>
      <c r="C6" s="19">
        <v>11.6</v>
      </c>
      <c r="D6" s="19">
        <v>12.7</v>
      </c>
      <c r="E6" s="21">
        <v>22</v>
      </c>
      <c r="F6" s="21">
        <v>26</v>
      </c>
      <c r="G6" s="21">
        <v>32</v>
      </c>
      <c r="H6" s="21">
        <v>36</v>
      </c>
      <c r="I6" s="21">
        <v>57</v>
      </c>
      <c r="J6" s="21">
        <v>78</v>
      </c>
      <c r="K6" s="21">
        <v>99</v>
      </c>
      <c r="L6" s="21">
        <v>110</v>
      </c>
      <c r="M6" t="s">
        <v>54</v>
      </c>
      <c r="R6" t="s">
        <v>50</v>
      </c>
      <c r="S6">
        <v>0</v>
      </c>
      <c r="T6">
        <v>0</v>
      </c>
      <c r="U6" s="20">
        <v>0</v>
      </c>
      <c r="V6" s="25">
        <v>9.2475000000000005</v>
      </c>
      <c r="W6" s="25">
        <v>10.935</v>
      </c>
      <c r="X6" s="26">
        <v>13.185</v>
      </c>
      <c r="Y6" s="26">
        <v>13.185</v>
      </c>
      <c r="Z6" s="25">
        <v>13.185</v>
      </c>
      <c r="AA6" s="25">
        <v>13.185</v>
      </c>
      <c r="AB6" s="25">
        <v>13.185</v>
      </c>
      <c r="AC6" s="26">
        <v>13.185</v>
      </c>
      <c r="AD6" t="s">
        <v>55</v>
      </c>
    </row>
    <row r="7" spans="2:32" x14ac:dyDescent="0.25">
      <c r="B7" s="19" t="s">
        <v>56</v>
      </c>
      <c r="C7" s="19">
        <v>59.5</v>
      </c>
      <c r="D7" s="19">
        <v>65.5</v>
      </c>
      <c r="E7" s="21">
        <v>61</v>
      </c>
      <c r="F7" s="21">
        <v>61</v>
      </c>
      <c r="G7" s="21">
        <v>61</v>
      </c>
      <c r="H7" s="21">
        <v>61</v>
      </c>
      <c r="I7" s="21">
        <v>61</v>
      </c>
      <c r="J7" s="21">
        <v>61</v>
      </c>
      <c r="K7" s="21">
        <v>61</v>
      </c>
      <c r="L7" s="21">
        <v>61</v>
      </c>
      <c r="M7" t="s">
        <v>57</v>
      </c>
      <c r="R7" t="s">
        <v>53</v>
      </c>
      <c r="S7" s="15">
        <v>10.8</v>
      </c>
      <c r="T7" s="15">
        <v>11.6</v>
      </c>
      <c r="U7" s="25">
        <v>12.9</v>
      </c>
      <c r="V7" s="15">
        <v>22</v>
      </c>
      <c r="W7" s="15">
        <v>26</v>
      </c>
      <c r="X7" s="15">
        <v>32</v>
      </c>
      <c r="Y7" s="15">
        <v>36</v>
      </c>
      <c r="Z7" s="15">
        <v>57</v>
      </c>
      <c r="AA7" s="15">
        <v>78</v>
      </c>
      <c r="AB7" s="15">
        <v>99</v>
      </c>
      <c r="AC7" s="25">
        <v>120</v>
      </c>
      <c r="AD7" t="s">
        <v>58</v>
      </c>
    </row>
    <row r="8" spans="2:32" x14ac:dyDescent="0.25">
      <c r="B8" s="19" t="s">
        <v>59</v>
      </c>
      <c r="C8" s="19">
        <v>9.6999999999999993</v>
      </c>
      <c r="D8" s="19">
        <v>9.6999999999999993</v>
      </c>
      <c r="E8" s="21">
        <v>10</v>
      </c>
      <c r="F8" s="21">
        <v>10</v>
      </c>
      <c r="G8" s="21">
        <v>10</v>
      </c>
      <c r="H8" s="21">
        <v>10</v>
      </c>
      <c r="I8" s="21">
        <v>10</v>
      </c>
      <c r="J8" s="21">
        <v>10</v>
      </c>
      <c r="K8" s="21">
        <v>10</v>
      </c>
      <c r="L8" s="21">
        <v>10</v>
      </c>
      <c r="M8" t="s">
        <v>57</v>
      </c>
      <c r="R8" t="s">
        <v>56</v>
      </c>
      <c r="S8">
        <v>68.2</v>
      </c>
      <c r="T8">
        <v>60</v>
      </c>
      <c r="U8" s="20">
        <v>63.5</v>
      </c>
      <c r="V8">
        <v>61</v>
      </c>
      <c r="W8">
        <v>61</v>
      </c>
      <c r="X8">
        <v>61</v>
      </c>
      <c r="Y8">
        <v>61</v>
      </c>
      <c r="Z8">
        <v>61</v>
      </c>
      <c r="AA8">
        <v>61</v>
      </c>
      <c r="AB8">
        <v>61</v>
      </c>
      <c r="AC8">
        <v>61</v>
      </c>
      <c r="AD8" t="s">
        <v>52</v>
      </c>
    </row>
    <row r="9" spans="2:32" x14ac:dyDescent="0.25">
      <c r="B9" s="19" t="s">
        <v>60</v>
      </c>
      <c r="C9" s="19">
        <v>379</v>
      </c>
      <c r="D9" s="19">
        <v>335.4</v>
      </c>
      <c r="E9" s="21">
        <v>363</v>
      </c>
      <c r="F9" s="21">
        <v>393</v>
      </c>
      <c r="G9" s="21">
        <v>393</v>
      </c>
      <c r="H9" s="21">
        <v>393</v>
      </c>
      <c r="I9" s="21">
        <v>354.75</v>
      </c>
      <c r="J9" s="21">
        <v>316.5</v>
      </c>
      <c r="K9" s="21">
        <v>278.25</v>
      </c>
      <c r="L9" s="21">
        <v>240</v>
      </c>
      <c r="M9" t="s">
        <v>61</v>
      </c>
      <c r="R9" t="s">
        <v>59</v>
      </c>
      <c r="S9">
        <v>9.6</v>
      </c>
      <c r="T9">
        <v>9.9</v>
      </c>
      <c r="U9" s="20">
        <v>7.7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 t="s">
        <v>62</v>
      </c>
    </row>
    <row r="10" spans="2:32" x14ac:dyDescent="0.25">
      <c r="B10" s="19" t="s">
        <v>30</v>
      </c>
      <c r="C10" s="19">
        <v>2.2999999999999998</v>
      </c>
      <c r="D10" s="19">
        <v>1.7</v>
      </c>
      <c r="E10" s="21">
        <f t="shared" ref="E10:L10" si="0">D10</f>
        <v>1.7</v>
      </c>
      <c r="F10" s="21">
        <f t="shared" si="0"/>
        <v>1.7</v>
      </c>
      <c r="G10" s="21">
        <f t="shared" si="0"/>
        <v>1.7</v>
      </c>
      <c r="H10" s="21">
        <f t="shared" si="0"/>
        <v>1.7</v>
      </c>
      <c r="I10" s="21">
        <f t="shared" si="0"/>
        <v>1.7</v>
      </c>
      <c r="J10" s="21">
        <f t="shared" si="0"/>
        <v>1.7</v>
      </c>
      <c r="K10" s="21">
        <f t="shared" si="0"/>
        <v>1.7</v>
      </c>
      <c r="L10" s="21">
        <f t="shared" si="0"/>
        <v>1.7</v>
      </c>
      <c r="M10" t="s">
        <v>57</v>
      </c>
      <c r="R10" t="s">
        <v>60</v>
      </c>
      <c r="S10">
        <v>393.2</v>
      </c>
      <c r="T10">
        <v>379.5</v>
      </c>
      <c r="U10" s="20">
        <v>330</v>
      </c>
      <c r="V10" s="20">
        <v>363</v>
      </c>
      <c r="W10" s="20">
        <v>393</v>
      </c>
      <c r="X10" s="20">
        <v>393</v>
      </c>
      <c r="Y10" s="20">
        <v>393</v>
      </c>
      <c r="Z10" s="14">
        <v>354.75</v>
      </c>
      <c r="AA10" s="14">
        <v>316.5</v>
      </c>
      <c r="AB10" s="14">
        <v>278.25</v>
      </c>
      <c r="AC10" s="20">
        <v>240</v>
      </c>
      <c r="AD10" t="s">
        <v>63</v>
      </c>
    </row>
    <row r="11" spans="2:32" x14ac:dyDescent="0.25">
      <c r="B11" s="19" t="s">
        <v>8</v>
      </c>
      <c r="C11" s="19">
        <v>1.6</v>
      </c>
      <c r="D11" s="19">
        <v>1.4</v>
      </c>
      <c r="E11" s="21">
        <v>0.7</v>
      </c>
      <c r="F11" s="21">
        <v>0.7</v>
      </c>
      <c r="G11" s="21">
        <v>0.7</v>
      </c>
      <c r="H11" s="21">
        <v>0.7</v>
      </c>
      <c r="I11" s="21">
        <v>0.7</v>
      </c>
      <c r="J11" s="21">
        <v>0.7</v>
      </c>
      <c r="K11" s="21">
        <v>0.7</v>
      </c>
      <c r="L11" s="21">
        <v>0.7</v>
      </c>
      <c r="M11" t="s">
        <v>64</v>
      </c>
      <c r="R11" t="s">
        <v>30</v>
      </c>
      <c r="S11">
        <v>1.8</v>
      </c>
      <c r="T11">
        <v>2.2999999999999998</v>
      </c>
      <c r="U11" s="20">
        <v>2.2999999999999998</v>
      </c>
      <c r="V11" s="20">
        <v>1.9</v>
      </c>
      <c r="W11" s="20">
        <v>1.9</v>
      </c>
      <c r="X11" s="20">
        <v>1.9</v>
      </c>
      <c r="Y11" s="20">
        <v>1.9</v>
      </c>
      <c r="Z11">
        <v>1.9</v>
      </c>
      <c r="AA11">
        <v>1.9</v>
      </c>
      <c r="AB11">
        <v>1.9</v>
      </c>
      <c r="AC11" s="20">
        <v>1.9</v>
      </c>
      <c r="AD11" t="s">
        <v>65</v>
      </c>
    </row>
    <row r="12" spans="2:32" x14ac:dyDescent="0.25">
      <c r="B12" s="27" t="s">
        <v>38</v>
      </c>
      <c r="C12" s="19">
        <v>38.6</v>
      </c>
      <c r="D12" s="27"/>
      <c r="E12" s="28"/>
      <c r="F12" s="28"/>
      <c r="G12" s="28"/>
      <c r="H12" s="28"/>
      <c r="I12" s="28"/>
      <c r="J12" s="28"/>
      <c r="K12" s="28"/>
      <c r="L12" s="28"/>
      <c r="M12" s="29" t="s">
        <v>66</v>
      </c>
      <c r="R12" t="s">
        <v>8</v>
      </c>
      <c r="S12">
        <v>5.8</v>
      </c>
      <c r="T12">
        <v>1.6</v>
      </c>
      <c r="U12" s="20">
        <v>1.6</v>
      </c>
      <c r="V12" s="20">
        <v>0.7</v>
      </c>
      <c r="W12" s="20">
        <v>0.7</v>
      </c>
      <c r="X12" s="20">
        <v>0.7</v>
      </c>
      <c r="Y12" s="20">
        <v>0.7</v>
      </c>
      <c r="Z12" s="20">
        <v>0.7</v>
      </c>
      <c r="AA12" s="20">
        <v>0.7</v>
      </c>
      <c r="AB12" s="20">
        <v>0.7</v>
      </c>
      <c r="AC12" s="20">
        <v>0.7</v>
      </c>
      <c r="AD12" t="s">
        <v>64</v>
      </c>
    </row>
    <row r="13" spans="2:32" x14ac:dyDescent="0.25">
      <c r="B13" s="19" t="s">
        <v>67</v>
      </c>
      <c r="C13" s="19">
        <v>2.2000000000000002</v>
      </c>
      <c r="D13" s="19">
        <f t="shared" ref="D13:L13" si="1">C13</f>
        <v>2.2000000000000002</v>
      </c>
      <c r="E13" s="19">
        <f t="shared" si="1"/>
        <v>2.2000000000000002</v>
      </c>
      <c r="F13" s="19">
        <f t="shared" si="1"/>
        <v>2.2000000000000002</v>
      </c>
      <c r="G13" s="19">
        <f t="shared" si="1"/>
        <v>2.2000000000000002</v>
      </c>
      <c r="H13" s="19">
        <f t="shared" si="1"/>
        <v>2.2000000000000002</v>
      </c>
      <c r="I13" s="19">
        <f t="shared" si="1"/>
        <v>2.2000000000000002</v>
      </c>
      <c r="J13" s="19">
        <f t="shared" si="1"/>
        <v>2.2000000000000002</v>
      </c>
      <c r="K13" s="19">
        <f t="shared" si="1"/>
        <v>2.2000000000000002</v>
      </c>
      <c r="L13" s="19">
        <f t="shared" si="1"/>
        <v>2.2000000000000002</v>
      </c>
      <c r="R13" t="s">
        <v>38</v>
      </c>
      <c r="S13">
        <v>31.2</v>
      </c>
      <c r="T13">
        <v>38.6</v>
      </c>
      <c r="U13" s="26">
        <v>36.197965526168197</v>
      </c>
      <c r="V13" s="26">
        <v>22.960629446619102</v>
      </c>
      <c r="W13" s="26">
        <v>11.5465720602531</v>
      </c>
      <c r="X13" s="26">
        <v>10.809338958695401</v>
      </c>
      <c r="Y13" s="26">
        <v>11.817850224323699</v>
      </c>
      <c r="Z13" s="26">
        <v>10.5001889178443</v>
      </c>
      <c r="AA13" s="26">
        <v>10.405885665319101</v>
      </c>
      <c r="AB13" s="26">
        <v>16.0371999556235</v>
      </c>
      <c r="AC13" s="26">
        <v>22.016480759374399</v>
      </c>
      <c r="AD13" t="s">
        <v>68</v>
      </c>
    </row>
    <row r="14" spans="2:32" ht="14.4" x14ac:dyDescent="0.3">
      <c r="B14" s="19" t="s">
        <v>69</v>
      </c>
      <c r="C14" s="19">
        <v>0</v>
      </c>
      <c r="D14" s="19">
        <f t="shared" ref="D14:L14" si="2">C14</f>
        <v>0</v>
      </c>
      <c r="E14" s="21">
        <f t="shared" si="2"/>
        <v>0</v>
      </c>
      <c r="F14" s="21">
        <f t="shared" si="2"/>
        <v>0</v>
      </c>
      <c r="G14" s="21">
        <f t="shared" si="2"/>
        <v>0</v>
      </c>
      <c r="H14" s="21">
        <f t="shared" si="2"/>
        <v>0</v>
      </c>
      <c r="I14" s="21">
        <f t="shared" si="2"/>
        <v>0</v>
      </c>
      <c r="J14" s="21">
        <f t="shared" si="2"/>
        <v>0</v>
      </c>
      <c r="K14" s="21">
        <f t="shared" si="2"/>
        <v>0</v>
      </c>
      <c r="L14" s="21">
        <f t="shared" si="2"/>
        <v>0</v>
      </c>
      <c r="R14" s="30" t="s">
        <v>70</v>
      </c>
      <c r="S14" s="30">
        <v>548.79999999999995</v>
      </c>
      <c r="T14" s="30">
        <v>537.70000000000005</v>
      </c>
      <c r="U14" s="31">
        <f>T14*0.92</f>
        <v>494.68400000000008</v>
      </c>
      <c r="V14" s="30">
        <v>587</v>
      </c>
      <c r="W14" s="30">
        <v>599</v>
      </c>
      <c r="X14" s="30">
        <v>616</v>
      </c>
      <c r="Y14" s="30">
        <v>627</v>
      </c>
      <c r="Z14" s="32">
        <f>Y14+(($AC14-$Y14)/($AC$4-$Y$4)*5)</f>
        <v>631.75</v>
      </c>
      <c r="AA14" s="32">
        <f>Z14+(($AC14-$Y14)/($AC$4-$Y$4)*5)</f>
        <v>636.5</v>
      </c>
      <c r="AB14" s="32">
        <f>AA14+(($AC14-$Y14)/($AC$4-$Y$4)*5)</f>
        <v>641.25</v>
      </c>
      <c r="AC14" s="30">
        <v>646</v>
      </c>
      <c r="AD14" t="s">
        <v>71</v>
      </c>
    </row>
    <row r="15" spans="2:32" x14ac:dyDescent="0.25">
      <c r="B15" s="19" t="s">
        <v>72</v>
      </c>
      <c r="C15" s="19">
        <v>0</v>
      </c>
      <c r="D15" s="19">
        <f t="shared" ref="D15:L15" si="3">C15</f>
        <v>0</v>
      </c>
      <c r="E15" s="21">
        <f t="shared" si="3"/>
        <v>0</v>
      </c>
      <c r="F15" s="21">
        <f t="shared" si="3"/>
        <v>0</v>
      </c>
      <c r="G15" s="21">
        <f t="shared" si="3"/>
        <v>0</v>
      </c>
      <c r="H15" s="21">
        <f t="shared" si="3"/>
        <v>0</v>
      </c>
      <c r="I15" s="21">
        <f t="shared" si="3"/>
        <v>0</v>
      </c>
      <c r="J15" s="21">
        <f t="shared" si="3"/>
        <v>0</v>
      </c>
      <c r="K15" s="21">
        <f t="shared" si="3"/>
        <v>0</v>
      </c>
      <c r="L15" s="21">
        <f t="shared" si="3"/>
        <v>0</v>
      </c>
      <c r="R15" t="s">
        <v>73</v>
      </c>
      <c r="T15" s="15">
        <v>537.70000000000005</v>
      </c>
      <c r="U15" s="15">
        <v>493.39796552616798</v>
      </c>
      <c r="V15" s="15">
        <v>538.80812944661898</v>
      </c>
      <c r="W15" s="15">
        <v>569.08157206025305</v>
      </c>
      <c r="X15" s="15">
        <v>585.59433895869495</v>
      </c>
      <c r="Y15" s="15">
        <v>596.60285022432402</v>
      </c>
      <c r="Z15" s="15">
        <v>598.28518891784404</v>
      </c>
      <c r="AA15" s="15">
        <v>601.190885665319</v>
      </c>
      <c r="AB15" s="15">
        <v>609.82219995562298</v>
      </c>
      <c r="AC15" s="15">
        <v>618.80148075937404</v>
      </c>
    </row>
    <row r="16" spans="2:32" x14ac:dyDescent="0.25">
      <c r="B16" s="19"/>
      <c r="C16" s="33"/>
      <c r="D16" s="19"/>
      <c r="E16" s="21"/>
      <c r="F16" s="21"/>
      <c r="G16" s="21"/>
      <c r="H16" s="21"/>
      <c r="I16" s="21"/>
      <c r="J16" s="21"/>
      <c r="K16" s="21"/>
      <c r="L16" s="21"/>
      <c r="R16" t="s">
        <v>74</v>
      </c>
      <c r="U16">
        <v>41.2</v>
      </c>
      <c r="W16">
        <v>91.9</v>
      </c>
      <c r="Y16">
        <v>102.2</v>
      </c>
      <c r="Z16">
        <v>80.400000000000006</v>
      </c>
      <c r="AA16">
        <v>58.5</v>
      </c>
      <c r="AB16">
        <v>46.2</v>
      </c>
      <c r="AC16">
        <v>33.799999999999997</v>
      </c>
      <c r="AF16" t="s">
        <v>75</v>
      </c>
    </row>
    <row r="17" spans="2:37" ht="14.4" x14ac:dyDescent="0.3">
      <c r="B17" s="34" t="s">
        <v>76</v>
      </c>
      <c r="C17" s="35">
        <v>538.4</v>
      </c>
      <c r="M17" s="36"/>
      <c r="AF17" t="s">
        <v>77</v>
      </c>
      <c r="AG17" t="s">
        <v>78</v>
      </c>
      <c r="AH17" t="s">
        <v>79</v>
      </c>
      <c r="AI17" t="s">
        <v>80</v>
      </c>
      <c r="AK17" t="s">
        <v>81</v>
      </c>
    </row>
    <row r="18" spans="2:37" ht="14.4" x14ac:dyDescent="0.3">
      <c r="B18" s="37" t="s">
        <v>82</v>
      </c>
      <c r="C18" s="38">
        <v>475.2</v>
      </c>
      <c r="M18" s="36"/>
      <c r="R18" t="s">
        <v>48</v>
      </c>
      <c r="S18">
        <v>2018</v>
      </c>
      <c r="T18">
        <v>2019</v>
      </c>
      <c r="U18">
        <v>2020</v>
      </c>
      <c r="V18">
        <v>2023</v>
      </c>
      <c r="W18">
        <v>2025</v>
      </c>
      <c r="X18">
        <v>2028</v>
      </c>
      <c r="Y18">
        <v>2030</v>
      </c>
      <c r="Z18">
        <v>2035</v>
      </c>
      <c r="AA18">
        <v>2040</v>
      </c>
      <c r="AB18">
        <v>2045</v>
      </c>
      <c r="AC18">
        <v>2050</v>
      </c>
      <c r="AF18" t="s">
        <v>83</v>
      </c>
      <c r="AG18" t="s">
        <v>84</v>
      </c>
      <c r="AH18">
        <v>480</v>
      </c>
      <c r="AK18" t="s">
        <v>85</v>
      </c>
    </row>
    <row r="19" spans="2:37" ht="14.4" x14ac:dyDescent="0.3">
      <c r="B19" s="39" t="s">
        <v>86</v>
      </c>
      <c r="C19" s="40">
        <v>0</v>
      </c>
      <c r="R19" t="s">
        <v>46</v>
      </c>
      <c r="S19" s="41">
        <f t="shared" ref="S19:AC19" si="4">S5/S$14</f>
        <v>5.1202623906705547E-2</v>
      </c>
      <c r="T19" s="41">
        <f t="shared" si="4"/>
        <v>6.3418262971917425E-2</v>
      </c>
      <c r="U19" s="41">
        <f t="shared" si="4"/>
        <v>7.9242506327271547E-2</v>
      </c>
      <c r="V19" s="41">
        <f t="shared" si="4"/>
        <v>8.1771720613287899E-2</v>
      </c>
      <c r="W19" s="41">
        <f t="shared" si="4"/>
        <v>9.0150250417362271E-2</v>
      </c>
      <c r="X19" s="41">
        <f t="shared" si="4"/>
        <v>0.10227272727272728</v>
      </c>
      <c r="Y19" s="41">
        <f t="shared" si="4"/>
        <v>0.11004784688995216</v>
      </c>
      <c r="Z19" s="41">
        <f t="shared" si="4"/>
        <v>0.14127423822714683</v>
      </c>
      <c r="AA19" s="41">
        <f t="shared" si="4"/>
        <v>0.1720345640219953</v>
      </c>
      <c r="AB19" s="41">
        <f t="shared" si="4"/>
        <v>0.20233918128654971</v>
      </c>
      <c r="AC19" s="41">
        <f t="shared" si="4"/>
        <v>0.23219814241486067</v>
      </c>
      <c r="AF19" t="s">
        <v>87</v>
      </c>
      <c r="AG19" t="s">
        <v>88</v>
      </c>
      <c r="AH19">
        <v>496</v>
      </c>
    </row>
    <row r="20" spans="2:37" ht="14.4" x14ac:dyDescent="0.3">
      <c r="B20" s="27" t="s">
        <v>89</v>
      </c>
      <c r="C20" s="38">
        <v>56.7</v>
      </c>
      <c r="D20" s="42"/>
      <c r="E20" s="42"/>
      <c r="F20" s="42"/>
      <c r="G20" s="42"/>
      <c r="H20" s="42"/>
      <c r="I20" s="42"/>
      <c r="J20" s="42"/>
      <c r="K20" s="42"/>
      <c r="L20" s="42"/>
      <c r="M20" s="29" t="s">
        <v>90</v>
      </c>
      <c r="R20" t="s">
        <v>50</v>
      </c>
      <c r="S20" s="41">
        <f t="shared" ref="S20:AC20" si="5">S6/S$14</f>
        <v>0</v>
      </c>
      <c r="T20" s="41">
        <f t="shared" si="5"/>
        <v>0</v>
      </c>
      <c r="U20" s="41">
        <f t="shared" si="5"/>
        <v>0</v>
      </c>
      <c r="V20" s="41">
        <f t="shared" si="5"/>
        <v>1.575383304940375E-2</v>
      </c>
      <c r="W20" s="41">
        <f t="shared" si="5"/>
        <v>1.8255425709515861E-2</v>
      </c>
      <c r="X20" s="41">
        <f t="shared" si="5"/>
        <v>2.140422077922078E-2</v>
      </c>
      <c r="Y20" s="41">
        <f t="shared" si="5"/>
        <v>2.1028708133971293E-2</v>
      </c>
      <c r="Z20" s="41">
        <f t="shared" si="5"/>
        <v>2.0870597546497824E-2</v>
      </c>
      <c r="AA20" s="41">
        <f t="shared" si="5"/>
        <v>2.0714846818538885E-2</v>
      </c>
      <c r="AB20" s="41">
        <f t="shared" si="5"/>
        <v>2.056140350877193E-2</v>
      </c>
      <c r="AC20" s="41">
        <f t="shared" si="5"/>
        <v>2.0410216718266254E-2</v>
      </c>
      <c r="AF20" t="s">
        <v>91</v>
      </c>
      <c r="AG20" t="s">
        <v>92</v>
      </c>
      <c r="AH20">
        <v>498</v>
      </c>
    </row>
    <row r="21" spans="2:37" ht="14.4" x14ac:dyDescent="0.3">
      <c r="B21" s="43" t="s">
        <v>93</v>
      </c>
      <c r="C21" s="38">
        <v>6.5</v>
      </c>
      <c r="D21" s="14">
        <f t="shared" ref="D21:L21" si="6">C21</f>
        <v>6.5</v>
      </c>
      <c r="E21" s="14">
        <f t="shared" si="6"/>
        <v>6.5</v>
      </c>
      <c r="F21" s="14">
        <f t="shared" si="6"/>
        <v>6.5</v>
      </c>
      <c r="G21" s="14">
        <f t="shared" si="6"/>
        <v>6.5</v>
      </c>
      <c r="H21" s="14">
        <f t="shared" si="6"/>
        <v>6.5</v>
      </c>
      <c r="I21" s="14">
        <f t="shared" si="6"/>
        <v>6.5</v>
      </c>
      <c r="J21" s="14">
        <f t="shared" si="6"/>
        <v>6.5</v>
      </c>
      <c r="K21" s="14">
        <f t="shared" si="6"/>
        <v>6.5</v>
      </c>
      <c r="L21" s="14">
        <f t="shared" si="6"/>
        <v>6.5</v>
      </c>
      <c r="M21" t="s">
        <v>94</v>
      </c>
      <c r="R21" t="s">
        <v>53</v>
      </c>
      <c r="S21" s="41">
        <f t="shared" ref="S21:AC21" si="7">S7/S$14</f>
        <v>1.9679300291545191E-2</v>
      </c>
      <c r="T21" s="41">
        <f t="shared" si="7"/>
        <v>2.1573368049098006E-2</v>
      </c>
      <c r="U21" s="41">
        <f t="shared" si="7"/>
        <v>2.6077253357699053E-2</v>
      </c>
      <c r="V21" s="41">
        <f t="shared" si="7"/>
        <v>3.7478705281090291E-2</v>
      </c>
      <c r="W21" s="41">
        <f t="shared" si="7"/>
        <v>4.340567612687813E-2</v>
      </c>
      <c r="X21" s="41">
        <f t="shared" si="7"/>
        <v>5.1948051948051951E-2</v>
      </c>
      <c r="Y21" s="41">
        <f t="shared" si="7"/>
        <v>5.7416267942583733E-2</v>
      </c>
      <c r="Z21" s="41">
        <f t="shared" si="7"/>
        <v>9.0225563909774431E-2</v>
      </c>
      <c r="AA21" s="41">
        <f t="shared" si="7"/>
        <v>0.12254516889238021</v>
      </c>
      <c r="AB21" s="41">
        <f t="shared" si="7"/>
        <v>0.15438596491228071</v>
      </c>
      <c r="AC21" s="41">
        <f t="shared" si="7"/>
        <v>0.18575851393188855</v>
      </c>
      <c r="AF21" t="s">
        <v>95</v>
      </c>
      <c r="AG21" t="s">
        <v>96</v>
      </c>
      <c r="AH21">
        <v>450</v>
      </c>
    </row>
    <row r="22" spans="2:37" ht="14.4" x14ac:dyDescent="0.3">
      <c r="B22" s="43" t="s">
        <v>97</v>
      </c>
      <c r="C22" s="38">
        <v>0</v>
      </c>
      <c r="D22" s="14">
        <f t="shared" ref="D22:L22" si="8">C22</f>
        <v>0</v>
      </c>
      <c r="E22" s="14">
        <f t="shared" si="8"/>
        <v>0</v>
      </c>
      <c r="F22" s="14">
        <f t="shared" si="8"/>
        <v>0</v>
      </c>
      <c r="G22" s="14">
        <f t="shared" si="8"/>
        <v>0</v>
      </c>
      <c r="H22" s="14">
        <f t="shared" si="8"/>
        <v>0</v>
      </c>
      <c r="I22" s="14">
        <f t="shared" si="8"/>
        <v>0</v>
      </c>
      <c r="J22" s="14">
        <f t="shared" si="8"/>
        <v>0</v>
      </c>
      <c r="K22" s="14">
        <f t="shared" si="8"/>
        <v>0</v>
      </c>
      <c r="L22" s="14">
        <f t="shared" si="8"/>
        <v>0</v>
      </c>
      <c r="M22" t="s">
        <v>98</v>
      </c>
      <c r="R22" t="s">
        <v>56</v>
      </c>
      <c r="S22" s="41">
        <f t="shared" ref="S22:AC22" si="9">S8/S$14</f>
        <v>0.12427113702623908</v>
      </c>
      <c r="T22" s="41">
        <f t="shared" si="9"/>
        <v>0.11158638646085177</v>
      </c>
      <c r="U22" s="41">
        <f t="shared" si="9"/>
        <v>0.1283647742801465</v>
      </c>
      <c r="V22" s="41">
        <f t="shared" si="9"/>
        <v>0.10391822827938671</v>
      </c>
      <c r="W22" s="41">
        <f t="shared" si="9"/>
        <v>0.1018363939899833</v>
      </c>
      <c r="X22" s="41">
        <f t="shared" si="9"/>
        <v>9.9025974025974031E-2</v>
      </c>
      <c r="Y22" s="41">
        <f t="shared" si="9"/>
        <v>9.7288676236044661E-2</v>
      </c>
      <c r="Z22" s="41">
        <f t="shared" si="9"/>
        <v>9.6557182429758609E-2</v>
      </c>
      <c r="AA22" s="41">
        <f t="shared" si="9"/>
        <v>9.5836606441476832E-2</v>
      </c>
      <c r="AB22" s="41">
        <f t="shared" si="9"/>
        <v>9.5126705653021448E-2</v>
      </c>
      <c r="AC22" s="41">
        <f t="shared" si="9"/>
        <v>9.4427244582043338E-2</v>
      </c>
      <c r="AF22" t="s">
        <v>99</v>
      </c>
      <c r="AG22" t="s">
        <v>100</v>
      </c>
      <c r="AH22">
        <v>498</v>
      </c>
    </row>
    <row r="23" spans="2:37" ht="14.4" x14ac:dyDescent="0.3">
      <c r="B23" s="43" t="s">
        <v>101</v>
      </c>
      <c r="C23" s="38">
        <v>0</v>
      </c>
      <c r="D23" s="14">
        <f t="shared" ref="D23:L23" si="10">C23</f>
        <v>0</v>
      </c>
      <c r="E23" s="14">
        <f t="shared" si="10"/>
        <v>0</v>
      </c>
      <c r="F23" s="14">
        <f t="shared" si="10"/>
        <v>0</v>
      </c>
      <c r="G23" s="14">
        <f t="shared" si="10"/>
        <v>0</v>
      </c>
      <c r="H23" s="14">
        <f t="shared" si="10"/>
        <v>0</v>
      </c>
      <c r="I23" s="14">
        <f t="shared" si="10"/>
        <v>0</v>
      </c>
      <c r="J23" s="14">
        <f t="shared" si="10"/>
        <v>0</v>
      </c>
      <c r="K23" s="14">
        <f t="shared" si="10"/>
        <v>0</v>
      </c>
      <c r="L23" s="14">
        <f t="shared" si="10"/>
        <v>0</v>
      </c>
      <c r="M23" t="s">
        <v>98</v>
      </c>
      <c r="R23" t="s">
        <v>59</v>
      </c>
      <c r="S23" s="41">
        <f t="shared" ref="S23:AC23" si="11">S9/S$14</f>
        <v>1.7492711370262391E-2</v>
      </c>
      <c r="T23" s="41">
        <f t="shared" si="11"/>
        <v>1.8411753766040543E-2</v>
      </c>
      <c r="U23" s="41">
        <f t="shared" si="11"/>
        <v>1.5565492314285482E-2</v>
      </c>
      <c r="V23" s="41">
        <f t="shared" si="11"/>
        <v>1.7035775127768313E-2</v>
      </c>
      <c r="W23" s="41">
        <f t="shared" si="11"/>
        <v>1.6694490818030049E-2</v>
      </c>
      <c r="X23" s="41">
        <f t="shared" si="11"/>
        <v>1.6233766233766232E-2</v>
      </c>
      <c r="Y23" s="41">
        <f t="shared" si="11"/>
        <v>1.5948963317384369E-2</v>
      </c>
      <c r="Z23" s="41">
        <f t="shared" si="11"/>
        <v>1.5829046299960427E-2</v>
      </c>
      <c r="AA23" s="41">
        <f t="shared" si="11"/>
        <v>1.5710919088766692E-2</v>
      </c>
      <c r="AB23" s="41">
        <f t="shared" si="11"/>
        <v>1.5594541910331383E-2</v>
      </c>
      <c r="AC23" s="41">
        <f t="shared" si="11"/>
        <v>1.5479876160990712E-2</v>
      </c>
      <c r="AF23" t="s">
        <v>102</v>
      </c>
      <c r="AG23" t="s">
        <v>103</v>
      </c>
      <c r="AH23">
        <v>498</v>
      </c>
    </row>
    <row r="24" spans="2:37" ht="14.4" x14ac:dyDescent="0.3">
      <c r="B24" s="43" t="s">
        <v>104</v>
      </c>
      <c r="C24" s="38">
        <v>0</v>
      </c>
      <c r="D24" s="14">
        <f t="shared" ref="D24:L24" si="12">C24</f>
        <v>0</v>
      </c>
      <c r="E24" s="14">
        <f t="shared" si="12"/>
        <v>0</v>
      </c>
      <c r="F24" s="14">
        <f t="shared" si="12"/>
        <v>0</v>
      </c>
      <c r="G24" s="14">
        <f t="shared" si="12"/>
        <v>0</v>
      </c>
      <c r="H24" s="14">
        <f t="shared" si="12"/>
        <v>0</v>
      </c>
      <c r="I24" s="14">
        <f t="shared" si="12"/>
        <v>0</v>
      </c>
      <c r="J24" s="14">
        <f t="shared" si="12"/>
        <v>0</v>
      </c>
      <c r="K24" s="14">
        <f t="shared" si="12"/>
        <v>0</v>
      </c>
      <c r="L24" s="14">
        <f t="shared" si="12"/>
        <v>0</v>
      </c>
      <c r="M24" t="s">
        <v>98</v>
      </c>
      <c r="R24" t="s">
        <v>60</v>
      </c>
      <c r="S24" s="41">
        <f t="shared" ref="S24:AC24" si="13">S10/S$14</f>
        <v>0.71647230320699717</v>
      </c>
      <c r="T24" s="41">
        <f t="shared" si="13"/>
        <v>0.70578389436488742</v>
      </c>
      <c r="U24" s="41">
        <f t="shared" si="13"/>
        <v>0.66709252775509198</v>
      </c>
      <c r="V24" s="41">
        <f t="shared" si="13"/>
        <v>0.61839863713798982</v>
      </c>
      <c r="W24" s="41">
        <f t="shared" si="13"/>
        <v>0.65609348914858101</v>
      </c>
      <c r="X24" s="41">
        <f t="shared" si="13"/>
        <v>0.63798701298701299</v>
      </c>
      <c r="Y24" s="41">
        <f t="shared" si="13"/>
        <v>0.62679425837320579</v>
      </c>
      <c r="Z24" s="41">
        <f t="shared" si="13"/>
        <v>0.56153541749109614</v>
      </c>
      <c r="AA24" s="41">
        <f t="shared" si="13"/>
        <v>0.49725058915946585</v>
      </c>
      <c r="AB24" s="41">
        <f t="shared" si="13"/>
        <v>0.43391812865497076</v>
      </c>
      <c r="AC24" s="41">
        <f t="shared" si="13"/>
        <v>0.37151702786377711</v>
      </c>
      <c r="AF24" t="s">
        <v>105</v>
      </c>
      <c r="AG24" t="s">
        <v>106</v>
      </c>
      <c r="AH24">
        <v>600</v>
      </c>
    </row>
    <row r="25" spans="2:37" ht="14.4" x14ac:dyDescent="0.3">
      <c r="B25" s="44" t="s">
        <v>107</v>
      </c>
      <c r="C25" s="45">
        <v>0</v>
      </c>
      <c r="D25" s="14">
        <f t="shared" ref="D25:L25" si="14">C25</f>
        <v>0</v>
      </c>
      <c r="E25" s="14">
        <f t="shared" si="14"/>
        <v>0</v>
      </c>
      <c r="F25" s="14">
        <f t="shared" si="14"/>
        <v>0</v>
      </c>
      <c r="G25" s="14">
        <f t="shared" si="14"/>
        <v>0</v>
      </c>
      <c r="H25" s="14">
        <f t="shared" si="14"/>
        <v>0</v>
      </c>
      <c r="I25" s="14">
        <f t="shared" si="14"/>
        <v>0</v>
      </c>
      <c r="J25" s="14">
        <f t="shared" si="14"/>
        <v>0</v>
      </c>
      <c r="K25" s="14">
        <f t="shared" si="14"/>
        <v>0</v>
      </c>
      <c r="L25" s="14">
        <f t="shared" si="14"/>
        <v>0</v>
      </c>
      <c r="M25" t="s">
        <v>98</v>
      </c>
      <c r="R25" t="s">
        <v>30</v>
      </c>
      <c r="S25" s="41">
        <f t="shared" ref="S25:AC25" si="15">S11/S$14</f>
        <v>3.2798833819241988E-3</v>
      </c>
      <c r="T25" s="41">
        <f t="shared" si="15"/>
        <v>4.277478147665984E-3</v>
      </c>
      <c r="U25" s="41">
        <f t="shared" si="15"/>
        <v>4.6494327692021562E-3</v>
      </c>
      <c r="V25" s="41">
        <f t="shared" si="15"/>
        <v>3.2367972742759796E-3</v>
      </c>
      <c r="W25" s="41">
        <f t="shared" si="15"/>
        <v>3.1719532554257092E-3</v>
      </c>
      <c r="X25" s="41">
        <f t="shared" si="15"/>
        <v>3.0844155844155841E-3</v>
      </c>
      <c r="Y25" s="41">
        <f t="shared" si="15"/>
        <v>3.0303030303030303E-3</v>
      </c>
      <c r="Z25" s="41">
        <f t="shared" si="15"/>
        <v>3.0075187969924809E-3</v>
      </c>
      <c r="AA25" s="41">
        <f t="shared" si="15"/>
        <v>2.9850746268656717E-3</v>
      </c>
      <c r="AB25" s="41">
        <f t="shared" si="15"/>
        <v>2.9629629629629628E-3</v>
      </c>
      <c r="AC25" s="41">
        <f t="shared" si="15"/>
        <v>2.9411764705882353E-3</v>
      </c>
    </row>
    <row r="26" spans="2:37" ht="14.4" x14ac:dyDescent="0.3">
      <c r="R26" t="s">
        <v>8</v>
      </c>
      <c r="S26" s="41">
        <f t="shared" ref="S26:AC26" si="16">S12/S$14</f>
        <v>1.0568513119533529E-2</v>
      </c>
      <c r="T26" s="41">
        <f t="shared" si="16"/>
        <v>2.9756369722893808E-3</v>
      </c>
      <c r="U26" s="41">
        <f t="shared" si="16"/>
        <v>3.2343880133580221E-3</v>
      </c>
      <c r="V26" s="41">
        <f t="shared" si="16"/>
        <v>1.1925042589437818E-3</v>
      </c>
      <c r="W26" s="41">
        <f t="shared" si="16"/>
        <v>1.1686143572621035E-3</v>
      </c>
      <c r="X26" s="41">
        <f t="shared" si="16"/>
        <v>1.1363636363636363E-3</v>
      </c>
      <c r="Y26" s="41">
        <f t="shared" si="16"/>
        <v>1.1164274322169058E-3</v>
      </c>
      <c r="Z26" s="41">
        <f t="shared" si="16"/>
        <v>1.1080332409972298E-3</v>
      </c>
      <c r="AA26" s="41">
        <f t="shared" si="16"/>
        <v>1.0997643362136685E-3</v>
      </c>
      <c r="AB26" s="41">
        <f t="shared" si="16"/>
        <v>1.0916179337231969E-3</v>
      </c>
      <c r="AC26" s="41">
        <f t="shared" si="16"/>
        <v>1.0835913312693497E-3</v>
      </c>
      <c r="AG26">
        <v>2023</v>
      </c>
      <c r="AH26">
        <v>2025</v>
      </c>
      <c r="AI26">
        <v>2028</v>
      </c>
    </row>
    <row r="27" spans="2:37" ht="14.4" x14ac:dyDescent="0.3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R27" t="s">
        <v>38</v>
      </c>
      <c r="S27" s="41">
        <f t="shared" ref="S27:AC27" si="17">S13/S$14</f>
        <v>5.6851311953352773E-2</v>
      </c>
      <c r="T27" s="41">
        <f t="shared" si="17"/>
        <v>7.1787241956481312E-2</v>
      </c>
      <c r="U27" s="41">
        <f t="shared" si="17"/>
        <v>7.3173916128615832E-2</v>
      </c>
      <c r="V27" s="41">
        <f t="shared" si="17"/>
        <v>3.9115212004461844E-2</v>
      </c>
      <c r="W27" s="41">
        <f t="shared" si="17"/>
        <v>1.927641412396177E-2</v>
      </c>
      <c r="X27" s="41">
        <f t="shared" si="17"/>
        <v>1.7547628179700327E-2</v>
      </c>
      <c r="Y27" s="41">
        <f t="shared" si="17"/>
        <v>1.8848245971808134E-2</v>
      </c>
      <c r="Z27" s="41">
        <f t="shared" si="17"/>
        <v>1.662079765388888E-2</v>
      </c>
      <c r="AA27" s="41">
        <f t="shared" si="17"/>
        <v>1.6348602773478556E-2</v>
      </c>
      <c r="AB27" s="41">
        <f t="shared" si="17"/>
        <v>2.5009278683233528E-2</v>
      </c>
      <c r="AC27" s="41">
        <f t="shared" si="17"/>
        <v>3.4081239565595042E-2</v>
      </c>
      <c r="AF27" t="s">
        <v>108</v>
      </c>
      <c r="AG27">
        <f>(AH18*4000/1000000)</f>
        <v>1.92</v>
      </c>
      <c r="AH27">
        <f>(AH18+AH19+AH20+AH21+AH22)*4000/1000000</f>
        <v>9.6880000000000006</v>
      </c>
      <c r="AI27">
        <f>SUM(AH18:AH24)*4000/1000000</f>
        <v>14.08</v>
      </c>
    </row>
    <row r="28" spans="2:37" x14ac:dyDescent="0.25">
      <c r="B28" s="19"/>
      <c r="C28" s="46"/>
      <c r="D28" s="46"/>
      <c r="E28" s="46"/>
      <c r="F28" s="46"/>
      <c r="G28" s="46"/>
      <c r="H28" s="46"/>
      <c r="I28" s="46"/>
      <c r="J28" s="46"/>
      <c r="K28" s="46"/>
      <c r="L28" s="46"/>
    </row>
    <row r="29" spans="2:37" x14ac:dyDescent="0.25">
      <c r="B29" s="19"/>
      <c r="C29" s="46"/>
      <c r="D29" s="46"/>
      <c r="E29" s="46"/>
      <c r="F29" s="46"/>
      <c r="G29" s="46"/>
      <c r="H29" s="46"/>
      <c r="I29" s="46"/>
      <c r="J29" s="46"/>
      <c r="K29" s="46"/>
      <c r="L29" s="46"/>
    </row>
    <row r="30" spans="2:37" x14ac:dyDescent="0.25">
      <c r="B30" s="19"/>
      <c r="C30" s="46"/>
      <c r="D30" s="46"/>
      <c r="E30" s="46"/>
      <c r="F30" s="46"/>
      <c r="G30" s="46"/>
      <c r="H30" s="46"/>
      <c r="I30" s="46"/>
      <c r="J30" s="46"/>
      <c r="K30" s="46"/>
      <c r="L30" s="46"/>
    </row>
    <row r="31" spans="2:37" x14ac:dyDescent="0.25">
      <c r="B31" s="19"/>
      <c r="C31" s="46"/>
      <c r="D31" s="46"/>
      <c r="E31" s="46"/>
      <c r="F31" s="46"/>
      <c r="G31" s="46"/>
      <c r="H31" s="46"/>
      <c r="I31" s="46"/>
      <c r="J31" s="46"/>
      <c r="K31" s="46"/>
      <c r="L31" s="46"/>
    </row>
    <row r="32" spans="2:37" x14ac:dyDescent="0.25">
      <c r="B32" s="19"/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2:12" x14ac:dyDescent="0.25">
      <c r="B33" s="19"/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2:12" x14ac:dyDescent="0.25">
      <c r="B34" s="19"/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6" spans="2:12" x14ac:dyDescent="0.25">
      <c r="C36" t="s">
        <v>109</v>
      </c>
    </row>
    <row r="37" spans="2:12" x14ac:dyDescent="0.25">
      <c r="D37">
        <v>2015</v>
      </c>
      <c r="E37">
        <v>2020</v>
      </c>
      <c r="F37">
        <v>2025</v>
      </c>
      <c r="G37">
        <v>2030</v>
      </c>
      <c r="H37">
        <v>2050</v>
      </c>
    </row>
    <row r="38" spans="2:12" x14ac:dyDescent="0.25">
      <c r="C38" t="s">
        <v>46</v>
      </c>
      <c r="D38" s="47">
        <v>3.8644688644688598E-2</v>
      </c>
      <c r="E38" s="47">
        <v>7.3671285739344006E-2</v>
      </c>
      <c r="F38" s="47">
        <v>0.12924606462303201</v>
      </c>
      <c r="G38" s="47">
        <v>0.182847896440129</v>
      </c>
      <c r="H38" s="47"/>
    </row>
    <row r="39" spans="2:12" x14ac:dyDescent="0.25">
      <c r="C39" t="s">
        <v>50</v>
      </c>
      <c r="D39" s="47"/>
      <c r="E39" s="47"/>
      <c r="F39" s="47"/>
      <c r="G39" s="47"/>
      <c r="H39" s="47"/>
    </row>
    <row r="40" spans="2:12" x14ac:dyDescent="0.25">
      <c r="C40" t="s">
        <v>53</v>
      </c>
      <c r="D40" s="47">
        <v>1.35531135531136E-2</v>
      </c>
      <c r="E40" s="47">
        <v>2.9819329942115402E-2</v>
      </c>
      <c r="F40" s="47">
        <v>5.63380281690141E-2</v>
      </c>
      <c r="G40" s="47">
        <v>8.2524271844660199E-2</v>
      </c>
      <c r="H40" s="47"/>
    </row>
    <row r="41" spans="2:12" x14ac:dyDescent="0.25">
      <c r="C41" t="s">
        <v>56</v>
      </c>
      <c r="D41" s="47">
        <v>0.107509157509158</v>
      </c>
      <c r="E41" s="47">
        <v>0.10699877214523799</v>
      </c>
      <c r="F41" s="47">
        <v>0.102734051367026</v>
      </c>
      <c r="G41" s="47">
        <v>0.103559870550162</v>
      </c>
      <c r="H41" s="47"/>
    </row>
    <row r="42" spans="2:12" x14ac:dyDescent="0.25">
      <c r="C42" t="s">
        <v>59</v>
      </c>
      <c r="D42" s="47">
        <v>1.4468864468864501E-2</v>
      </c>
      <c r="E42" s="47">
        <v>1.7540782318891401E-2</v>
      </c>
      <c r="F42" s="47">
        <v>2.3198011599005801E-2</v>
      </c>
      <c r="G42" s="47">
        <v>2.75080906148867E-2</v>
      </c>
      <c r="H42" s="47"/>
    </row>
    <row r="43" spans="2:12" x14ac:dyDescent="0.25">
      <c r="C43" t="s">
        <v>60</v>
      </c>
      <c r="D43" s="47">
        <v>0.76336996336996299</v>
      </c>
      <c r="E43" s="47">
        <v>0.71566391861076994</v>
      </c>
      <c r="F43" s="47">
        <v>0.64623032311516204</v>
      </c>
      <c r="G43" s="47">
        <v>0.56310679611650505</v>
      </c>
      <c r="H43" s="47"/>
    </row>
    <row r="44" spans="2:12" x14ac:dyDescent="0.25">
      <c r="C44" t="s">
        <v>30</v>
      </c>
      <c r="D44" s="47">
        <v>1.6E-2</v>
      </c>
      <c r="E44" s="47">
        <v>1.31555867391686E-2</v>
      </c>
      <c r="F44" s="47">
        <v>0</v>
      </c>
      <c r="G44" s="47">
        <v>0</v>
      </c>
      <c r="H44" s="47"/>
    </row>
    <row r="45" spans="2:12" x14ac:dyDescent="0.25">
      <c r="C45" t="s">
        <v>8</v>
      </c>
      <c r="D45" s="47">
        <v>6.0000000000000001E-3</v>
      </c>
      <c r="E45" s="47">
        <v>0</v>
      </c>
      <c r="F45" s="47">
        <v>0</v>
      </c>
      <c r="G45" s="47">
        <v>0</v>
      </c>
      <c r="H45" s="47"/>
    </row>
    <row r="46" spans="2:12" x14ac:dyDescent="0.25">
      <c r="C46" t="s">
        <v>38</v>
      </c>
      <c r="D46" s="47">
        <v>0.04</v>
      </c>
      <c r="E46" s="47">
        <v>4.2718821259428198E-2</v>
      </c>
      <c r="F46" s="47">
        <v>4.0140845070422503E-2</v>
      </c>
      <c r="G46" s="47">
        <v>3.6407766990291301E-2</v>
      </c>
      <c r="H46" s="47"/>
    </row>
    <row r="47" spans="2:12" x14ac:dyDescent="0.25">
      <c r="C47" t="s">
        <v>110</v>
      </c>
      <c r="D47" s="47">
        <v>0</v>
      </c>
      <c r="E47" s="47">
        <v>4.3150324504472899E-4</v>
      </c>
      <c r="F47" s="47">
        <v>2.1126760563380301E-3</v>
      </c>
      <c r="G47" s="47">
        <v>4.0453074433656998E-3</v>
      </c>
      <c r="H47" s="47">
        <v>3.8333333333333303E-2</v>
      </c>
    </row>
    <row r="48" spans="2:12" x14ac:dyDescent="0.25">
      <c r="C48" t="s">
        <v>111</v>
      </c>
      <c r="D48">
        <v>546</v>
      </c>
      <c r="E48">
        <v>574.45349839847904</v>
      </c>
      <c r="F48">
        <v>585</v>
      </c>
      <c r="G48">
        <v>600</v>
      </c>
      <c r="H48">
        <v>600</v>
      </c>
    </row>
    <row r="49" spans="3:8" x14ac:dyDescent="0.25">
      <c r="C49" t="s">
        <v>74</v>
      </c>
      <c r="D49">
        <v>74</v>
      </c>
      <c r="E49">
        <v>59.6</v>
      </c>
      <c r="F49">
        <v>99.8</v>
      </c>
      <c r="G49">
        <v>126.6</v>
      </c>
      <c r="H49">
        <v>9</v>
      </c>
    </row>
    <row r="91" spans="2:20" x14ac:dyDescent="0.25">
      <c r="C91">
        <v>2019</v>
      </c>
      <c r="D91">
        <v>2030</v>
      </c>
      <c r="E91">
        <v>2040</v>
      </c>
      <c r="F91">
        <v>2050</v>
      </c>
      <c r="G91">
        <v>2019</v>
      </c>
      <c r="H91">
        <v>2030</v>
      </c>
      <c r="I91">
        <v>2040</v>
      </c>
      <c r="J91">
        <v>2050</v>
      </c>
      <c r="L91" t="s">
        <v>112</v>
      </c>
      <c r="M91">
        <v>2019</v>
      </c>
      <c r="N91">
        <v>2030</v>
      </c>
      <c r="O91">
        <v>2040</v>
      </c>
      <c r="P91">
        <v>2050</v>
      </c>
      <c r="Q91">
        <v>2019</v>
      </c>
      <c r="R91">
        <v>2030</v>
      </c>
      <c r="S91">
        <v>2040</v>
      </c>
      <c r="T91">
        <v>2050</v>
      </c>
    </row>
    <row r="92" spans="2:20" ht="14.4" x14ac:dyDescent="0.3">
      <c r="C92" s="48">
        <v>538.4</v>
      </c>
      <c r="D92" s="48">
        <v>587.4</v>
      </c>
      <c r="E92" s="48">
        <v>619.79999999999995</v>
      </c>
      <c r="F92" s="48">
        <v>688.3</v>
      </c>
      <c r="L92" s="34" t="s">
        <v>113</v>
      </c>
      <c r="M92" s="48">
        <v>538.4</v>
      </c>
      <c r="N92" s="48">
        <v>606.1</v>
      </c>
      <c r="O92" s="48">
        <v>658.8</v>
      </c>
      <c r="P92" s="48">
        <v>677.4</v>
      </c>
    </row>
    <row r="93" spans="2:20" ht="14.4" x14ac:dyDescent="0.3">
      <c r="C93" s="49">
        <v>114.7</v>
      </c>
      <c r="D93" s="49">
        <v>204.2</v>
      </c>
      <c r="E93" s="49">
        <v>307</v>
      </c>
      <c r="F93" s="49">
        <v>429.7</v>
      </c>
      <c r="G93" s="47">
        <f t="shared" ref="G93:G115" si="18">C93/C$92</f>
        <v>0.21303863298662706</v>
      </c>
      <c r="H93" s="47">
        <f t="shared" ref="H93:H115" si="19">D93/D$92</f>
        <v>0.34763363976847123</v>
      </c>
      <c r="I93" s="47">
        <f t="shared" ref="I93:I115" si="20">E93/E$92</f>
        <v>0.49532107131332692</v>
      </c>
      <c r="J93" s="47">
        <f t="shared" ref="J93:J115" si="21">F93/F$92</f>
        <v>0.62429173325584775</v>
      </c>
      <c r="L93" s="50" t="s">
        <v>114</v>
      </c>
      <c r="M93" s="49">
        <v>114.7</v>
      </c>
      <c r="N93" s="49">
        <v>204.4</v>
      </c>
      <c r="O93" s="49">
        <v>277.7</v>
      </c>
      <c r="P93" s="49">
        <v>335.3</v>
      </c>
      <c r="Q93" s="47">
        <f t="shared" ref="Q93:Q115" si="22">M93/M$92</f>
        <v>0.21303863298662706</v>
      </c>
      <c r="R93" s="47">
        <f t="shared" ref="R93:R115" si="23">N93/N$92</f>
        <v>0.33723807952483087</v>
      </c>
      <c r="S93" s="47">
        <f t="shared" ref="S93:S115" si="24">O93/O$92</f>
        <v>0.42152398299939287</v>
      </c>
      <c r="T93" s="47">
        <f t="shared" ref="T93:T115" si="25">P93/P$92</f>
        <v>0.49498080897549457</v>
      </c>
    </row>
    <row r="94" spans="2:20" ht="14.4" x14ac:dyDescent="0.3">
      <c r="B94" s="47"/>
      <c r="C94" s="38">
        <v>59.5</v>
      </c>
      <c r="D94" s="38">
        <v>65.599999999999994</v>
      </c>
      <c r="E94" s="38">
        <v>73.599999999999994</v>
      </c>
      <c r="F94" s="38">
        <v>76.900000000000006</v>
      </c>
      <c r="G94" s="47">
        <f t="shared" si="18"/>
        <v>0.11051263001485885</v>
      </c>
      <c r="H94" s="47">
        <f t="shared" si="19"/>
        <v>0.11167858358869594</v>
      </c>
      <c r="I94" s="47">
        <f t="shared" si="20"/>
        <v>0.11874798322039368</v>
      </c>
      <c r="J94" s="47">
        <f t="shared" si="21"/>
        <v>0.11172453871858203</v>
      </c>
      <c r="L94" s="51" t="s">
        <v>56</v>
      </c>
      <c r="M94" s="38">
        <v>59.5</v>
      </c>
      <c r="N94" s="38">
        <v>65.8</v>
      </c>
      <c r="O94" s="38">
        <v>73.5</v>
      </c>
      <c r="P94" s="38">
        <v>75.2</v>
      </c>
      <c r="Q94" s="47">
        <f t="shared" si="22"/>
        <v>0.11051263001485885</v>
      </c>
      <c r="R94" s="47">
        <f t="shared" si="23"/>
        <v>0.10856294340867843</v>
      </c>
      <c r="S94" s="47">
        <f t="shared" si="24"/>
        <v>0.11156648451730419</v>
      </c>
      <c r="T94" s="47">
        <f t="shared" si="25"/>
        <v>0.1110126956008267</v>
      </c>
    </row>
    <row r="95" spans="2:20" ht="14.4" x14ac:dyDescent="0.3">
      <c r="C95" s="40">
        <v>5.5</v>
      </c>
      <c r="D95" s="40">
        <v>2.8</v>
      </c>
      <c r="E95" s="40">
        <v>10.8</v>
      </c>
      <c r="F95" s="40">
        <v>14.2</v>
      </c>
      <c r="G95" s="47">
        <f t="shared" si="18"/>
        <v>1.0215453194650817E-2</v>
      </c>
      <c r="H95" s="47">
        <f t="shared" si="19"/>
        <v>4.7667688117126322E-3</v>
      </c>
      <c r="I95" s="47">
        <f t="shared" si="20"/>
        <v>1.7424975798644726E-2</v>
      </c>
      <c r="J95" s="47">
        <f t="shared" si="21"/>
        <v>2.0630539009152987E-2</v>
      </c>
      <c r="L95" s="52" t="s">
        <v>115</v>
      </c>
      <c r="M95" s="40">
        <v>5.5</v>
      </c>
      <c r="N95" s="40">
        <v>3</v>
      </c>
      <c r="O95" s="40">
        <v>10.7</v>
      </c>
      <c r="P95" s="40">
        <v>12.5</v>
      </c>
      <c r="Q95" s="47">
        <f t="shared" si="22"/>
        <v>1.0215453194650817E-2</v>
      </c>
      <c r="R95" s="47">
        <f t="shared" si="23"/>
        <v>4.9496782709123905E-3</v>
      </c>
      <c r="S95" s="47">
        <f t="shared" si="24"/>
        <v>1.6241651487553126E-2</v>
      </c>
      <c r="T95" s="47">
        <f t="shared" si="25"/>
        <v>1.8452908178328904E-2</v>
      </c>
    </row>
    <row r="96" spans="2:20" ht="14.4" x14ac:dyDescent="0.3">
      <c r="C96" s="38">
        <v>33.9</v>
      </c>
      <c r="D96" s="38">
        <v>86.7</v>
      </c>
      <c r="E96" s="38">
        <v>149</v>
      </c>
      <c r="F96" s="38">
        <v>232.9</v>
      </c>
      <c r="G96" s="47">
        <f t="shared" si="18"/>
        <v>6.2964338781575035E-2</v>
      </c>
      <c r="H96" s="47">
        <f t="shared" si="19"/>
        <v>0.14759959141981616</v>
      </c>
      <c r="I96" s="47">
        <f t="shared" si="20"/>
        <v>0.24040012907389482</v>
      </c>
      <c r="J96" s="47">
        <f t="shared" si="21"/>
        <v>0.33836989684730501</v>
      </c>
      <c r="L96" s="51" t="s">
        <v>116</v>
      </c>
      <c r="M96" s="38">
        <v>33.9</v>
      </c>
      <c r="N96" s="38">
        <v>86.7</v>
      </c>
      <c r="O96" s="38">
        <v>129.30000000000001</v>
      </c>
      <c r="P96" s="38">
        <v>164.6</v>
      </c>
      <c r="Q96" s="47">
        <f t="shared" si="22"/>
        <v>6.2964338781575035E-2</v>
      </c>
      <c r="R96" s="47">
        <f t="shared" si="23"/>
        <v>0.14304570202936809</v>
      </c>
      <c r="S96" s="47">
        <f t="shared" si="24"/>
        <v>0.1962659380692168</v>
      </c>
      <c r="T96" s="47">
        <f t="shared" si="25"/>
        <v>0.24298789489223502</v>
      </c>
    </row>
    <row r="97" spans="3:20" ht="14.4" x14ac:dyDescent="0.3">
      <c r="C97" s="40">
        <v>33.9</v>
      </c>
      <c r="D97" s="40">
        <v>68.3</v>
      </c>
      <c r="E97" s="40">
        <v>81.900000000000006</v>
      </c>
      <c r="F97" s="40">
        <v>103.8</v>
      </c>
      <c r="G97" s="47">
        <f t="shared" si="18"/>
        <v>6.2964338781575035E-2</v>
      </c>
      <c r="H97" s="47">
        <f t="shared" si="19"/>
        <v>0.11627511065713313</v>
      </c>
      <c r="I97" s="47">
        <f t="shared" si="20"/>
        <v>0.13213939980638917</v>
      </c>
      <c r="J97" s="47">
        <f t="shared" si="21"/>
        <v>0.15080633444718874</v>
      </c>
      <c r="L97" s="39" t="s">
        <v>117</v>
      </c>
      <c r="M97" s="40">
        <v>33.9</v>
      </c>
      <c r="N97" s="40">
        <v>68.3</v>
      </c>
      <c r="O97" s="40">
        <v>78.599999999999994</v>
      </c>
      <c r="P97" s="40">
        <v>86.7</v>
      </c>
      <c r="Q97" s="47">
        <f t="shared" si="22"/>
        <v>6.2964338781575035E-2</v>
      </c>
      <c r="R97" s="47">
        <f t="shared" si="23"/>
        <v>0.11268767530110542</v>
      </c>
      <c r="S97" s="47">
        <f t="shared" si="24"/>
        <v>0.11930783242258652</v>
      </c>
      <c r="T97" s="47">
        <f t="shared" si="25"/>
        <v>0.12798937112488928</v>
      </c>
    </row>
    <row r="98" spans="3:20" ht="14.4" x14ac:dyDescent="0.3">
      <c r="C98" s="40">
        <v>0</v>
      </c>
      <c r="D98" s="40">
        <v>18.399999999999999</v>
      </c>
      <c r="E98" s="40">
        <v>67.099999999999994</v>
      </c>
      <c r="F98" s="40">
        <v>129.1</v>
      </c>
      <c r="G98" s="47">
        <f t="shared" si="18"/>
        <v>0</v>
      </c>
      <c r="H98" s="47">
        <f t="shared" si="19"/>
        <v>3.1324480762683009E-2</v>
      </c>
      <c r="I98" s="47">
        <f t="shared" si="20"/>
        <v>0.10826072926750564</v>
      </c>
      <c r="J98" s="47">
        <f t="shared" si="21"/>
        <v>0.18756356240011623</v>
      </c>
      <c r="L98" s="52" t="s">
        <v>118</v>
      </c>
      <c r="M98" s="40">
        <v>0</v>
      </c>
      <c r="N98" s="40">
        <v>18.399999999999999</v>
      </c>
      <c r="O98" s="40">
        <v>50.7</v>
      </c>
      <c r="P98" s="40">
        <v>77.900000000000006</v>
      </c>
      <c r="Q98" s="47">
        <f t="shared" si="22"/>
        <v>0</v>
      </c>
      <c r="R98" s="47">
        <f t="shared" si="23"/>
        <v>3.0358026728262658E-2</v>
      </c>
      <c r="S98" s="47">
        <f t="shared" si="24"/>
        <v>7.6958105646630248E-2</v>
      </c>
      <c r="T98" s="47">
        <f t="shared" si="25"/>
        <v>0.11499852376734575</v>
      </c>
    </row>
    <row r="99" spans="3:20" ht="14.4" x14ac:dyDescent="0.3">
      <c r="C99" s="38">
        <v>11.6</v>
      </c>
      <c r="D99" s="38">
        <v>42.3</v>
      </c>
      <c r="E99" s="38">
        <v>74.599999999999994</v>
      </c>
      <c r="F99" s="38">
        <v>110.1</v>
      </c>
      <c r="G99" s="47">
        <f t="shared" si="18"/>
        <v>2.1545319465081723E-2</v>
      </c>
      <c r="H99" s="47">
        <f t="shared" si="19"/>
        <v>7.2012257405515825E-2</v>
      </c>
      <c r="I99" s="47">
        <f t="shared" si="20"/>
        <v>0.12036140690545337</v>
      </c>
      <c r="J99" s="47">
        <f t="shared" si="21"/>
        <v>0.1599593200639256</v>
      </c>
      <c r="L99" s="51" t="s">
        <v>119</v>
      </c>
      <c r="M99" s="38">
        <v>11.6</v>
      </c>
      <c r="N99" s="38">
        <v>42.3</v>
      </c>
      <c r="O99" s="38">
        <v>65.099999999999994</v>
      </c>
      <c r="P99" s="38">
        <v>85.7</v>
      </c>
      <c r="Q99" s="47">
        <f t="shared" si="22"/>
        <v>2.1545319465081723E-2</v>
      </c>
      <c r="R99" s="47">
        <f t="shared" si="23"/>
        <v>6.9790463619864698E-2</v>
      </c>
      <c r="S99" s="47">
        <f t="shared" si="24"/>
        <v>9.881602914389799E-2</v>
      </c>
      <c r="T99" s="47">
        <f t="shared" si="25"/>
        <v>0.12651313847062298</v>
      </c>
    </row>
    <row r="100" spans="3:20" ht="14.4" x14ac:dyDescent="0.3">
      <c r="C100" s="38">
        <v>9.6999999999999993</v>
      </c>
      <c r="D100" s="38">
        <v>9.6</v>
      </c>
      <c r="E100" s="38">
        <v>9.8000000000000007</v>
      </c>
      <c r="F100" s="38">
        <v>9.8000000000000007</v>
      </c>
      <c r="G100" s="47">
        <f t="shared" si="18"/>
        <v>1.801634472511144E-2</v>
      </c>
      <c r="H100" s="47">
        <f t="shared" si="19"/>
        <v>1.634320735444331E-2</v>
      </c>
      <c r="I100" s="47">
        <f t="shared" si="20"/>
        <v>1.581155211358503E-2</v>
      </c>
      <c r="J100" s="47">
        <f t="shared" si="21"/>
        <v>1.4237977626035162E-2</v>
      </c>
      <c r="L100" s="51" t="s">
        <v>120</v>
      </c>
      <c r="M100" s="38">
        <v>9.6999999999999993</v>
      </c>
      <c r="N100" s="38">
        <v>9.6</v>
      </c>
      <c r="O100" s="38">
        <v>9.8000000000000007</v>
      </c>
      <c r="P100" s="38">
        <v>9.8000000000000007</v>
      </c>
      <c r="Q100" s="47">
        <f t="shared" si="22"/>
        <v>1.801634472511144E-2</v>
      </c>
      <c r="R100" s="47">
        <f t="shared" si="23"/>
        <v>1.583897046691965E-2</v>
      </c>
      <c r="S100" s="47">
        <f t="shared" si="24"/>
        <v>1.4875531268973894E-2</v>
      </c>
      <c r="T100" s="47">
        <f t="shared" si="25"/>
        <v>1.4467080011809862E-2</v>
      </c>
    </row>
    <row r="101" spans="3:20" ht="14.4" x14ac:dyDescent="0.3">
      <c r="C101" s="38">
        <v>0</v>
      </c>
      <c r="D101" s="38">
        <v>0</v>
      </c>
      <c r="E101" s="38">
        <v>0</v>
      </c>
      <c r="F101" s="38">
        <v>0</v>
      </c>
      <c r="G101" s="47">
        <f t="shared" si="18"/>
        <v>0</v>
      </c>
      <c r="H101" s="47">
        <f t="shared" si="19"/>
        <v>0</v>
      </c>
      <c r="I101" s="47">
        <f t="shared" si="20"/>
        <v>0</v>
      </c>
      <c r="J101" s="47">
        <f t="shared" si="21"/>
        <v>0</v>
      </c>
      <c r="L101" s="51" t="s">
        <v>121</v>
      </c>
      <c r="M101" s="38">
        <v>0</v>
      </c>
      <c r="N101" s="38">
        <v>0</v>
      </c>
      <c r="O101" s="38">
        <v>0</v>
      </c>
      <c r="P101" s="38">
        <v>0</v>
      </c>
      <c r="Q101" s="47">
        <f t="shared" si="22"/>
        <v>0</v>
      </c>
      <c r="R101" s="47">
        <f t="shared" si="23"/>
        <v>0</v>
      </c>
      <c r="S101" s="47">
        <f t="shared" si="24"/>
        <v>0</v>
      </c>
      <c r="T101" s="47">
        <f t="shared" si="25"/>
        <v>0</v>
      </c>
    </row>
    <row r="102" spans="3:20" ht="14.4" x14ac:dyDescent="0.3">
      <c r="C102" s="53">
        <v>379</v>
      </c>
      <c r="D102" s="53">
        <v>352.9</v>
      </c>
      <c r="E102" s="53">
        <v>303.39999999999998</v>
      </c>
      <c r="F102" s="53">
        <v>252.4</v>
      </c>
      <c r="G102" s="47">
        <f t="shared" si="18"/>
        <v>0.70393759286775637</v>
      </c>
      <c r="H102" s="47">
        <f t="shared" si="19"/>
        <v>0.60078311201906709</v>
      </c>
      <c r="I102" s="47">
        <f t="shared" si="20"/>
        <v>0.48951274604711198</v>
      </c>
      <c r="J102" s="47">
        <f t="shared" si="21"/>
        <v>0.36670056661339534</v>
      </c>
      <c r="L102" s="50" t="s">
        <v>60</v>
      </c>
      <c r="M102" s="53">
        <v>379</v>
      </c>
      <c r="N102" s="53">
        <v>374.3</v>
      </c>
      <c r="O102" s="53">
        <v>376.8</v>
      </c>
      <c r="P102" s="53">
        <v>338.5</v>
      </c>
      <c r="Q102" s="47">
        <f t="shared" si="22"/>
        <v>0.70393759286775637</v>
      </c>
      <c r="R102" s="47">
        <f t="shared" si="23"/>
        <v>0.61755485893416928</v>
      </c>
      <c r="S102" s="47">
        <f t="shared" si="24"/>
        <v>0.57194899817850642</v>
      </c>
      <c r="T102" s="47">
        <f t="shared" si="25"/>
        <v>0.49970475346914678</v>
      </c>
    </row>
    <row r="103" spans="3:20" ht="14.4" x14ac:dyDescent="0.3">
      <c r="C103" s="38">
        <v>379</v>
      </c>
      <c r="D103" s="38">
        <v>352.9</v>
      </c>
      <c r="E103" s="38">
        <v>258.8</v>
      </c>
      <c r="F103" s="38">
        <v>93.1</v>
      </c>
      <c r="G103" s="47">
        <f t="shared" si="18"/>
        <v>0.70393759286775637</v>
      </c>
      <c r="H103" s="47">
        <f t="shared" si="19"/>
        <v>0.60078311201906709</v>
      </c>
      <c r="I103" s="47">
        <f t="shared" si="20"/>
        <v>0.41755404969344956</v>
      </c>
      <c r="J103" s="47">
        <f t="shared" si="21"/>
        <v>0.13526078744733402</v>
      </c>
      <c r="L103" s="51" t="s">
        <v>122</v>
      </c>
      <c r="M103" s="38">
        <v>379</v>
      </c>
      <c r="N103" s="38">
        <v>374.3</v>
      </c>
      <c r="O103" s="38">
        <v>326.39999999999998</v>
      </c>
      <c r="P103" s="38">
        <v>149.19999999999999</v>
      </c>
      <c r="Q103" s="47">
        <f t="shared" si="22"/>
        <v>0.70393759286775637</v>
      </c>
      <c r="R103" s="47">
        <f t="shared" si="23"/>
        <v>0.61755485893416928</v>
      </c>
      <c r="S103" s="47">
        <f t="shared" si="24"/>
        <v>0.49544626593806923</v>
      </c>
      <c r="T103" s="47">
        <f t="shared" si="25"/>
        <v>0.2202539120165338</v>
      </c>
    </row>
    <row r="104" spans="3:20" ht="14.4" x14ac:dyDescent="0.3">
      <c r="C104" s="38">
        <v>0</v>
      </c>
      <c r="D104" s="38">
        <v>0</v>
      </c>
      <c r="E104" s="38">
        <v>44.6</v>
      </c>
      <c r="F104" s="38">
        <v>159.30000000000001</v>
      </c>
      <c r="G104" s="47">
        <f t="shared" si="18"/>
        <v>0</v>
      </c>
      <c r="H104" s="47">
        <f t="shared" si="19"/>
        <v>0</v>
      </c>
      <c r="I104" s="47">
        <f t="shared" si="20"/>
        <v>7.1958696353662477E-2</v>
      </c>
      <c r="J104" s="47">
        <f t="shared" si="21"/>
        <v>0.23143977916606134</v>
      </c>
      <c r="L104" s="51" t="s">
        <v>123</v>
      </c>
      <c r="M104" s="38">
        <v>0</v>
      </c>
      <c r="N104" s="38">
        <v>0</v>
      </c>
      <c r="O104" s="38">
        <v>43.7</v>
      </c>
      <c r="P104" s="38">
        <v>162.30000000000001</v>
      </c>
      <c r="Q104" s="47">
        <f t="shared" si="22"/>
        <v>0</v>
      </c>
      <c r="R104" s="47">
        <f t="shared" si="23"/>
        <v>0</v>
      </c>
      <c r="S104" s="47">
        <f t="shared" si="24"/>
        <v>6.6332726168791753E-2</v>
      </c>
      <c r="T104" s="47">
        <f t="shared" si="25"/>
        <v>0.23959255978742253</v>
      </c>
    </row>
    <row r="105" spans="3:20" ht="14.4" x14ac:dyDescent="0.3">
      <c r="C105" s="38">
        <v>0</v>
      </c>
      <c r="D105" s="38">
        <v>0</v>
      </c>
      <c r="E105" s="38">
        <v>0</v>
      </c>
      <c r="F105" s="38">
        <v>0</v>
      </c>
      <c r="G105" s="47">
        <f t="shared" si="18"/>
        <v>0</v>
      </c>
      <c r="H105" s="47">
        <f t="shared" si="19"/>
        <v>0</v>
      </c>
      <c r="I105" s="47">
        <f t="shared" si="20"/>
        <v>0</v>
      </c>
      <c r="J105" s="47">
        <f t="shared" si="21"/>
        <v>0</v>
      </c>
      <c r="L105" s="51" t="s">
        <v>124</v>
      </c>
      <c r="M105" s="38">
        <v>0</v>
      </c>
      <c r="N105" s="38">
        <v>0</v>
      </c>
      <c r="O105" s="38">
        <v>6.7</v>
      </c>
      <c r="P105" s="38">
        <v>27</v>
      </c>
      <c r="Q105" s="47">
        <f t="shared" si="22"/>
        <v>0</v>
      </c>
      <c r="R105" s="47">
        <f t="shared" si="23"/>
        <v>0</v>
      </c>
      <c r="S105" s="47">
        <f t="shared" si="24"/>
        <v>1.0170006071645418E-2</v>
      </c>
      <c r="T105" s="47">
        <f t="shared" si="25"/>
        <v>3.9858281665190433E-2</v>
      </c>
    </row>
    <row r="106" spans="3:20" ht="14.4" x14ac:dyDescent="0.3">
      <c r="C106" s="53">
        <v>44.7</v>
      </c>
      <c r="D106" s="53">
        <v>30</v>
      </c>
      <c r="E106" s="53">
        <v>8.6</v>
      </c>
      <c r="F106" s="53">
        <v>4.0999999999999996</v>
      </c>
      <c r="G106" s="47">
        <f t="shared" si="18"/>
        <v>8.3023774145616652E-2</v>
      </c>
      <c r="H106" s="47">
        <f t="shared" si="19"/>
        <v>5.1072522982635343E-2</v>
      </c>
      <c r="I106" s="47">
        <f t="shared" si="20"/>
        <v>1.3875443691513391E-2</v>
      </c>
      <c r="J106" s="47">
        <f t="shared" si="21"/>
        <v>5.9567049251779743E-3</v>
      </c>
      <c r="L106" s="50" t="s">
        <v>125</v>
      </c>
      <c r="M106" s="53">
        <v>44.7</v>
      </c>
      <c r="N106" s="53">
        <v>27.1</v>
      </c>
      <c r="O106" s="53">
        <v>3.7</v>
      </c>
      <c r="P106" s="53">
        <v>1.8</v>
      </c>
      <c r="Q106" s="47">
        <f t="shared" si="22"/>
        <v>8.3023774145616652E-2</v>
      </c>
      <c r="R106" s="47">
        <f t="shared" si="23"/>
        <v>4.4712093713908593E-2</v>
      </c>
      <c r="S106" s="47">
        <f t="shared" si="24"/>
        <v>5.616272009714633E-3</v>
      </c>
      <c r="T106" s="47">
        <f t="shared" si="25"/>
        <v>2.6572187776793626E-3</v>
      </c>
    </row>
    <row r="107" spans="3:20" ht="14.4" x14ac:dyDescent="0.3">
      <c r="C107" s="38">
        <v>38.6</v>
      </c>
      <c r="D107" s="38">
        <v>27.8</v>
      </c>
      <c r="E107" s="38">
        <v>5.0999999999999996</v>
      </c>
      <c r="F107" s="38">
        <v>0.4</v>
      </c>
      <c r="G107" s="47">
        <f t="shared" si="18"/>
        <v>7.1693907875185744E-2</v>
      </c>
      <c r="H107" s="47">
        <f t="shared" si="19"/>
        <v>4.7327204630575423E-2</v>
      </c>
      <c r="I107" s="47">
        <f t="shared" si="20"/>
        <v>8.2284607938044527E-3</v>
      </c>
      <c r="J107" s="47">
        <f t="shared" si="21"/>
        <v>5.8114194391980253E-4</v>
      </c>
      <c r="L107" s="51" t="s">
        <v>126</v>
      </c>
      <c r="M107" s="38">
        <v>38.6</v>
      </c>
      <c r="N107" s="38">
        <v>24.9</v>
      </c>
      <c r="O107" s="38">
        <v>1.9</v>
      </c>
      <c r="P107" s="38">
        <v>0</v>
      </c>
      <c r="Q107" s="47">
        <f t="shared" si="22"/>
        <v>7.1693907875185744E-2</v>
      </c>
      <c r="R107" s="47">
        <f t="shared" si="23"/>
        <v>4.1082329648572842E-2</v>
      </c>
      <c r="S107" s="47">
        <f t="shared" si="24"/>
        <v>2.8840315725561626E-3</v>
      </c>
      <c r="T107" s="47">
        <f t="shared" si="25"/>
        <v>0</v>
      </c>
    </row>
    <row r="108" spans="3:20" ht="14.4" x14ac:dyDescent="0.3">
      <c r="C108" s="38">
        <v>2.2999999999999998</v>
      </c>
      <c r="D108" s="38">
        <v>0</v>
      </c>
      <c r="E108" s="38">
        <v>0</v>
      </c>
      <c r="F108" s="38">
        <v>0</v>
      </c>
      <c r="G108" s="47">
        <f t="shared" si="18"/>
        <v>4.2719167904903413E-3</v>
      </c>
      <c r="H108" s="47">
        <f t="shared" si="19"/>
        <v>0</v>
      </c>
      <c r="I108" s="47">
        <f t="shared" si="20"/>
        <v>0</v>
      </c>
      <c r="J108" s="47">
        <f t="shared" si="21"/>
        <v>0</v>
      </c>
      <c r="L108" s="51" t="s">
        <v>30</v>
      </c>
      <c r="M108" s="38">
        <v>2.2999999999999998</v>
      </c>
      <c r="N108" s="38">
        <v>0</v>
      </c>
      <c r="O108" s="38">
        <v>0</v>
      </c>
      <c r="P108" s="38">
        <v>0</v>
      </c>
      <c r="Q108" s="47">
        <f t="shared" si="22"/>
        <v>4.2719167904903413E-3</v>
      </c>
      <c r="R108" s="47">
        <f t="shared" si="23"/>
        <v>0</v>
      </c>
      <c r="S108" s="47">
        <f t="shared" si="24"/>
        <v>0</v>
      </c>
      <c r="T108" s="47">
        <f t="shared" si="25"/>
        <v>0</v>
      </c>
    </row>
    <row r="109" spans="3:20" ht="14.4" x14ac:dyDescent="0.3">
      <c r="C109" s="38">
        <v>1.6</v>
      </c>
      <c r="D109" s="38">
        <v>0</v>
      </c>
      <c r="E109" s="38">
        <v>0</v>
      </c>
      <c r="F109" s="38">
        <v>0</v>
      </c>
      <c r="G109" s="47">
        <f t="shared" si="18"/>
        <v>2.971768202080238E-3</v>
      </c>
      <c r="H109" s="47">
        <f t="shared" si="19"/>
        <v>0</v>
      </c>
      <c r="I109" s="47">
        <f t="shared" si="20"/>
        <v>0</v>
      </c>
      <c r="J109" s="47">
        <f t="shared" si="21"/>
        <v>0</v>
      </c>
      <c r="L109" s="51" t="s">
        <v>8</v>
      </c>
      <c r="M109" s="38">
        <v>1.6</v>
      </c>
      <c r="N109" s="38">
        <v>0</v>
      </c>
      <c r="O109" s="38">
        <v>0</v>
      </c>
      <c r="P109" s="38">
        <v>0</v>
      </c>
      <c r="Q109" s="47">
        <f t="shared" si="22"/>
        <v>2.971768202080238E-3</v>
      </c>
      <c r="R109" s="47">
        <f t="shared" si="23"/>
        <v>0</v>
      </c>
      <c r="S109" s="47">
        <f t="shared" si="24"/>
        <v>0</v>
      </c>
      <c r="T109" s="47">
        <f t="shared" si="25"/>
        <v>0</v>
      </c>
    </row>
    <row r="110" spans="3:20" ht="14.4" x14ac:dyDescent="0.3">
      <c r="C110" s="38">
        <v>2.2000000000000002</v>
      </c>
      <c r="D110" s="38">
        <v>2.2000000000000002</v>
      </c>
      <c r="E110" s="38">
        <v>1.8</v>
      </c>
      <c r="F110" s="38">
        <v>1.8</v>
      </c>
      <c r="G110" s="47">
        <f t="shared" si="18"/>
        <v>4.0861812778603271E-3</v>
      </c>
      <c r="H110" s="47">
        <f t="shared" si="19"/>
        <v>3.7453183520599256E-3</v>
      </c>
      <c r="I110" s="47">
        <f t="shared" si="20"/>
        <v>2.9041626331074541E-3</v>
      </c>
      <c r="J110" s="47">
        <f t="shared" si="21"/>
        <v>2.6151387476391111E-3</v>
      </c>
      <c r="L110" s="51" t="s">
        <v>67</v>
      </c>
      <c r="M110" s="38">
        <v>2.2000000000000002</v>
      </c>
      <c r="N110" s="38">
        <v>2.2000000000000002</v>
      </c>
      <c r="O110" s="38">
        <v>1.8</v>
      </c>
      <c r="P110" s="38">
        <v>1.8</v>
      </c>
      <c r="Q110" s="47">
        <f t="shared" si="22"/>
        <v>4.0861812778603271E-3</v>
      </c>
      <c r="R110" s="47">
        <f t="shared" si="23"/>
        <v>3.6297640653357535E-3</v>
      </c>
      <c r="S110" s="47">
        <f t="shared" si="24"/>
        <v>2.7322404371584704E-3</v>
      </c>
      <c r="T110" s="47">
        <f t="shared" si="25"/>
        <v>2.6572187776793626E-3</v>
      </c>
    </row>
    <row r="111" spans="3:20" ht="14.4" x14ac:dyDescent="0.3">
      <c r="C111" s="38">
        <v>0</v>
      </c>
      <c r="D111" s="38">
        <v>0</v>
      </c>
      <c r="E111" s="38">
        <v>1.7</v>
      </c>
      <c r="F111" s="38">
        <v>1.9</v>
      </c>
      <c r="G111" s="47">
        <f t="shared" si="18"/>
        <v>0</v>
      </c>
      <c r="H111" s="47">
        <f t="shared" si="19"/>
        <v>0</v>
      </c>
      <c r="I111" s="47">
        <f t="shared" si="20"/>
        <v>2.7428202646014844E-3</v>
      </c>
      <c r="J111" s="47">
        <f t="shared" si="21"/>
        <v>2.7604242336190616E-3</v>
      </c>
      <c r="L111" s="51" t="s">
        <v>127</v>
      </c>
      <c r="M111" s="38">
        <v>0</v>
      </c>
      <c r="N111" s="38">
        <v>0</v>
      </c>
      <c r="O111" s="38">
        <v>0</v>
      </c>
      <c r="P111" s="38">
        <v>0</v>
      </c>
      <c r="Q111" s="47">
        <f t="shared" si="22"/>
        <v>0</v>
      </c>
      <c r="R111" s="47">
        <f t="shared" si="23"/>
        <v>0</v>
      </c>
      <c r="S111" s="47">
        <f t="shared" si="24"/>
        <v>0</v>
      </c>
      <c r="T111" s="47">
        <f t="shared" si="25"/>
        <v>0</v>
      </c>
    </row>
    <row r="112" spans="3:20" ht="14.4" x14ac:dyDescent="0.3">
      <c r="C112" s="53">
        <v>0</v>
      </c>
      <c r="D112" s="53">
        <v>0.3</v>
      </c>
      <c r="E112" s="53">
        <v>0.8</v>
      </c>
      <c r="F112" s="53">
        <v>2.1</v>
      </c>
      <c r="G112" s="47">
        <f t="shared" si="18"/>
        <v>0</v>
      </c>
      <c r="H112" s="47">
        <f t="shared" si="19"/>
        <v>5.1072522982635344E-4</v>
      </c>
      <c r="I112" s="47">
        <f t="shared" si="20"/>
        <v>1.2907389480477575E-3</v>
      </c>
      <c r="J112" s="47">
        <f t="shared" si="21"/>
        <v>3.0509952055789631E-3</v>
      </c>
      <c r="L112" s="50" t="s">
        <v>128</v>
      </c>
      <c r="M112" s="53">
        <v>0</v>
      </c>
      <c r="N112" s="53">
        <v>0.3</v>
      </c>
      <c r="O112" s="53">
        <v>0.6</v>
      </c>
      <c r="P112" s="53">
        <v>1.8</v>
      </c>
      <c r="Q112" s="47">
        <f t="shared" si="22"/>
        <v>0</v>
      </c>
      <c r="R112" s="47">
        <f t="shared" si="23"/>
        <v>4.9496782709123905E-4</v>
      </c>
      <c r="S112" s="47">
        <f t="shared" si="24"/>
        <v>9.1074681238615665E-4</v>
      </c>
      <c r="T112" s="47">
        <f t="shared" si="25"/>
        <v>2.6572187776793626E-3</v>
      </c>
    </row>
    <row r="113" spans="3:21" ht="14.4" x14ac:dyDescent="0.3">
      <c r="C113" s="38">
        <v>0</v>
      </c>
      <c r="D113" s="38">
        <v>0.1</v>
      </c>
      <c r="E113" s="38">
        <v>0.1</v>
      </c>
      <c r="F113" s="38">
        <v>0.1</v>
      </c>
      <c r="G113" s="47">
        <f t="shared" si="18"/>
        <v>0</v>
      </c>
      <c r="H113" s="47">
        <f t="shared" si="19"/>
        <v>1.7024174327545115E-4</v>
      </c>
      <c r="I113" s="47">
        <f t="shared" si="20"/>
        <v>1.6134236850596969E-4</v>
      </c>
      <c r="J113" s="47">
        <f t="shared" si="21"/>
        <v>1.4528548597995063E-4</v>
      </c>
      <c r="L113" s="51" t="s">
        <v>129</v>
      </c>
      <c r="M113" s="38">
        <v>0</v>
      </c>
      <c r="N113" s="38">
        <v>0</v>
      </c>
      <c r="O113" s="38">
        <v>0</v>
      </c>
      <c r="P113" s="38">
        <v>0</v>
      </c>
      <c r="Q113" s="47">
        <f t="shared" si="22"/>
        <v>0</v>
      </c>
      <c r="R113" s="47">
        <f t="shared" si="23"/>
        <v>0</v>
      </c>
      <c r="S113" s="47">
        <f t="shared" si="24"/>
        <v>0</v>
      </c>
      <c r="T113" s="47">
        <f t="shared" si="25"/>
        <v>0</v>
      </c>
    </row>
    <row r="114" spans="3:21" ht="14.4" x14ac:dyDescent="0.3">
      <c r="C114" s="38">
        <v>0</v>
      </c>
      <c r="D114" s="38">
        <v>0</v>
      </c>
      <c r="E114" s="38">
        <v>0.7</v>
      </c>
      <c r="F114" s="38">
        <v>1.8</v>
      </c>
      <c r="G114" s="47">
        <f t="shared" si="18"/>
        <v>0</v>
      </c>
      <c r="H114" s="47">
        <f t="shared" si="19"/>
        <v>0</v>
      </c>
      <c r="I114" s="47">
        <f t="shared" si="20"/>
        <v>1.1293965795417878E-3</v>
      </c>
      <c r="J114" s="47">
        <f t="shared" si="21"/>
        <v>2.6151387476391111E-3</v>
      </c>
      <c r="L114" s="51" t="s">
        <v>130</v>
      </c>
      <c r="M114" s="38">
        <v>0</v>
      </c>
      <c r="N114" s="38">
        <v>0</v>
      </c>
      <c r="O114" s="38">
        <v>0.6</v>
      </c>
      <c r="P114" s="38">
        <v>1.8</v>
      </c>
      <c r="Q114" s="47">
        <f t="shared" si="22"/>
        <v>0</v>
      </c>
      <c r="R114" s="47">
        <f t="shared" si="23"/>
        <v>0</v>
      </c>
      <c r="S114" s="47">
        <f t="shared" si="24"/>
        <v>9.1074681238615665E-4</v>
      </c>
      <c r="T114" s="47">
        <f t="shared" si="25"/>
        <v>2.6572187776793626E-3</v>
      </c>
    </row>
    <row r="115" spans="3:21" ht="14.4" x14ac:dyDescent="0.3">
      <c r="C115" s="45">
        <v>0</v>
      </c>
      <c r="D115" s="45">
        <v>0.2</v>
      </c>
      <c r="E115" s="45">
        <v>0</v>
      </c>
      <c r="F115" s="45">
        <v>0.2</v>
      </c>
      <c r="G115" s="47">
        <f t="shared" si="18"/>
        <v>0</v>
      </c>
      <c r="H115" s="47">
        <f t="shared" si="19"/>
        <v>3.4048348655090231E-4</v>
      </c>
      <c r="I115" s="47">
        <f t="shared" si="20"/>
        <v>0</v>
      </c>
      <c r="J115" s="47">
        <f t="shared" si="21"/>
        <v>2.9057097195990127E-4</v>
      </c>
      <c r="L115" s="44" t="s">
        <v>131</v>
      </c>
      <c r="M115" s="45">
        <v>0</v>
      </c>
      <c r="N115" s="45">
        <v>0.3</v>
      </c>
      <c r="O115" s="45">
        <v>0</v>
      </c>
      <c r="P115" s="45">
        <v>0</v>
      </c>
      <c r="Q115" s="47">
        <f t="shared" si="22"/>
        <v>0</v>
      </c>
      <c r="R115" s="47">
        <f t="shared" si="23"/>
        <v>4.9496782709123905E-4</v>
      </c>
      <c r="S115" s="47">
        <f t="shared" si="24"/>
        <v>0</v>
      </c>
      <c r="T115" s="47">
        <f t="shared" si="25"/>
        <v>0</v>
      </c>
      <c r="U115" s="47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4"/>
  <sheetViews>
    <sheetView zoomScale="71" zoomScaleNormal="71" workbookViewId="0">
      <selection activeCell="C11" sqref="C11"/>
    </sheetView>
  </sheetViews>
  <sheetFormatPr baseColWidth="10" defaultColWidth="9.109375" defaultRowHeight="13.2" x14ac:dyDescent="0.25"/>
  <sheetData>
    <row r="6" spans="2:3" x14ac:dyDescent="0.25">
      <c r="B6" t="s">
        <v>132</v>
      </c>
    </row>
    <row r="7" spans="2:3" x14ac:dyDescent="0.25">
      <c r="C7" t="s">
        <v>133</v>
      </c>
    </row>
    <row r="9" spans="2:3" x14ac:dyDescent="0.25">
      <c r="B9" t="s">
        <v>134</v>
      </c>
    </row>
    <row r="10" spans="2:3" x14ac:dyDescent="0.25">
      <c r="C10" t="s">
        <v>135</v>
      </c>
    </row>
    <row r="12" spans="2:3" x14ac:dyDescent="0.25">
      <c r="B12" t="s">
        <v>136</v>
      </c>
    </row>
    <row r="13" spans="2:3" x14ac:dyDescent="0.25">
      <c r="B13" t="s">
        <v>137</v>
      </c>
    </row>
    <row r="14" spans="2:3" x14ac:dyDescent="0.25">
      <c r="C14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X28"/>
  <sheetViews>
    <sheetView topLeftCell="A43" zoomScaleNormal="100" workbookViewId="0">
      <selection activeCell="A20" sqref="A20:N25"/>
    </sheetView>
  </sheetViews>
  <sheetFormatPr baseColWidth="10" defaultColWidth="9.109375" defaultRowHeight="13.2" x14ac:dyDescent="0.25"/>
  <cols>
    <col min="1" max="1" width="8.6640625" customWidth="1"/>
    <col min="2" max="2" width="24.88671875" customWidth="1"/>
    <col min="3" max="10" width="8.6640625" customWidth="1"/>
    <col min="11" max="11" width="31.5546875" customWidth="1"/>
    <col min="12" max="14" width="8.6640625" customWidth="1"/>
    <col min="15" max="15" width="25.109375" customWidth="1"/>
    <col min="16" max="1025" width="8.6640625" customWidth="1"/>
  </cols>
  <sheetData>
    <row r="7" spans="2:24" x14ac:dyDescent="0.25">
      <c r="B7" s="17" t="s">
        <v>139</v>
      </c>
    </row>
    <row r="11" spans="2:24" x14ac:dyDescent="0.25">
      <c r="B11" s="19" t="s">
        <v>44</v>
      </c>
      <c r="C11" s="19"/>
      <c r="D11" s="19">
        <v>2020</v>
      </c>
      <c r="E11" s="19">
        <v>2025</v>
      </c>
      <c r="F11" s="19">
        <v>2030</v>
      </c>
      <c r="G11" s="19">
        <v>2035</v>
      </c>
      <c r="H11" s="19">
        <v>2040</v>
      </c>
      <c r="I11" s="19">
        <v>2045</v>
      </c>
      <c r="J11" s="19">
        <v>2050</v>
      </c>
      <c r="O11" t="s">
        <v>140</v>
      </c>
      <c r="Q11">
        <v>2015</v>
      </c>
      <c r="R11">
        <v>2020</v>
      </c>
      <c r="S11">
        <v>2025</v>
      </c>
      <c r="T11">
        <v>2030</v>
      </c>
      <c r="U11">
        <v>2035</v>
      </c>
      <c r="V11">
        <v>2040</v>
      </c>
      <c r="W11">
        <v>2045</v>
      </c>
      <c r="X11">
        <v>2050</v>
      </c>
    </row>
    <row r="12" spans="2:24" x14ac:dyDescent="0.25">
      <c r="B12" s="19" t="s">
        <v>141</v>
      </c>
      <c r="C12" s="19" t="s">
        <v>142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O12" t="s">
        <v>141</v>
      </c>
      <c r="P12" t="s">
        <v>142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2:24" x14ac:dyDescent="0.25">
      <c r="B13" s="19" t="s">
        <v>143</v>
      </c>
      <c r="C13" s="19" t="s">
        <v>142</v>
      </c>
      <c r="D13" s="19">
        <v>0.84</v>
      </c>
      <c r="E13" s="19">
        <f>D13</f>
        <v>0.84</v>
      </c>
      <c r="F13" s="19">
        <f>E13</f>
        <v>0.84</v>
      </c>
      <c r="G13" s="19">
        <v>0.5</v>
      </c>
      <c r="H13" s="19">
        <v>0</v>
      </c>
      <c r="I13" s="19">
        <v>0</v>
      </c>
      <c r="J13" s="19">
        <v>0</v>
      </c>
      <c r="K13" t="s">
        <v>144</v>
      </c>
      <c r="O13" t="s">
        <v>143</v>
      </c>
      <c r="P13" t="s">
        <v>142</v>
      </c>
      <c r="Q13">
        <v>1</v>
      </c>
      <c r="R13">
        <v>1</v>
      </c>
      <c r="S13">
        <v>1</v>
      </c>
      <c r="T13">
        <v>1</v>
      </c>
      <c r="U13">
        <v>0.5</v>
      </c>
      <c r="V13">
        <v>0</v>
      </c>
      <c r="W13">
        <v>0</v>
      </c>
      <c r="X13">
        <v>0</v>
      </c>
    </row>
    <row r="14" spans="2:24" x14ac:dyDescent="0.25">
      <c r="B14" s="19" t="s">
        <v>145</v>
      </c>
      <c r="C14" s="19" t="s">
        <v>142</v>
      </c>
      <c r="D14" s="19">
        <v>1.6E-2</v>
      </c>
      <c r="E14" s="19">
        <f>D14</f>
        <v>1.6E-2</v>
      </c>
      <c r="F14" s="19">
        <f>E14</f>
        <v>1.6E-2</v>
      </c>
      <c r="G14" s="19">
        <v>8.0000000000000002E-3</v>
      </c>
      <c r="H14" s="19">
        <v>0</v>
      </c>
      <c r="I14" s="19">
        <v>0</v>
      </c>
      <c r="J14" s="19">
        <v>0</v>
      </c>
      <c r="K14" t="s">
        <v>144</v>
      </c>
      <c r="O14" t="s">
        <v>145</v>
      </c>
      <c r="P14" t="s">
        <v>142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7" spans="1:21" x14ac:dyDescent="0.25">
      <c r="R17" s="3"/>
      <c r="S17" s="3"/>
      <c r="T17" s="3"/>
      <c r="U17" s="3"/>
    </row>
    <row r="21" spans="1:21" x14ac:dyDescent="0.25">
      <c r="A21" t="s">
        <v>146</v>
      </c>
      <c r="C21">
        <v>2015</v>
      </c>
      <c r="D21">
        <v>2020</v>
      </c>
      <c r="E21">
        <v>2025</v>
      </c>
      <c r="F21">
        <v>2030</v>
      </c>
      <c r="G21">
        <v>2050</v>
      </c>
    </row>
    <row r="22" spans="1:21" x14ac:dyDescent="0.25">
      <c r="A22" t="s">
        <v>141</v>
      </c>
      <c r="B22" t="s">
        <v>142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147</v>
      </c>
    </row>
    <row r="23" spans="1:21" x14ac:dyDescent="0.25">
      <c r="A23" t="s">
        <v>143</v>
      </c>
      <c r="B23" t="s">
        <v>142</v>
      </c>
      <c r="C23">
        <v>0.84</v>
      </c>
      <c r="D23">
        <v>0.8</v>
      </c>
      <c r="E23">
        <v>0.7</v>
      </c>
      <c r="F23">
        <v>0.6</v>
      </c>
      <c r="G23">
        <v>0</v>
      </c>
      <c r="H23" t="s">
        <v>147</v>
      </c>
    </row>
    <row r="24" spans="1:21" x14ac:dyDescent="0.25">
      <c r="A24" t="s">
        <v>145</v>
      </c>
      <c r="B24" t="s">
        <v>142</v>
      </c>
      <c r="C24">
        <v>0.03</v>
      </c>
      <c r="D24">
        <v>0.03</v>
      </c>
      <c r="E24">
        <v>0.02</v>
      </c>
      <c r="F24">
        <v>0.01</v>
      </c>
      <c r="G24">
        <v>0</v>
      </c>
      <c r="H24" t="s">
        <v>147</v>
      </c>
    </row>
    <row r="27" spans="1:21" x14ac:dyDescent="0.25">
      <c r="R27" s="3"/>
      <c r="S27" s="3"/>
      <c r="T27" s="3"/>
      <c r="U27" s="3"/>
    </row>
    <row r="28" spans="1:21" x14ac:dyDescent="0.25">
      <c r="B28" s="17" t="s">
        <v>148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5"/>
  <sheetViews>
    <sheetView topLeftCell="E10" zoomScale="70" zoomScaleNormal="70" workbookViewId="0">
      <selection activeCell="O1" sqref="O1:AB1048576"/>
    </sheetView>
  </sheetViews>
  <sheetFormatPr baseColWidth="10" defaultColWidth="9.109375" defaultRowHeight="13.2" x14ac:dyDescent="0.25"/>
  <cols>
    <col min="1" max="1011" width="10.44140625" customWidth="1"/>
  </cols>
  <sheetData>
    <row r="2" spans="2:31" ht="14.4" x14ac:dyDescent="0.3">
      <c r="B2" s="54" t="s">
        <v>149</v>
      </c>
      <c r="C2" s="55"/>
      <c r="D2" s="55"/>
      <c r="E2" s="55"/>
      <c r="F2" s="55"/>
      <c r="G2" s="55"/>
      <c r="H2" s="54"/>
      <c r="I2" s="54"/>
      <c r="J2" s="54"/>
      <c r="K2" s="24"/>
      <c r="L2" s="24"/>
      <c r="M2" s="24"/>
      <c r="N2" s="24"/>
      <c r="O2" s="24"/>
      <c r="Q2" s="54" t="s">
        <v>150</v>
      </c>
      <c r="R2" s="54"/>
      <c r="S2" s="54"/>
      <c r="T2" s="54"/>
      <c r="U2" s="54"/>
      <c r="V2" s="54"/>
      <c r="W2" s="24"/>
      <c r="X2" s="54" t="s">
        <v>151</v>
      </c>
      <c r="Y2" s="55"/>
      <c r="Z2" s="55"/>
      <c r="AA2" s="55"/>
      <c r="AB2" s="55"/>
      <c r="AC2" s="54"/>
      <c r="AD2" s="54"/>
      <c r="AE2" s="54"/>
    </row>
    <row r="3" spans="2:31" ht="13.8" x14ac:dyDescent="0.3">
      <c r="B3" s="56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  <c r="N3" s="56"/>
      <c r="O3" s="56"/>
      <c r="Q3" s="56"/>
      <c r="R3" s="56"/>
      <c r="S3" s="56"/>
      <c r="T3" s="56"/>
      <c r="U3" s="56"/>
      <c r="V3" s="56"/>
      <c r="W3" s="56"/>
      <c r="X3" s="56"/>
      <c r="Y3" s="57"/>
      <c r="Z3" s="57"/>
      <c r="AA3" s="57"/>
      <c r="AB3" s="57"/>
      <c r="AC3" s="56"/>
      <c r="AD3" s="56"/>
      <c r="AE3" s="56"/>
    </row>
    <row r="4" spans="2:31" ht="14.4" x14ac:dyDescent="0.3">
      <c r="B4" s="58" t="s">
        <v>152</v>
      </c>
      <c r="C4" s="57"/>
      <c r="D4" s="57"/>
      <c r="E4" s="57"/>
      <c r="F4" s="57"/>
      <c r="G4" s="57"/>
      <c r="H4" s="57"/>
      <c r="I4" s="57"/>
      <c r="J4" s="56"/>
      <c r="K4" s="56"/>
      <c r="L4" s="56"/>
      <c r="M4" s="59"/>
      <c r="N4" s="59"/>
      <c r="O4" s="59"/>
      <c r="Q4" s="56" t="s">
        <v>153</v>
      </c>
      <c r="R4" s="56"/>
      <c r="S4" s="56"/>
      <c r="T4" s="56"/>
      <c r="U4" s="56"/>
      <c r="V4" s="56"/>
      <c r="W4" s="59"/>
      <c r="X4" s="56" t="s">
        <v>154</v>
      </c>
      <c r="Y4" s="57"/>
      <c r="Z4" s="57"/>
      <c r="AA4" s="57"/>
      <c r="AB4" s="57"/>
      <c r="AC4" s="56"/>
      <c r="AD4" s="56"/>
      <c r="AE4" s="56"/>
    </row>
    <row r="5" spans="2:31" ht="14.4" x14ac:dyDescent="0.3">
      <c r="B5" s="60"/>
      <c r="C5" s="61">
        <v>2019</v>
      </c>
      <c r="D5" s="61">
        <v>2020</v>
      </c>
      <c r="E5" s="61">
        <v>2021</v>
      </c>
      <c r="F5" s="61">
        <v>2022</v>
      </c>
      <c r="G5" s="61">
        <v>2023</v>
      </c>
      <c r="H5" s="61">
        <v>2025</v>
      </c>
      <c r="I5" s="61">
        <v>2030</v>
      </c>
      <c r="J5" s="61">
        <v>2035</v>
      </c>
      <c r="K5" s="61">
        <v>2040</v>
      </c>
      <c r="L5" s="61">
        <v>2045</v>
      </c>
      <c r="M5" s="61">
        <v>2050</v>
      </c>
      <c r="N5" s="59"/>
      <c r="O5" s="59"/>
      <c r="Q5" s="60"/>
      <c r="R5" s="60">
        <v>2015</v>
      </c>
      <c r="S5" s="60">
        <v>2020</v>
      </c>
      <c r="T5" s="60">
        <v>2025</v>
      </c>
      <c r="U5" s="60">
        <v>2030</v>
      </c>
      <c r="V5" s="60">
        <v>2050</v>
      </c>
      <c r="W5" s="59"/>
      <c r="X5" s="60"/>
      <c r="Y5" s="61">
        <v>2018</v>
      </c>
      <c r="Z5" s="61">
        <v>2019</v>
      </c>
      <c r="AA5" s="61">
        <v>2020</v>
      </c>
      <c r="AB5" s="61">
        <v>2021</v>
      </c>
      <c r="AC5" s="61">
        <v>2025</v>
      </c>
      <c r="AD5" s="61">
        <v>2030</v>
      </c>
      <c r="AE5" s="61">
        <v>2050</v>
      </c>
    </row>
    <row r="6" spans="2:31" ht="14.4" x14ac:dyDescent="0.3">
      <c r="B6" s="60" t="s">
        <v>155</v>
      </c>
      <c r="C6" s="62">
        <v>7.9000000000000001E-2</v>
      </c>
      <c r="D6" s="62">
        <v>8.2000000000000003E-2</v>
      </c>
      <c r="E6" s="62">
        <v>8.5999999999999993E-2</v>
      </c>
      <c r="F6" s="62">
        <v>9.1999999999999998E-2</v>
      </c>
      <c r="G6" s="62">
        <v>9.5000000000000001E-2</v>
      </c>
      <c r="H6" s="63">
        <v>9.5000000000000001E-2</v>
      </c>
      <c r="I6" s="63">
        <v>9.5000000000000001E-2</v>
      </c>
      <c r="J6" s="62">
        <v>9.5000000000000001E-2</v>
      </c>
      <c r="K6" s="63">
        <v>9.5000000000000001E-2</v>
      </c>
      <c r="L6" s="62">
        <v>9.5000000000000001E-2</v>
      </c>
      <c r="M6" s="62">
        <v>9.5000000000000001E-2</v>
      </c>
      <c r="N6" s="59"/>
      <c r="O6" s="59"/>
      <c r="Q6" s="60" t="s">
        <v>156</v>
      </c>
      <c r="R6" s="64">
        <v>7.2999999999999995E-2</v>
      </c>
      <c r="S6" s="64">
        <v>8.3000000000000004E-2</v>
      </c>
      <c r="T6" s="64">
        <v>9.7000000000000003E-2</v>
      </c>
      <c r="U6" s="64">
        <v>0.11700000000000001</v>
      </c>
      <c r="V6" s="64">
        <v>1</v>
      </c>
      <c r="W6" s="59"/>
      <c r="X6" s="60" t="s">
        <v>155</v>
      </c>
      <c r="Y6" s="62">
        <v>7.2999999999999995E-2</v>
      </c>
      <c r="Z6" s="62">
        <v>7.9000000000000001E-2</v>
      </c>
      <c r="AA6" s="62">
        <v>8.2000000000000003E-2</v>
      </c>
      <c r="AB6" s="62">
        <v>8.5999999999999993E-2</v>
      </c>
      <c r="AC6" s="62">
        <v>8.5999999999999993E-2</v>
      </c>
      <c r="AD6" s="62">
        <v>8.5999999999999993E-2</v>
      </c>
      <c r="AE6" s="62">
        <v>8.5999999999999993E-2</v>
      </c>
    </row>
    <row r="7" spans="2:31" ht="14.4" x14ac:dyDescent="0.3">
      <c r="B7" s="60" t="s">
        <v>157</v>
      </c>
      <c r="C7" s="62">
        <v>7.2999999999999995E-2</v>
      </c>
      <c r="D7" s="62">
        <v>0.08</v>
      </c>
      <c r="E7" s="62">
        <v>0.08</v>
      </c>
      <c r="F7" s="62">
        <v>8.4000000000000005E-2</v>
      </c>
      <c r="G7" s="62">
        <v>8.5999999999999993E-2</v>
      </c>
      <c r="H7" s="63">
        <v>8.5999999999999993E-2</v>
      </c>
      <c r="I7" s="63">
        <v>8.5999999999999993E-2</v>
      </c>
      <c r="J7" s="62">
        <v>8.5999999999999993E-2</v>
      </c>
      <c r="K7" s="63">
        <v>8.5999999999999993E-2</v>
      </c>
      <c r="L7" s="62">
        <v>8.5999999999999993E-2</v>
      </c>
      <c r="M7" s="62">
        <v>8.5999999999999993E-2</v>
      </c>
      <c r="N7" s="59"/>
      <c r="O7" s="59"/>
      <c r="Q7" s="60" t="s">
        <v>158</v>
      </c>
      <c r="R7" s="64">
        <v>7.3999999999999996E-2</v>
      </c>
      <c r="S7" s="64">
        <v>8.1000000000000003E-2</v>
      </c>
      <c r="T7" s="64">
        <v>9.5000000000000001E-2</v>
      </c>
      <c r="U7" s="64">
        <v>0.12</v>
      </c>
      <c r="V7" s="64">
        <v>1</v>
      </c>
      <c r="W7" s="59"/>
      <c r="X7" s="60" t="s">
        <v>157</v>
      </c>
      <c r="Y7" s="62">
        <v>6.9699999999999998E-2</v>
      </c>
      <c r="Z7" s="62">
        <v>7.2999999999999995E-2</v>
      </c>
      <c r="AA7" s="62">
        <v>0.08</v>
      </c>
      <c r="AB7" s="62">
        <v>0.08</v>
      </c>
      <c r="AC7" s="62">
        <v>0.08</v>
      </c>
      <c r="AD7" s="62">
        <v>0.08</v>
      </c>
      <c r="AE7" s="62">
        <v>0.08</v>
      </c>
    </row>
    <row r="8" spans="2:31" ht="14.4" x14ac:dyDescent="0.3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Q8" s="60" t="s">
        <v>159</v>
      </c>
      <c r="R8" s="64">
        <v>0</v>
      </c>
      <c r="S8" s="64">
        <v>5.0000000000000001E-3</v>
      </c>
      <c r="T8" s="64">
        <v>2.4E-2</v>
      </c>
      <c r="U8" s="64">
        <v>4.2999999999999997E-2</v>
      </c>
      <c r="V8" s="64">
        <v>0.5</v>
      </c>
      <c r="W8" s="59"/>
      <c r="X8" s="60" t="s">
        <v>159</v>
      </c>
      <c r="Y8" s="62">
        <v>0</v>
      </c>
      <c r="Z8" s="62">
        <v>0</v>
      </c>
      <c r="AA8" s="62">
        <v>0</v>
      </c>
      <c r="AB8" s="62">
        <v>0</v>
      </c>
      <c r="AC8" s="62" t="s">
        <v>160</v>
      </c>
      <c r="AD8" s="62">
        <v>0.05</v>
      </c>
      <c r="AE8" s="62">
        <v>0.05</v>
      </c>
    </row>
    <row r="9" spans="2:31" ht="14.4" x14ac:dyDescent="0.3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Q9" s="60" t="s">
        <v>161</v>
      </c>
      <c r="R9" s="64">
        <v>0.01</v>
      </c>
      <c r="S9" s="64">
        <v>0.02</v>
      </c>
      <c r="T9" s="64">
        <v>0.05</v>
      </c>
      <c r="U9" s="64">
        <v>0.1</v>
      </c>
      <c r="V9" s="64">
        <v>1</v>
      </c>
      <c r="W9" s="59"/>
      <c r="X9" s="60" t="s">
        <v>161</v>
      </c>
      <c r="Y9" s="62">
        <v>1E-3</v>
      </c>
      <c r="Z9" s="62">
        <v>1E-3</v>
      </c>
      <c r="AA9" s="62">
        <v>1E-3</v>
      </c>
      <c r="AB9" s="62">
        <v>1E-3</v>
      </c>
      <c r="AC9" s="62">
        <v>5.0000000000000001E-3</v>
      </c>
      <c r="AD9" s="62">
        <v>0.01</v>
      </c>
      <c r="AE9" s="62">
        <v>0.01</v>
      </c>
    </row>
    <row r="10" spans="2:31" ht="13.8" x14ac:dyDescent="0.3">
      <c r="B10" s="65" t="s">
        <v>162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</row>
    <row r="11" spans="2:31" ht="13.8" x14ac:dyDescent="0.3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</row>
    <row r="12" spans="2:31" ht="13.8" x14ac:dyDescent="0.3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</row>
    <row r="13" spans="2:31" ht="13.8" x14ac:dyDescent="0.3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2:31" ht="13.8" x14ac:dyDescent="0.3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</row>
    <row r="15" spans="2:31" ht="13.8" x14ac:dyDescent="0.3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spans="2:31" ht="13.8" x14ac:dyDescent="0.3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</row>
    <row r="17" spans="2:15" ht="13.8" x14ac:dyDescent="0.3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2:15" ht="13.8" x14ac:dyDescent="0.3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</row>
    <row r="19" spans="2:15" ht="13.8" x14ac:dyDescent="0.3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</row>
    <row r="20" spans="2:15" ht="13.8" x14ac:dyDescent="0.3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</row>
    <row r="21" spans="2:15" ht="13.8" x14ac:dyDescent="0.3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  <row r="22" spans="2:15" ht="13.8" x14ac:dyDescent="0.3"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</row>
    <row r="23" spans="2:15" ht="13.8" x14ac:dyDescent="0.3"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</row>
    <row r="24" spans="2:15" ht="13.8" x14ac:dyDescent="0.3">
      <c r="B24" s="58" t="s">
        <v>163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</row>
    <row r="25" spans="2:15" ht="13.8" x14ac:dyDescent="0.3">
      <c r="B25" s="60"/>
      <c r="C25" s="61">
        <v>2019</v>
      </c>
      <c r="D25" s="61">
        <v>2020</v>
      </c>
      <c r="E25" s="61">
        <v>2021</v>
      </c>
      <c r="F25" s="61">
        <v>2022</v>
      </c>
      <c r="G25" s="61">
        <v>2023</v>
      </c>
      <c r="H25" s="61">
        <v>2025</v>
      </c>
      <c r="I25" s="61">
        <v>2030</v>
      </c>
      <c r="J25" s="61">
        <v>2035</v>
      </c>
      <c r="K25" s="61">
        <v>2040</v>
      </c>
      <c r="L25" s="61">
        <v>2045</v>
      </c>
      <c r="M25" s="61">
        <v>2050</v>
      </c>
      <c r="N25" s="56"/>
      <c r="O25" s="56"/>
    </row>
    <row r="26" spans="2:15" ht="13.8" x14ac:dyDescent="0.3">
      <c r="B26" s="60" t="s">
        <v>161</v>
      </c>
      <c r="C26" s="62">
        <v>1E-3</v>
      </c>
      <c r="D26" s="62">
        <v>1E-3</v>
      </c>
      <c r="E26" s="62"/>
      <c r="F26" s="62"/>
      <c r="G26" s="62"/>
      <c r="H26" s="66">
        <v>0.02</v>
      </c>
      <c r="I26" s="66">
        <v>0.02</v>
      </c>
      <c r="J26" s="66">
        <v>0.02</v>
      </c>
      <c r="K26" s="66">
        <v>0.02</v>
      </c>
      <c r="L26" s="66">
        <v>0.02</v>
      </c>
      <c r="M26" s="66">
        <v>0.02</v>
      </c>
      <c r="N26" s="56"/>
      <c r="O26" s="56"/>
    </row>
    <row r="27" spans="2:15" ht="13.8" x14ac:dyDescent="0.3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</row>
    <row r="28" spans="2:15" ht="13.8" x14ac:dyDescent="0.3"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</row>
    <row r="29" spans="2:15" ht="13.8" x14ac:dyDescent="0.3">
      <c r="B29" s="65" t="s">
        <v>164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</row>
    <row r="30" spans="2:15" ht="13.8" x14ac:dyDescent="0.3">
      <c r="B30" s="56" t="s">
        <v>165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spans="2:15" ht="13.8" x14ac:dyDescent="0.3">
      <c r="B31" s="56" t="s">
        <v>166</v>
      </c>
      <c r="C31" s="56">
        <v>4.3</v>
      </c>
      <c r="D31" s="56">
        <f>474-39</f>
        <v>435</v>
      </c>
      <c r="E31" s="5">
        <f>C31/D31</f>
        <v>9.885057471264367E-3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spans="2:15" ht="13.8" x14ac:dyDescent="0.3">
      <c r="B32" s="56" t="s">
        <v>167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2:15" ht="13.8" x14ac:dyDescent="0.3">
      <c r="B33" s="56"/>
      <c r="C33" s="56">
        <f>C31+0.15*19</f>
        <v>7.15</v>
      </c>
      <c r="D33" s="56">
        <f>D31</f>
        <v>435</v>
      </c>
      <c r="E33" s="5">
        <f>C33/D33</f>
        <v>1.6436781609195403E-2</v>
      </c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spans="2:15" ht="13.8" x14ac:dyDescent="0.3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spans="2:15" ht="14.4" x14ac:dyDescent="0.3">
      <c r="B35" s="58" t="s">
        <v>168</v>
      </c>
      <c r="C35" s="57"/>
      <c r="D35" s="57"/>
      <c r="E35" s="57"/>
      <c r="F35" s="57"/>
      <c r="G35" s="57"/>
      <c r="H35" s="57"/>
      <c r="I35" s="57"/>
      <c r="J35" s="56"/>
      <c r="K35" s="56"/>
      <c r="L35" s="56"/>
      <c r="M35" s="59"/>
      <c r="N35" s="56"/>
      <c r="O35" s="56"/>
    </row>
    <row r="36" spans="2:15" ht="13.8" x14ac:dyDescent="0.3">
      <c r="B36" s="60"/>
      <c r="C36" s="61">
        <v>2019</v>
      </c>
      <c r="D36" s="61">
        <v>2020</v>
      </c>
      <c r="E36" s="61">
        <v>2021</v>
      </c>
      <c r="F36" s="61">
        <v>2022</v>
      </c>
      <c r="G36" s="61">
        <v>2023</v>
      </c>
      <c r="H36" s="61">
        <v>2025</v>
      </c>
      <c r="I36" s="61">
        <v>2030</v>
      </c>
      <c r="J36" s="61">
        <v>2035</v>
      </c>
      <c r="K36" s="61">
        <v>2040</v>
      </c>
      <c r="L36" s="61">
        <v>2045</v>
      </c>
      <c r="M36" s="61">
        <v>2050</v>
      </c>
      <c r="N36" s="56"/>
      <c r="O36" s="56"/>
    </row>
    <row r="37" spans="2:15" ht="13.8" x14ac:dyDescent="0.3">
      <c r="B37" s="60" t="s">
        <v>159</v>
      </c>
      <c r="C37" s="62">
        <v>0</v>
      </c>
      <c r="D37" s="62">
        <v>0</v>
      </c>
      <c r="E37" s="62">
        <v>0</v>
      </c>
      <c r="F37" s="62">
        <v>0.01</v>
      </c>
      <c r="G37" s="62">
        <v>0.01</v>
      </c>
      <c r="H37" s="63">
        <v>0.01</v>
      </c>
      <c r="I37" s="63">
        <v>0.01</v>
      </c>
      <c r="J37" s="62">
        <v>0.01</v>
      </c>
      <c r="K37" s="63">
        <v>0.01</v>
      </c>
      <c r="L37" s="62">
        <v>0.01</v>
      </c>
      <c r="M37" s="62">
        <v>0.01</v>
      </c>
      <c r="N37" s="56"/>
      <c r="O37" s="56"/>
    </row>
    <row r="38" spans="2:15" ht="13.8" x14ac:dyDescent="0.3">
      <c r="B38" s="60" t="s">
        <v>169</v>
      </c>
      <c r="C38" s="62"/>
      <c r="D38" s="62"/>
      <c r="E38" s="62"/>
      <c r="F38" s="62"/>
      <c r="G38" s="62"/>
      <c r="H38" s="62">
        <f>H37</f>
        <v>0.01</v>
      </c>
      <c r="I38" s="62">
        <f t="shared" ref="I38:M38" si="0">I37</f>
        <v>0.01</v>
      </c>
      <c r="J38" s="62">
        <f t="shared" si="0"/>
        <v>0.01</v>
      </c>
      <c r="K38" s="62">
        <f t="shared" si="0"/>
        <v>0.01</v>
      </c>
      <c r="L38" s="62">
        <f t="shared" si="0"/>
        <v>0.01</v>
      </c>
      <c r="M38" s="62">
        <f t="shared" si="0"/>
        <v>0.01</v>
      </c>
      <c r="N38" s="56"/>
      <c r="O38" s="56"/>
    </row>
    <row r="39" spans="2:15" ht="13.8" x14ac:dyDescent="0.3">
      <c r="B39" s="60" t="s">
        <v>170</v>
      </c>
      <c r="C39" s="62"/>
      <c r="D39" s="62"/>
      <c r="E39" s="62"/>
      <c r="F39" s="62"/>
      <c r="G39" s="62"/>
      <c r="H39" s="62">
        <f>0</f>
        <v>0</v>
      </c>
      <c r="I39" s="62">
        <f>0</f>
        <v>0</v>
      </c>
      <c r="J39" s="62">
        <f>0</f>
        <v>0</v>
      </c>
      <c r="K39" s="62">
        <f>0</f>
        <v>0</v>
      </c>
      <c r="L39" s="62">
        <f>0</f>
        <v>0</v>
      </c>
      <c r="M39" s="62">
        <f>0</f>
        <v>0</v>
      </c>
      <c r="N39" s="56"/>
      <c r="O39" s="56"/>
    </row>
    <row r="40" spans="2:15" ht="13.8" x14ac:dyDescent="0.3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spans="2:15" ht="13.8" x14ac:dyDescent="0.3">
      <c r="B41" s="65" t="s">
        <v>177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spans="2:15" ht="13.8" x14ac:dyDescent="0.3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spans="2:15" ht="13.8" x14ac:dyDescent="0.3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spans="2:15" ht="13.8" x14ac:dyDescent="0.3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spans="2:15" ht="13.8" x14ac:dyDescent="0.3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spans="2:15" ht="13.8" x14ac:dyDescent="0.3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spans="2:15" ht="13.8" x14ac:dyDescent="0.3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spans="2:15" ht="13.8" x14ac:dyDescent="0.3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spans="2:15" ht="13.8" x14ac:dyDescent="0.3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spans="2:15" ht="13.8" x14ac:dyDescent="0.3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spans="2:15" ht="13.8" x14ac:dyDescent="0.3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spans="2:15" ht="13.8" x14ac:dyDescent="0.3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67"/>
      <c r="N52" s="67"/>
      <c r="O52" s="56"/>
    </row>
    <row r="53" spans="2:15" ht="13.8" x14ac:dyDescent="0.3"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56"/>
    </row>
    <row r="54" spans="2:15" ht="13.8" x14ac:dyDescent="0.3"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56"/>
    </row>
    <row r="55" spans="2:15" ht="13.8" x14ac:dyDescent="0.3"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5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0"/>
  <sheetViews>
    <sheetView tabSelected="1" zoomScaleNormal="100" workbookViewId="0">
      <selection activeCell="L15" sqref="L15"/>
    </sheetView>
  </sheetViews>
  <sheetFormatPr baseColWidth="10" defaultColWidth="9.109375" defaultRowHeight="13.2" x14ac:dyDescent="0.25"/>
  <cols>
    <col min="1" max="1025" width="8.6640625" customWidth="1"/>
  </cols>
  <sheetData>
    <row r="5" spans="2:7" ht="39.6" x14ac:dyDescent="0.25">
      <c r="D5" s="68" t="s">
        <v>171</v>
      </c>
      <c r="E5" s="68" t="s">
        <v>172</v>
      </c>
      <c r="F5" s="19" t="s">
        <v>173</v>
      </c>
      <c r="G5" s="19" t="s">
        <v>174</v>
      </c>
    </row>
    <row r="6" spans="2:7" x14ac:dyDescent="0.25">
      <c r="B6" s="19" t="s">
        <v>175</v>
      </c>
      <c r="C6" s="19">
        <v>2019</v>
      </c>
      <c r="D6" s="69">
        <v>0.96</v>
      </c>
      <c r="E6" s="69">
        <v>0.01</v>
      </c>
      <c r="F6" s="69">
        <v>0.03</v>
      </c>
      <c r="G6" s="69">
        <f t="shared" ref="G6:G10" si="0">SUM(D6:F6)</f>
        <v>1</v>
      </c>
    </row>
    <row r="7" spans="2:7" x14ac:dyDescent="0.25">
      <c r="B7" s="70" t="s">
        <v>176</v>
      </c>
      <c r="C7" s="19">
        <v>2020</v>
      </c>
      <c r="D7" s="69">
        <v>0.94</v>
      </c>
      <c r="E7" s="69">
        <v>0.01</v>
      </c>
      <c r="F7" s="69">
        <v>0.05</v>
      </c>
      <c r="G7" s="69">
        <f t="shared" si="0"/>
        <v>1</v>
      </c>
    </row>
    <row r="8" spans="2:7" x14ac:dyDescent="0.25">
      <c r="B8" s="70"/>
      <c r="C8" s="19">
        <v>2030</v>
      </c>
      <c r="D8" s="69">
        <v>0.91</v>
      </c>
      <c r="E8" s="69">
        <v>0.01</v>
      </c>
      <c r="F8" s="69">
        <v>0.08</v>
      </c>
      <c r="G8" s="69">
        <f t="shared" si="0"/>
        <v>1</v>
      </c>
    </row>
    <row r="9" spans="2:7" x14ac:dyDescent="0.25">
      <c r="B9" s="70"/>
      <c r="C9" s="19">
        <v>2040</v>
      </c>
      <c r="D9" s="69">
        <v>0.89</v>
      </c>
      <c r="E9" s="69">
        <v>0.01</v>
      </c>
      <c r="F9" s="69">
        <v>0.1</v>
      </c>
      <c r="G9" s="69">
        <f t="shared" si="0"/>
        <v>1</v>
      </c>
    </row>
    <row r="10" spans="2:7" x14ac:dyDescent="0.25">
      <c r="B10" s="70"/>
      <c r="C10" s="19">
        <v>2050</v>
      </c>
      <c r="D10" s="69">
        <v>0.87</v>
      </c>
      <c r="E10" s="69">
        <v>0.01</v>
      </c>
      <c r="F10" s="69">
        <v>0.12</v>
      </c>
      <c r="G10" s="69">
        <f t="shared" si="0"/>
        <v>1</v>
      </c>
    </row>
  </sheetData>
  <mergeCells count="1">
    <mergeCell ref="B7:B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Chaleur</vt:lpstr>
      <vt:lpstr>élec</vt:lpstr>
      <vt:lpstr>Co-génération</vt:lpstr>
      <vt:lpstr>production de combustibles</vt:lpstr>
      <vt:lpstr>Biocombustibles</vt:lpstr>
      <vt:lpstr>Hydrogène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CHAIGNEAU Yanis</cp:lastModifiedBy>
  <cp:revision>1</cp:revision>
  <dcterms:created xsi:type="dcterms:W3CDTF">2023-01-05T16:15:18Z</dcterms:created>
  <dcterms:modified xsi:type="dcterms:W3CDTF">2023-03-02T15:24:41Z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0x010100DAAAC37BD05F7145AA350F90A845546C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